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6"/>
  <workbookPr updateLinks="always" defaultThemeVersion="166925"/>
  <mc:AlternateContent xmlns:mc="http://schemas.openxmlformats.org/markup-compatibility/2006">
    <mc:Choice Requires="x15">
      <x15ac:absPath xmlns:x15ac="http://schemas.microsoft.com/office/spreadsheetml/2010/11/ac" url="https://dod365.sharepoint-mil.us/teams/CDS7-COMDESRONSEVEN/CDS7 Common/Watchbills/"/>
    </mc:Choice>
  </mc:AlternateContent>
  <xr:revisionPtr revIDLastSave="52497" documentId="11_EB0B8470FB5AFC5ED38C46014534AF882C73EDFA" xr6:coauthVersionLast="47" xr6:coauthVersionMax="47" xr10:uidLastSave="{9FE93C93-49B7-43AB-A25E-8BB0263B2140}"/>
  <bookViews>
    <workbookView xWindow="-120" yWindow="90" windowWidth="29040" windowHeight="15630" firstSheet="51" activeTab="53" xr2:uid="{00000000-000D-0000-FFFF-FFFF00000000}"/>
  </bookViews>
  <sheets>
    <sheet name="Cover Sheet" sheetId="7" r:id="rId1"/>
    <sheet name="NOV 2022" sheetId="1" state="hidden" r:id="rId2"/>
    <sheet name="DEC 2022" sheetId="2" state="hidden" r:id="rId3"/>
    <sheet name="JAN 2023" sheetId="3" state="hidden" r:id="rId4"/>
    <sheet name="FEB 2023" sheetId="4" state="hidden" r:id="rId5"/>
    <sheet name="MAR 2023" sheetId="5" state="hidden" r:id="rId6"/>
    <sheet name="APR 2023" sheetId="10" state="hidden" r:id="rId7"/>
    <sheet name="MAY 2023" sheetId="11" state="hidden" r:id="rId8"/>
    <sheet name="JUN 2023" sheetId="12" state="hidden" r:id="rId9"/>
    <sheet name="JUL 2023" sheetId="13" state="hidden" r:id="rId10"/>
    <sheet name="AUG 2023" sheetId="14" state="hidden" r:id="rId11"/>
    <sheet name="SEP 2023" sheetId="15" state="hidden" r:id="rId12"/>
    <sheet name="Staff Tempo" sheetId="8" state="hidden" r:id="rId13"/>
    <sheet name="OCT 2023" sheetId="16" state="hidden" r:id="rId14"/>
    <sheet name="DEC 2023 " sheetId="21" state="hidden" r:id="rId15"/>
    <sheet name="NOV 2023" sheetId="17" state="hidden" r:id="rId16"/>
    <sheet name="JUL 2024" sheetId="34" state="hidden" r:id="rId17"/>
    <sheet name="Analytics Test" sheetId="18" state="hidden" r:id="rId18"/>
    <sheet name="JAN 2024" sheetId="22" state="hidden" r:id="rId19"/>
    <sheet name="FEB 2024" sheetId="23" state="hidden" r:id="rId20"/>
    <sheet name="MAR 2024" sheetId="24" state="hidden" r:id="rId21"/>
    <sheet name="APR 2024" sheetId="25" state="hidden" r:id="rId22"/>
    <sheet name="MAY 2024" sheetId="26" state="hidden" r:id="rId23"/>
    <sheet name="JUN 2024" sheetId="27" state="hidden" r:id="rId24"/>
    <sheet name="AUG 2024" sheetId="35" state="hidden" r:id="rId25"/>
    <sheet name="SEP 24" sheetId="36" state="hidden" r:id="rId26"/>
    <sheet name="OCT 2024" sheetId="37" state="hidden" r:id="rId27"/>
    <sheet name="NOV 2024" sheetId="40" state="hidden" r:id="rId28"/>
    <sheet name="DEC 2024" sheetId="39" state="hidden" r:id="rId29"/>
    <sheet name="JAN 2025 STWO Watchbill" sheetId="57" state="hidden" r:id="rId30"/>
    <sheet name="JAN Statistics" sheetId="58" state="hidden" r:id="rId31"/>
    <sheet name="FEB 2025" sheetId="55" state="hidden" r:id="rId32"/>
    <sheet name="FEB STWO Watchbill" sheetId="69" state="hidden" r:id="rId33"/>
    <sheet name="FEB Statistics" sheetId="70" state="hidden" r:id="rId34"/>
    <sheet name="MAR 2025 " sheetId="50" state="hidden" r:id="rId35"/>
    <sheet name="MAR STWO Watchbill" sheetId="49" state="hidden" r:id="rId36"/>
    <sheet name="MAR STWO Watchbill REV 1" sheetId="60" state="hidden" r:id="rId37"/>
    <sheet name="March STWO UI Working" sheetId="46" state="hidden" r:id="rId38"/>
    <sheet name="MAR Statistics" sheetId="68" state="hidden" r:id="rId39"/>
    <sheet name="APR STWO Watchbill" sheetId="61" r:id="rId40"/>
    <sheet name="APR STWO Watchbill REV 1" sheetId="76" r:id="rId41"/>
    <sheet name="APR STWO Watchbill REV 2" sheetId="64" r:id="rId42"/>
    <sheet name="APR Statistics" sheetId="63" r:id="rId43"/>
    <sheet name="MAY STWO Watchbill" sheetId="72" r:id="rId44"/>
    <sheet name="MAY STWO Watchbill _ draft 1" sheetId="65" state="hidden" r:id="rId45"/>
    <sheet name="MAY Statistics" sheetId="66" r:id="rId46"/>
    <sheet name="MAY" sheetId="73" r:id="rId47"/>
    <sheet name="JUN STWO Watchbill" sheetId="74" r:id="rId48"/>
    <sheet name="JUN Statistics" sheetId="78" r:id="rId49"/>
    <sheet name="JUN" sheetId="77" r:id="rId50"/>
    <sheet name="JUL STWO Watchbill" sheetId="79" r:id="rId51"/>
    <sheet name="JUL 2025" sheetId="83" r:id="rId52"/>
    <sheet name="JUL Statistics " sheetId="80" r:id="rId53"/>
    <sheet name="JUL" sheetId="81" r:id="rId54"/>
    <sheet name="Personnel Tracker" sheetId="48" r:id="rId55"/>
    <sheet name="Graphs" sheetId="71" r:id="rId56"/>
    <sheet name="Spreadsheet Key" sheetId="47" r:id="rId57"/>
    <sheet name="Team Priorities" sheetId="52" r:id="rId58"/>
  </sheets>
  <definedNames>
    <definedName name="_xlnm._FilterDatabase" localSheetId="54" hidden="1">'Personnel Tracker'!$A$2:$R$68</definedName>
    <definedName name="_xlnm.Print_Area" localSheetId="10">'AUG 2023'!$A$1:$AH$64</definedName>
    <definedName name="_xlnm.Print_Area" localSheetId="24">'AUG 2024'!$A$1:$AH$68</definedName>
    <definedName name="_xlnm.Print_Area" localSheetId="0">'Cover Sheet'!$A$1:$J$14</definedName>
    <definedName name="_xlnm.Print_Area" localSheetId="14">'DEC 2023 '!$A$1:$AH$66</definedName>
    <definedName name="_xlnm.Print_Area" localSheetId="4">'FEB 2023'!$A$1:$AE$57</definedName>
    <definedName name="_xlnm.Print_Area" localSheetId="19">'FEB 2024'!$A$1:$AF$62</definedName>
    <definedName name="_xlnm.Print_Area" localSheetId="18">'JAN 2024'!$A$1:$AH$70</definedName>
    <definedName name="_xlnm.Print_Area" localSheetId="16">'JUL 2024'!$A$1:$AH$68</definedName>
    <definedName name="_xlnm.Print_Area" localSheetId="23">'JUN 2024'!$A$2:$AG$4,'JUN 2024'!$A$27:$AG$68</definedName>
    <definedName name="_xlnm.Print_Area" localSheetId="5">'MAR 2023'!$A$1:$AH$61</definedName>
    <definedName name="_xlnm.Print_Area" localSheetId="22">'MAY 2024'!$A$1:$AH$68</definedName>
    <definedName name="_xlnm.Print_Area" localSheetId="15">'NOV 2023'!$A$1:$AG$65</definedName>
    <definedName name="_xlnm.Print_Area" localSheetId="13">'OCT 2023'!$A$1:$AH$67</definedName>
    <definedName name="_xlnm.Print_Area" localSheetId="11">'SEP 2023'!$A$1:$AG$69</definedName>
    <definedName name="_xlnm.Print_Area" localSheetId="25">'SEP 24'!$A$1:$AG$69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79" l="1"/>
  <c r="AJ10" i="79" a="1"/>
  <c r="AJ10" i="79"/>
  <c r="AK10" i="79" a="1"/>
  <c r="AK10" i="79"/>
  <c r="AL10" i="79" a="1"/>
  <c r="AL10" i="79"/>
  <c r="AM10" i="79" a="1"/>
  <c r="AM10" i="79"/>
  <c r="AN10" i="79" a="1"/>
  <c r="AN10" i="79"/>
  <c r="AO10" i="79" a="1"/>
  <c r="AO10" i="79"/>
  <c r="AP10" i="79" a="1"/>
  <c r="AP10" i="79"/>
  <c r="AQ10" i="79"/>
  <c r="AV10" i="79"/>
  <c r="AW10" i="79"/>
  <c r="AX10" i="79"/>
  <c r="AY10" i="79" a="1"/>
  <c r="AY10" i="79"/>
  <c r="AZ10" i="79"/>
  <c r="BA10" i="79"/>
  <c r="BB10" i="79"/>
  <c r="J31" i="81" a="1"/>
  <c r="J31" i="81"/>
  <c r="J29" i="81" a="1"/>
  <c r="J29" i="81"/>
  <c r="H31" i="81" a="1"/>
  <c r="H31" i="81"/>
  <c r="H29" i="81" a="1"/>
  <c r="H29" i="81"/>
  <c r="B29" i="81" a="1"/>
  <c r="B29" i="81"/>
  <c r="B31" i="81" a="1"/>
  <c r="B31" i="81"/>
  <c r="D31" i="81" a="1"/>
  <c r="D31" i="81"/>
  <c r="N23" i="81" a="1"/>
  <c r="N23" i="81"/>
  <c r="N25" i="81" a="1"/>
  <c r="N25" i="81"/>
  <c r="AH66" i="79"/>
  <c r="AH65" i="79"/>
  <c r="AH64" i="79"/>
  <c r="AH63" i="79"/>
  <c r="U17" i="48"/>
  <c r="J19" i="48"/>
  <c r="J12" i="48"/>
  <c r="J11" i="48"/>
  <c r="J6" i="48"/>
  <c r="B16" i="80"/>
  <c r="B15" i="80"/>
  <c r="S17" i="81"/>
  <c r="T17" i="81"/>
  <c r="U17" i="81"/>
  <c r="V17" i="81"/>
  <c r="W17" i="81"/>
  <c r="S28" i="81"/>
  <c r="T28" i="81"/>
  <c r="U28" i="81"/>
  <c r="V28" i="81"/>
  <c r="W28" i="81"/>
  <c r="B3" i="80"/>
  <c r="B4" i="80"/>
  <c r="B5" i="80"/>
  <c r="D9" i="80"/>
  <c r="B2" i="80"/>
  <c r="N43" i="81"/>
  <c r="X28" i="81"/>
  <c r="X17" i="81"/>
  <c r="B17" i="80"/>
  <c r="C5" i="80"/>
  <c r="C4" i="80"/>
  <c r="C3" i="80"/>
  <c r="AY62" i="79" a="1"/>
  <c r="AY62" i="79"/>
  <c r="V46" i="81" s="1"/>
  <c r="AP62" i="79" a="1"/>
  <c r="AP62" i="79"/>
  <c r="AO62" i="79" a="1"/>
  <c r="AO62" i="79"/>
  <c r="AN62" i="79" a="1"/>
  <c r="AN62" i="79"/>
  <c r="AM62" i="79" a="1"/>
  <c r="AM62" i="79"/>
  <c r="AL62" i="79" a="1"/>
  <c r="AL62" i="79"/>
  <c r="AK62" i="79" a="1"/>
  <c r="AK62" i="79"/>
  <c r="AJ62" i="79" a="1"/>
  <c r="AJ62" i="79"/>
  <c r="AY61" i="79" a="1"/>
  <c r="AY61" i="79"/>
  <c r="AY60" i="79" a="1"/>
  <c r="AY60" i="79"/>
  <c r="V45" i="81" s="1"/>
  <c r="AP60" i="79" a="1"/>
  <c r="AP60" i="79"/>
  <c r="AO60" i="79" a="1"/>
  <c r="AO60" i="79"/>
  <c r="AN60" i="79" a="1"/>
  <c r="AN60" i="79"/>
  <c r="AM60" i="79" a="1"/>
  <c r="AM60" i="79"/>
  <c r="AL60" i="79" a="1"/>
  <c r="AL60" i="79"/>
  <c r="AK60" i="79" a="1"/>
  <c r="AK60" i="79"/>
  <c r="AJ60" i="79" a="1"/>
  <c r="AJ60" i="79"/>
  <c r="AY59" i="79" a="1"/>
  <c r="AY59" i="79"/>
  <c r="AY58" i="79" a="1"/>
  <c r="AY58" i="79"/>
  <c r="V44" i="81" s="1"/>
  <c r="AP58" i="79" a="1"/>
  <c r="AP58" i="79"/>
  <c r="AO58" i="79" a="1"/>
  <c r="AO58" i="79"/>
  <c r="AN58" i="79" a="1"/>
  <c r="AN58" i="79"/>
  <c r="AM58" i="79" a="1"/>
  <c r="AM58" i="79"/>
  <c r="AL58" i="79" a="1"/>
  <c r="AL58" i="79"/>
  <c r="AK58" i="79" a="1"/>
  <c r="AK58" i="79"/>
  <c r="AJ58" i="79" a="1"/>
  <c r="AJ58" i="79"/>
  <c r="AY57" i="79" a="1"/>
  <c r="AY57" i="79"/>
  <c r="AY56" i="79" a="1"/>
  <c r="AY56" i="79"/>
  <c r="V43" i="81" s="1"/>
  <c r="AP56" i="79" a="1"/>
  <c r="AP56" i="79"/>
  <c r="AO56" i="79" a="1"/>
  <c r="AO56" i="79"/>
  <c r="AN56" i="79" a="1"/>
  <c r="AN56" i="79"/>
  <c r="AM56" i="79" a="1"/>
  <c r="AM56" i="79"/>
  <c r="AL56" i="79" a="1"/>
  <c r="AL56" i="79"/>
  <c r="AK56" i="79" a="1"/>
  <c r="AK56" i="79"/>
  <c r="AJ56" i="79" a="1"/>
  <c r="AJ56" i="79"/>
  <c r="AY55" i="79" a="1"/>
  <c r="AY55" i="79"/>
  <c r="AY54" i="79" a="1"/>
  <c r="AY54" i="79"/>
  <c r="V42" i="81" s="1"/>
  <c r="AP54" i="79" a="1"/>
  <c r="AP54" i="79"/>
  <c r="AO54" i="79" a="1"/>
  <c r="AO54" i="79"/>
  <c r="AN54" i="79" a="1"/>
  <c r="AN54" i="79"/>
  <c r="AM54" i="79" a="1"/>
  <c r="AM54" i="79"/>
  <c r="AL54" i="79" a="1"/>
  <c r="AL54" i="79"/>
  <c r="AK54" i="79" a="1"/>
  <c r="AK54" i="79"/>
  <c r="AJ54" i="79" a="1"/>
  <c r="AJ54" i="79"/>
  <c r="AY53" i="79" a="1"/>
  <c r="AY53" i="79"/>
  <c r="AY52" i="79" a="1"/>
  <c r="AY52" i="79"/>
  <c r="V41" i="81" s="1"/>
  <c r="AP52" i="79" a="1"/>
  <c r="AP52" i="79"/>
  <c r="AO52" i="79" a="1"/>
  <c r="AO52" i="79"/>
  <c r="AN52" i="79" a="1"/>
  <c r="AN52" i="79"/>
  <c r="AM52" i="79" a="1"/>
  <c r="AM52" i="79"/>
  <c r="AL52" i="79" a="1"/>
  <c r="AL52" i="79"/>
  <c r="AK52" i="79" a="1"/>
  <c r="AK52" i="79"/>
  <c r="AJ52" i="79" a="1"/>
  <c r="AJ52" i="79"/>
  <c r="AY51" i="79" a="1"/>
  <c r="AY51" i="79"/>
  <c r="AY50" i="79" a="1"/>
  <c r="AY50" i="79"/>
  <c r="V38" i="81" s="1"/>
  <c r="AP50" i="79" a="1"/>
  <c r="AP50" i="79"/>
  <c r="AO50" i="79" a="1"/>
  <c r="AO50" i="79"/>
  <c r="AN50" i="79" a="1"/>
  <c r="AN50" i="79"/>
  <c r="AM50" i="79" a="1"/>
  <c r="AM50" i="79"/>
  <c r="AL50" i="79" a="1"/>
  <c r="AL50" i="79"/>
  <c r="AK50" i="79" a="1"/>
  <c r="AK50" i="79"/>
  <c r="AJ50" i="79" a="1"/>
  <c r="AJ50" i="79"/>
  <c r="AY49" i="79" a="1"/>
  <c r="AY49" i="79"/>
  <c r="AY48" i="79" a="1"/>
  <c r="AY48" i="79"/>
  <c r="V37" i="81" s="1"/>
  <c r="AP48" i="79" a="1"/>
  <c r="AP48" i="79"/>
  <c r="AO48" i="79" a="1"/>
  <c r="AO48" i="79"/>
  <c r="AN48" i="79" a="1"/>
  <c r="AN48" i="79"/>
  <c r="AM48" i="79" a="1"/>
  <c r="AM48" i="79"/>
  <c r="AL48" i="79" a="1"/>
  <c r="AL48" i="79"/>
  <c r="AK48" i="79" a="1"/>
  <c r="AK48" i="79"/>
  <c r="AJ48" i="79" a="1"/>
  <c r="AJ48" i="79"/>
  <c r="AY47" i="79" a="1"/>
  <c r="AY47" i="79"/>
  <c r="AY46" i="79" a="1"/>
  <c r="AY46" i="79"/>
  <c r="V36" i="81" s="1"/>
  <c r="AP46" i="79" a="1"/>
  <c r="AP46" i="79"/>
  <c r="AO46" i="79" a="1"/>
  <c r="AO46" i="79"/>
  <c r="AN46" i="79" a="1"/>
  <c r="AN46" i="79"/>
  <c r="AM46" i="79" a="1"/>
  <c r="AM46" i="79"/>
  <c r="AL46" i="79" a="1"/>
  <c r="AL46" i="79"/>
  <c r="AK46" i="79" a="1"/>
  <c r="AK46" i="79"/>
  <c r="AJ46" i="79" a="1"/>
  <c r="AJ46" i="79"/>
  <c r="AY45" i="79" a="1"/>
  <c r="AY45" i="79"/>
  <c r="AY44" i="79" a="1"/>
  <c r="AY44" i="79"/>
  <c r="V33" i="81" s="1"/>
  <c r="AP44" i="79" a="1"/>
  <c r="AP44" i="79"/>
  <c r="AO44" i="79" a="1"/>
  <c r="AO44" i="79"/>
  <c r="AN44" i="79" a="1"/>
  <c r="AN44" i="79"/>
  <c r="AM44" i="79" a="1"/>
  <c r="AM44" i="79"/>
  <c r="AL44" i="79" a="1"/>
  <c r="AL44" i="79"/>
  <c r="AK44" i="79" a="1"/>
  <c r="AK44" i="79"/>
  <c r="AJ44" i="79" a="1"/>
  <c r="AJ44" i="79"/>
  <c r="AY43" i="79" a="1"/>
  <c r="AY43" i="79"/>
  <c r="AY42" i="79" a="1"/>
  <c r="AY42" i="79"/>
  <c r="V31" i="81" s="1"/>
  <c r="AP42" i="79" a="1"/>
  <c r="AP42" i="79"/>
  <c r="AO42" i="79" a="1"/>
  <c r="AO42" i="79"/>
  <c r="AN42" i="79" a="1"/>
  <c r="AN42" i="79"/>
  <c r="AM42" i="79" a="1"/>
  <c r="AM42" i="79"/>
  <c r="AL42" i="79" a="1"/>
  <c r="AL42" i="79"/>
  <c r="AK42" i="79" a="1"/>
  <c r="AK42" i="79"/>
  <c r="AJ42" i="79" a="1"/>
  <c r="AJ42" i="79"/>
  <c r="AY41" i="79" a="1"/>
  <c r="AY41" i="79"/>
  <c r="AY40" i="79" a="1"/>
  <c r="AY40" i="79"/>
  <c r="V32" i="81" s="1"/>
  <c r="AP40" i="79" a="1"/>
  <c r="AP40" i="79"/>
  <c r="AO40" i="79" a="1"/>
  <c r="AO40" i="79"/>
  <c r="AN40" i="79" a="1"/>
  <c r="AN40" i="79"/>
  <c r="AM40" i="79" a="1"/>
  <c r="AM40" i="79"/>
  <c r="AL40" i="79" a="1"/>
  <c r="AL40" i="79"/>
  <c r="AK40" i="79" a="1"/>
  <c r="AK40" i="79"/>
  <c r="AJ40" i="79" a="1"/>
  <c r="AJ40" i="79"/>
  <c r="AY39" i="79" a="1"/>
  <c r="AY39" i="79"/>
  <c r="AY38" i="79" a="1"/>
  <c r="AY38" i="79"/>
  <c r="V30" i="81" s="1"/>
  <c r="AP38" i="79" a="1"/>
  <c r="AP38" i="79"/>
  <c r="AO38" i="79" a="1"/>
  <c r="AO38" i="79"/>
  <c r="AN38" i="79" a="1"/>
  <c r="AN38" i="79"/>
  <c r="AM38" i="79" a="1"/>
  <c r="AM38" i="79"/>
  <c r="AL38" i="79" a="1"/>
  <c r="AL38" i="79"/>
  <c r="AK38" i="79" a="1"/>
  <c r="AK38" i="79"/>
  <c r="AJ38" i="79" a="1"/>
  <c r="AJ38" i="79"/>
  <c r="AY37" i="79" a="1"/>
  <c r="AY37" i="79"/>
  <c r="AY36" i="79" a="1"/>
  <c r="AY36" i="79"/>
  <c r="V29" i="81" s="1"/>
  <c r="AP36" i="79" a="1"/>
  <c r="AP36" i="79"/>
  <c r="AO36" i="79" a="1"/>
  <c r="AO36" i="79"/>
  <c r="AN36" i="79" a="1"/>
  <c r="AN36" i="79"/>
  <c r="AM36" i="79" a="1"/>
  <c r="AM36" i="79"/>
  <c r="AL36" i="79" a="1"/>
  <c r="AL36" i="79"/>
  <c r="AK36" i="79" a="1"/>
  <c r="AK36" i="79"/>
  <c r="AJ36" i="79" a="1"/>
  <c r="AJ36" i="79"/>
  <c r="AY35" i="79" a="1"/>
  <c r="AY35" i="79"/>
  <c r="AY34" i="79" a="1"/>
  <c r="AY34" i="79"/>
  <c r="V26" i="81" s="1"/>
  <c r="AP34" i="79" a="1"/>
  <c r="AP34" i="79"/>
  <c r="AO34" i="79" a="1"/>
  <c r="AO34" i="79"/>
  <c r="AN34" i="79" a="1"/>
  <c r="AN34" i="79"/>
  <c r="AM34" i="79" a="1"/>
  <c r="AM34" i="79"/>
  <c r="AL34" i="79" a="1"/>
  <c r="AL34" i="79"/>
  <c r="AK34" i="79" a="1"/>
  <c r="AK34" i="79"/>
  <c r="AJ34" i="79" a="1"/>
  <c r="AJ34" i="79"/>
  <c r="AY33" i="79" a="1"/>
  <c r="AY33" i="79"/>
  <c r="AY32" i="79" a="1"/>
  <c r="AY32" i="79"/>
  <c r="V27" i="81" s="1"/>
  <c r="AP32" i="79" a="1"/>
  <c r="AP32" i="79"/>
  <c r="AO32" i="79" a="1"/>
  <c r="AO32" i="79"/>
  <c r="AN32" i="79" a="1"/>
  <c r="AN32" i="79"/>
  <c r="AM32" i="79" a="1"/>
  <c r="AM32" i="79"/>
  <c r="AL32" i="79" a="1"/>
  <c r="AL32" i="79"/>
  <c r="AK32" i="79" a="1"/>
  <c r="AK32" i="79"/>
  <c r="AJ32" i="79" a="1"/>
  <c r="AJ32" i="79"/>
  <c r="AY31" i="79" a="1"/>
  <c r="AY31" i="79"/>
  <c r="AY30" i="79" a="1"/>
  <c r="AY30" i="79"/>
  <c r="V25" i="81" s="1"/>
  <c r="AP30" i="79" a="1"/>
  <c r="AP30" i="79"/>
  <c r="AO30" i="79" a="1"/>
  <c r="AO30" i="79"/>
  <c r="AN30" i="79" a="1"/>
  <c r="AN30" i="79"/>
  <c r="AM30" i="79" a="1"/>
  <c r="AM30" i="79"/>
  <c r="AL30" i="79" a="1"/>
  <c r="AL30" i="79"/>
  <c r="AK30" i="79" a="1"/>
  <c r="AK30" i="79"/>
  <c r="AJ30" i="79" a="1"/>
  <c r="AJ30" i="79"/>
  <c r="AY29" i="79" a="1"/>
  <c r="AY29" i="79"/>
  <c r="AY28" i="79" a="1"/>
  <c r="AY28" i="79"/>
  <c r="V24" i="81" s="1"/>
  <c r="AP28" i="79" a="1"/>
  <c r="AP28" i="79"/>
  <c r="AO28" i="79" a="1"/>
  <c r="AO28" i="79"/>
  <c r="AN28" i="79" a="1"/>
  <c r="AN28" i="79"/>
  <c r="AM28" i="79" a="1"/>
  <c r="AM28" i="79"/>
  <c r="AL28" i="79" a="1"/>
  <c r="AL28" i="79"/>
  <c r="AK28" i="79" a="1"/>
  <c r="AK28" i="79"/>
  <c r="AJ28" i="79" a="1"/>
  <c r="AJ28" i="79"/>
  <c r="AY27" i="79" a="1"/>
  <c r="AY27" i="79"/>
  <c r="AY26" i="79" a="1"/>
  <c r="AY26" i="79"/>
  <c r="V23" i="81" s="1"/>
  <c r="AP26" i="79" a="1"/>
  <c r="AP26" i="79"/>
  <c r="AO26" i="79" a="1"/>
  <c r="AO26" i="79"/>
  <c r="AN26" i="79" a="1"/>
  <c r="AN26" i="79"/>
  <c r="AM26" i="79" a="1"/>
  <c r="AM26" i="79"/>
  <c r="AL26" i="79" a="1"/>
  <c r="AL26" i="79"/>
  <c r="AK26" i="79" a="1"/>
  <c r="AK26" i="79"/>
  <c r="AJ26" i="79" a="1"/>
  <c r="AJ26" i="79"/>
  <c r="AY25" i="79" a="1"/>
  <c r="AY25" i="79"/>
  <c r="AY24" i="79" a="1"/>
  <c r="AY24" i="79"/>
  <c r="V22" i="81" s="1"/>
  <c r="AP24" i="79" a="1"/>
  <c r="AP24" i="79"/>
  <c r="AO24" i="79" a="1"/>
  <c r="AO24" i="79"/>
  <c r="AN24" i="79" a="1"/>
  <c r="AN24" i="79"/>
  <c r="AM24" i="79" a="1"/>
  <c r="AM24" i="79"/>
  <c r="AL24" i="79" a="1"/>
  <c r="AL24" i="79"/>
  <c r="AK24" i="79" a="1"/>
  <c r="AK24" i="79"/>
  <c r="AJ24" i="79" a="1"/>
  <c r="AJ24" i="79"/>
  <c r="AY23" i="79" a="1"/>
  <c r="AY23" i="79"/>
  <c r="AY22" i="79" a="1"/>
  <c r="AY22" i="79"/>
  <c r="V16" i="81" s="1"/>
  <c r="AP22" i="79" a="1"/>
  <c r="AP22" i="79"/>
  <c r="AO22" i="79" a="1"/>
  <c r="AO22" i="79"/>
  <c r="AN22" i="79" a="1"/>
  <c r="AN22" i="79"/>
  <c r="AM22" i="79" a="1"/>
  <c r="AM22" i="79"/>
  <c r="AL22" i="79" a="1"/>
  <c r="AL22" i="79"/>
  <c r="AK22" i="79" a="1"/>
  <c r="AK22" i="79"/>
  <c r="AJ22" i="79" a="1"/>
  <c r="AJ22" i="79"/>
  <c r="AY21" i="79" a="1"/>
  <c r="AY21" i="79"/>
  <c r="AY20" i="79" a="1"/>
  <c r="AY20" i="79"/>
  <c r="V13" i="81" s="1"/>
  <c r="AP20" i="79" a="1"/>
  <c r="AP20" i="79"/>
  <c r="AO20" i="79" a="1"/>
  <c r="AO20" i="79"/>
  <c r="AN20" i="79" a="1"/>
  <c r="AN20" i="79"/>
  <c r="AM20" i="79" a="1"/>
  <c r="AM20" i="79"/>
  <c r="AL20" i="79" a="1"/>
  <c r="AL20" i="79"/>
  <c r="AK20" i="79" a="1"/>
  <c r="AK20" i="79"/>
  <c r="AJ20" i="79" a="1"/>
  <c r="AJ20" i="79"/>
  <c r="AY19" i="79" a="1"/>
  <c r="AY19" i="79"/>
  <c r="AY18" i="79" a="1"/>
  <c r="AY18" i="79"/>
  <c r="V12" i="81" s="1"/>
  <c r="AP18" i="79" a="1"/>
  <c r="AP18" i="79"/>
  <c r="AO18" i="79" a="1"/>
  <c r="AO18" i="79"/>
  <c r="AN18" i="79" a="1"/>
  <c r="AN18" i="79"/>
  <c r="AM18" i="79" a="1"/>
  <c r="AM18" i="79"/>
  <c r="AL18" i="79" a="1"/>
  <c r="AL18" i="79"/>
  <c r="AK18" i="79" a="1"/>
  <c r="AK18" i="79"/>
  <c r="AJ18" i="79" a="1"/>
  <c r="AJ18" i="79"/>
  <c r="AY17" i="79" a="1"/>
  <c r="AY17" i="79"/>
  <c r="AY16" i="79" a="1"/>
  <c r="AY16" i="79"/>
  <c r="V11" i="81" s="1"/>
  <c r="AP16" i="79" a="1"/>
  <c r="AP16" i="79"/>
  <c r="AO16" i="79" a="1"/>
  <c r="AO16" i="79"/>
  <c r="AN16" i="79" a="1"/>
  <c r="AN16" i="79"/>
  <c r="AM16" i="79" a="1"/>
  <c r="AM16" i="79"/>
  <c r="AL16" i="79" a="1"/>
  <c r="AL16" i="79"/>
  <c r="AK16" i="79" a="1"/>
  <c r="AK16" i="79"/>
  <c r="AJ16" i="79" a="1"/>
  <c r="AJ16" i="79"/>
  <c r="AY15" i="79" a="1"/>
  <c r="AY15" i="79"/>
  <c r="AY14" i="79" a="1"/>
  <c r="AY14" i="79"/>
  <c r="V10" i="81" s="1"/>
  <c r="AP14" i="79" a="1"/>
  <c r="AP14" i="79"/>
  <c r="AO14" i="79" a="1"/>
  <c r="AO14" i="79"/>
  <c r="AN14" i="79" a="1"/>
  <c r="AN14" i="79"/>
  <c r="AM14" i="79" a="1"/>
  <c r="AM14" i="79"/>
  <c r="AL14" i="79" a="1"/>
  <c r="AL14" i="79"/>
  <c r="AK14" i="79" a="1"/>
  <c r="AK14" i="79"/>
  <c r="AJ14" i="79" a="1"/>
  <c r="AJ14" i="79"/>
  <c r="AY13" i="79" a="1"/>
  <c r="AY13" i="79"/>
  <c r="AY12" i="79" a="1"/>
  <c r="AY12" i="79"/>
  <c r="V9" i="81" s="1"/>
  <c r="AP12" i="79" a="1"/>
  <c r="AP12" i="79"/>
  <c r="AO12" i="79" a="1"/>
  <c r="AO12" i="79"/>
  <c r="AN12" i="79" a="1"/>
  <c r="AN12" i="79"/>
  <c r="AM12" i="79" a="1"/>
  <c r="AM12" i="79"/>
  <c r="AL12" i="79" a="1"/>
  <c r="AL12" i="79"/>
  <c r="AK12" i="79" a="1"/>
  <c r="AK12" i="79"/>
  <c r="AJ12" i="79" a="1"/>
  <c r="AJ12" i="79"/>
  <c r="AY11" i="79" a="1"/>
  <c r="AY11" i="79"/>
  <c r="V6" i="81"/>
  <c r="AY8" i="79" a="1"/>
  <c r="AY8" i="79"/>
  <c r="V5" i="81" s="1"/>
  <c r="AP8" i="79" a="1"/>
  <c r="AP8" i="79"/>
  <c r="AO8" i="79" a="1"/>
  <c r="AO8" i="79"/>
  <c r="AN8" i="79" a="1"/>
  <c r="AN8" i="79"/>
  <c r="AM8" i="79" a="1"/>
  <c r="AM8" i="79"/>
  <c r="AL8" i="79" a="1"/>
  <c r="AL8" i="79"/>
  <c r="AK8" i="79" a="1"/>
  <c r="AK8" i="79"/>
  <c r="AJ8" i="79" a="1"/>
  <c r="AJ8" i="79"/>
  <c r="AY7" i="79" a="1"/>
  <c r="AY7" i="79"/>
  <c r="AY6" i="79" a="1"/>
  <c r="AY6" i="79"/>
  <c r="V4" i="81" s="1"/>
  <c r="AP6" i="79" a="1"/>
  <c r="AP6" i="79"/>
  <c r="AO6" i="79" a="1"/>
  <c r="AO6" i="79"/>
  <c r="AN6" i="79" a="1"/>
  <c r="AN6" i="79"/>
  <c r="AM6" i="79" a="1"/>
  <c r="AM6" i="79"/>
  <c r="AL6" i="79" a="1"/>
  <c r="AL6" i="79"/>
  <c r="AK6" i="79" a="1"/>
  <c r="AK6" i="79"/>
  <c r="B22" i="80" s="1"/>
  <c r="AJ6" i="79" a="1"/>
  <c r="AJ6" i="79"/>
  <c r="C6" i="79"/>
  <c r="AQ6" i="79"/>
  <c r="AV6" i="79"/>
  <c r="S4" i="81" s="1"/>
  <c r="AW6" i="79"/>
  <c r="T4" i="81" s="1"/>
  <c r="AX6" i="79"/>
  <c r="U4" i="81" s="1"/>
  <c r="AZ6" i="79"/>
  <c r="W4" i="81" s="1"/>
  <c r="BA6" i="79"/>
  <c r="BB6" i="79"/>
  <c r="C7" i="79"/>
  <c r="AV7" i="79"/>
  <c r="AW7" i="79"/>
  <c r="AX7" i="79"/>
  <c r="AZ7" i="79"/>
  <c r="BA7" i="79"/>
  <c r="BB7" i="79"/>
  <c r="C8" i="79"/>
  <c r="AQ8" i="79"/>
  <c r="AV8" i="79"/>
  <c r="S5" i="81" s="1"/>
  <c r="AW8" i="79"/>
  <c r="T5" i="81" s="1"/>
  <c r="AX8" i="79"/>
  <c r="U5" i="81" s="1"/>
  <c r="AZ8" i="79"/>
  <c r="W5" i="81" s="1"/>
  <c r="BA8" i="79"/>
  <c r="BB8" i="79"/>
  <c r="C9" i="79"/>
  <c r="S6" i="81"/>
  <c r="T6" i="81"/>
  <c r="U6" i="81"/>
  <c r="W6" i="81"/>
  <c r="C11" i="79"/>
  <c r="AV11" i="79"/>
  <c r="AW11" i="79"/>
  <c r="AX11" i="79"/>
  <c r="AZ11" i="79"/>
  <c r="BA11" i="79"/>
  <c r="BB11" i="79"/>
  <c r="C12" i="79"/>
  <c r="AQ12" i="79"/>
  <c r="AV12" i="79"/>
  <c r="S9" i="81" s="1"/>
  <c r="AW12" i="79"/>
  <c r="T9" i="81" s="1"/>
  <c r="AX12" i="79"/>
  <c r="U9" i="81" s="1"/>
  <c r="AZ12" i="79"/>
  <c r="W9" i="81" s="1"/>
  <c r="BA12" i="79"/>
  <c r="BB12" i="79"/>
  <c r="C13" i="79"/>
  <c r="AV13" i="79"/>
  <c r="AW13" i="79"/>
  <c r="AX13" i="79"/>
  <c r="AZ13" i="79"/>
  <c r="BA13" i="79"/>
  <c r="BB13" i="79"/>
  <c r="C14" i="79"/>
  <c r="AQ14" i="79"/>
  <c r="AV14" i="79"/>
  <c r="S10" i="81" s="1"/>
  <c r="AW14" i="79"/>
  <c r="T10" i="81" s="1"/>
  <c r="AX14" i="79"/>
  <c r="U10" i="81" s="1"/>
  <c r="AZ14" i="79"/>
  <c r="W10" i="81" s="1"/>
  <c r="BA14" i="79"/>
  <c r="BB14" i="79"/>
  <c r="C15" i="79"/>
  <c r="AV15" i="79"/>
  <c r="AW15" i="79"/>
  <c r="AX15" i="79"/>
  <c r="AZ15" i="79"/>
  <c r="BA15" i="79"/>
  <c r="BB15" i="79"/>
  <c r="C16" i="79"/>
  <c r="AQ16" i="79"/>
  <c r="AV16" i="79"/>
  <c r="S11" i="81" s="1"/>
  <c r="AW16" i="79"/>
  <c r="T11" i="81" s="1"/>
  <c r="AX16" i="79"/>
  <c r="U11" i="81" s="1"/>
  <c r="AZ16" i="79"/>
  <c r="W11" i="81" s="1"/>
  <c r="BA16" i="79"/>
  <c r="BB16" i="79"/>
  <c r="C17" i="79"/>
  <c r="AV17" i="79"/>
  <c r="AW17" i="79"/>
  <c r="AX17" i="79"/>
  <c r="AZ17" i="79"/>
  <c r="BA17" i="79"/>
  <c r="BB17" i="79"/>
  <c r="C18" i="79"/>
  <c r="AQ18" i="79"/>
  <c r="AV18" i="79"/>
  <c r="S12" i="81" s="1"/>
  <c r="AW18" i="79"/>
  <c r="T12" i="81" s="1"/>
  <c r="AX18" i="79"/>
  <c r="U12" i="81" s="1"/>
  <c r="AZ18" i="79"/>
  <c r="W12" i="81" s="1"/>
  <c r="BA18" i="79"/>
  <c r="BB18" i="79"/>
  <c r="C19" i="79"/>
  <c r="AV19" i="79"/>
  <c r="AW19" i="79"/>
  <c r="AX19" i="79"/>
  <c r="AZ19" i="79"/>
  <c r="BA19" i="79"/>
  <c r="BB19" i="79"/>
  <c r="C20" i="79"/>
  <c r="AQ20" i="79"/>
  <c r="AV20" i="79"/>
  <c r="S13" i="81" s="1"/>
  <c r="AW20" i="79"/>
  <c r="T13" i="81" s="1"/>
  <c r="AX20" i="79"/>
  <c r="U13" i="81" s="1"/>
  <c r="AZ20" i="79"/>
  <c r="W13" i="81" s="1"/>
  <c r="BA20" i="79"/>
  <c r="BB20" i="79"/>
  <c r="C21" i="79"/>
  <c r="AV21" i="79"/>
  <c r="AW21" i="79"/>
  <c r="AX21" i="79"/>
  <c r="AZ21" i="79"/>
  <c r="BA21" i="79"/>
  <c r="BB21" i="79"/>
  <c r="C22" i="79"/>
  <c r="AQ22" i="79"/>
  <c r="AV22" i="79"/>
  <c r="S16" i="81" s="1"/>
  <c r="AW22" i="79"/>
  <c r="T16" i="81" s="1"/>
  <c r="AX22" i="79"/>
  <c r="U16" i="81" s="1"/>
  <c r="AZ22" i="79"/>
  <c r="W16" i="81" s="1"/>
  <c r="BA22" i="79"/>
  <c r="BB22" i="79"/>
  <c r="C23" i="79"/>
  <c r="AV23" i="79"/>
  <c r="AW23" i="79"/>
  <c r="AX23" i="79"/>
  <c r="AZ23" i="79"/>
  <c r="BA23" i="79"/>
  <c r="BB23" i="79"/>
  <c r="C24" i="79"/>
  <c r="AQ24" i="79"/>
  <c r="AV24" i="79"/>
  <c r="S22" i="81" s="1"/>
  <c r="AW24" i="79"/>
  <c r="T22" i="81" s="1"/>
  <c r="AX24" i="79"/>
  <c r="U22" i="81" s="1"/>
  <c r="AZ24" i="79"/>
  <c r="W22" i="81" s="1"/>
  <c r="BA24" i="79"/>
  <c r="BB24" i="79"/>
  <c r="C25" i="79"/>
  <c r="AV25" i="79"/>
  <c r="AW25" i="79"/>
  <c r="AX25" i="79"/>
  <c r="AZ25" i="79"/>
  <c r="BA25" i="79"/>
  <c r="BB25" i="79"/>
  <c r="C26" i="79"/>
  <c r="AQ26" i="79"/>
  <c r="AV26" i="79"/>
  <c r="S23" i="81" s="1"/>
  <c r="AW26" i="79"/>
  <c r="T23" i="81" s="1"/>
  <c r="AX26" i="79"/>
  <c r="U23" i="81" s="1"/>
  <c r="AZ26" i="79"/>
  <c r="W23" i="81" s="1"/>
  <c r="BA26" i="79"/>
  <c r="BB26" i="79"/>
  <c r="C27" i="79"/>
  <c r="AV27" i="79"/>
  <c r="AW27" i="79"/>
  <c r="AX27" i="79"/>
  <c r="AZ27" i="79"/>
  <c r="BA27" i="79"/>
  <c r="BB27" i="79"/>
  <c r="C28" i="79"/>
  <c r="AQ28" i="79"/>
  <c r="AV28" i="79"/>
  <c r="S24" i="81" s="1"/>
  <c r="AW28" i="79"/>
  <c r="T24" i="81" s="1"/>
  <c r="AX28" i="79"/>
  <c r="U24" i="81" s="1"/>
  <c r="AZ28" i="79"/>
  <c r="W24" i="81" s="1"/>
  <c r="BA28" i="79"/>
  <c r="BB28" i="79"/>
  <c r="C29" i="79"/>
  <c r="AV29" i="79"/>
  <c r="AW29" i="79"/>
  <c r="AX29" i="79"/>
  <c r="AZ29" i="79"/>
  <c r="BA29" i="79"/>
  <c r="BB29" i="79"/>
  <c r="C30" i="79"/>
  <c r="AQ30" i="79"/>
  <c r="AV30" i="79"/>
  <c r="S25" i="81" s="1"/>
  <c r="AW30" i="79"/>
  <c r="T25" i="81" s="1"/>
  <c r="AX30" i="79"/>
  <c r="U25" i="81" s="1"/>
  <c r="AZ30" i="79"/>
  <c r="W25" i="81" s="1"/>
  <c r="BA30" i="79"/>
  <c r="BB30" i="79"/>
  <c r="C31" i="79"/>
  <c r="AV31" i="79"/>
  <c r="AW31" i="79"/>
  <c r="AX31" i="79"/>
  <c r="AZ31" i="79"/>
  <c r="BA31" i="79"/>
  <c r="BB31" i="79"/>
  <c r="C32" i="79"/>
  <c r="AQ32" i="79"/>
  <c r="AV32" i="79"/>
  <c r="S27" i="81" s="1"/>
  <c r="AW32" i="79"/>
  <c r="T27" i="81" s="1"/>
  <c r="AX32" i="79"/>
  <c r="U27" i="81" s="1"/>
  <c r="AZ32" i="79"/>
  <c r="W27" i="81" s="1"/>
  <c r="BA32" i="79"/>
  <c r="BB32" i="79"/>
  <c r="C33" i="79"/>
  <c r="AV33" i="79"/>
  <c r="AW33" i="79"/>
  <c r="AX33" i="79"/>
  <c r="AZ33" i="79"/>
  <c r="BA33" i="79"/>
  <c r="BB33" i="79"/>
  <c r="C34" i="79"/>
  <c r="AQ34" i="79"/>
  <c r="AV34" i="79"/>
  <c r="S26" i="81" s="1"/>
  <c r="AW34" i="79"/>
  <c r="T26" i="81" s="1"/>
  <c r="AX34" i="79"/>
  <c r="U26" i="81" s="1"/>
  <c r="AZ34" i="79"/>
  <c r="W26" i="81" s="1"/>
  <c r="BA34" i="79"/>
  <c r="BB34" i="79"/>
  <c r="C35" i="79"/>
  <c r="AV35" i="79"/>
  <c r="AW35" i="79"/>
  <c r="AX35" i="79"/>
  <c r="AZ35" i="79"/>
  <c r="BA35" i="79"/>
  <c r="BB35" i="79"/>
  <c r="C36" i="79"/>
  <c r="AQ36" i="79"/>
  <c r="AV36" i="79"/>
  <c r="S29" i="81" s="1"/>
  <c r="AW36" i="79"/>
  <c r="T29" i="81" s="1"/>
  <c r="AX36" i="79"/>
  <c r="U29" i="81" s="1"/>
  <c r="AZ36" i="79"/>
  <c r="W29" i="81" s="1"/>
  <c r="BA36" i="79"/>
  <c r="BB36" i="79"/>
  <c r="C37" i="79"/>
  <c r="AV37" i="79"/>
  <c r="AW37" i="79"/>
  <c r="AX37" i="79"/>
  <c r="AZ37" i="79"/>
  <c r="BA37" i="79"/>
  <c r="BB37" i="79"/>
  <c r="C38" i="79"/>
  <c r="AQ38" i="79"/>
  <c r="AV38" i="79"/>
  <c r="S30" i="81" s="1"/>
  <c r="AW38" i="79"/>
  <c r="T30" i="81" s="1"/>
  <c r="AX38" i="79"/>
  <c r="U30" i="81" s="1"/>
  <c r="AZ38" i="79"/>
  <c r="W30" i="81" s="1"/>
  <c r="BA38" i="79"/>
  <c r="BB38" i="79"/>
  <c r="C39" i="79"/>
  <c r="AV39" i="79"/>
  <c r="AW39" i="79"/>
  <c r="AX39" i="79"/>
  <c r="AZ39" i="79"/>
  <c r="BA39" i="79"/>
  <c r="BB39" i="79"/>
  <c r="C40" i="79"/>
  <c r="AQ40" i="79"/>
  <c r="AV40" i="79"/>
  <c r="S32" i="81" s="1"/>
  <c r="AW40" i="79"/>
  <c r="T32" i="81" s="1"/>
  <c r="AX40" i="79"/>
  <c r="U32" i="81" s="1"/>
  <c r="AZ40" i="79"/>
  <c r="W32" i="81" s="1"/>
  <c r="BA40" i="79"/>
  <c r="BB40" i="79"/>
  <c r="C41" i="79"/>
  <c r="AV41" i="79"/>
  <c r="AW41" i="79"/>
  <c r="AX41" i="79"/>
  <c r="AZ41" i="79"/>
  <c r="BA41" i="79"/>
  <c r="BB41" i="79"/>
  <c r="C42" i="79"/>
  <c r="AQ42" i="79"/>
  <c r="AV42" i="79"/>
  <c r="S31" i="81" s="1"/>
  <c r="AW42" i="79"/>
  <c r="T31" i="81" s="1"/>
  <c r="AX42" i="79"/>
  <c r="U31" i="81" s="1"/>
  <c r="AZ42" i="79"/>
  <c r="W31" i="81" s="1"/>
  <c r="BA42" i="79"/>
  <c r="BB42" i="79"/>
  <c r="C43" i="79"/>
  <c r="AV43" i="79"/>
  <c r="AW43" i="79"/>
  <c r="AX43" i="79"/>
  <c r="AZ43" i="79"/>
  <c r="BA43" i="79"/>
  <c r="BB43" i="79"/>
  <c r="C44" i="79"/>
  <c r="AQ44" i="79"/>
  <c r="AV44" i="79"/>
  <c r="S33" i="81" s="1"/>
  <c r="AW44" i="79"/>
  <c r="T33" i="81" s="1"/>
  <c r="AX44" i="79"/>
  <c r="U33" i="81" s="1"/>
  <c r="AZ44" i="79"/>
  <c r="W33" i="81" s="1"/>
  <c r="BA44" i="79"/>
  <c r="BB44" i="79"/>
  <c r="C45" i="79"/>
  <c r="AV45" i="79"/>
  <c r="AW45" i="79"/>
  <c r="AX45" i="79"/>
  <c r="AZ45" i="79"/>
  <c r="BA45" i="79"/>
  <c r="BB45" i="79"/>
  <c r="C46" i="79"/>
  <c r="AQ46" i="79"/>
  <c r="AV46" i="79"/>
  <c r="S36" i="81" s="1"/>
  <c r="AW46" i="79"/>
  <c r="T36" i="81" s="1"/>
  <c r="AX46" i="79"/>
  <c r="U36" i="81" s="1"/>
  <c r="AZ46" i="79"/>
  <c r="W36" i="81" s="1"/>
  <c r="BA46" i="79"/>
  <c r="BB46" i="79"/>
  <c r="C47" i="79"/>
  <c r="AV47" i="79"/>
  <c r="AW47" i="79"/>
  <c r="AX47" i="79"/>
  <c r="AZ47" i="79"/>
  <c r="BA47" i="79"/>
  <c r="BB47" i="79"/>
  <c r="C48" i="79"/>
  <c r="AQ48" i="79"/>
  <c r="AV48" i="79"/>
  <c r="S37" i="81" s="1"/>
  <c r="AW48" i="79"/>
  <c r="T37" i="81" s="1"/>
  <c r="AX48" i="79"/>
  <c r="U37" i="81" s="1"/>
  <c r="AZ48" i="79"/>
  <c r="W37" i="81" s="1"/>
  <c r="BA48" i="79"/>
  <c r="BB48" i="79"/>
  <c r="C49" i="79"/>
  <c r="AV49" i="79"/>
  <c r="AW49" i="79"/>
  <c r="AX49" i="79"/>
  <c r="AZ49" i="79"/>
  <c r="BA49" i="79"/>
  <c r="BB49" i="79"/>
  <c r="C50" i="79"/>
  <c r="AQ50" i="79"/>
  <c r="AV50" i="79"/>
  <c r="S38" i="81" s="1"/>
  <c r="AW50" i="79"/>
  <c r="T38" i="81" s="1"/>
  <c r="AX50" i="79"/>
  <c r="U38" i="81" s="1"/>
  <c r="AZ50" i="79"/>
  <c r="W38" i="81" s="1"/>
  <c r="BA50" i="79"/>
  <c r="BB50" i="79"/>
  <c r="C51" i="79"/>
  <c r="AV51" i="79"/>
  <c r="AW51" i="79"/>
  <c r="AX51" i="79"/>
  <c r="AZ51" i="79"/>
  <c r="BA51" i="79"/>
  <c r="BB51" i="79"/>
  <c r="C52" i="79"/>
  <c r="AQ52" i="79"/>
  <c r="AV52" i="79"/>
  <c r="S41" i="81" s="1"/>
  <c r="AW52" i="79"/>
  <c r="T41" i="81" s="1"/>
  <c r="AX52" i="79"/>
  <c r="U41" i="81" s="1"/>
  <c r="AZ52" i="79"/>
  <c r="W41" i="81" s="1"/>
  <c r="BA52" i="79"/>
  <c r="BB52" i="79"/>
  <c r="AV53" i="79"/>
  <c r="AW53" i="79"/>
  <c r="AX53" i="79"/>
  <c r="AZ53" i="79"/>
  <c r="BA53" i="79"/>
  <c r="BB53" i="79"/>
  <c r="C54" i="79"/>
  <c r="AQ54" i="79"/>
  <c r="AV54" i="79"/>
  <c r="S42" i="81" s="1"/>
  <c r="AW54" i="79"/>
  <c r="T42" i="81" s="1"/>
  <c r="AX54" i="79"/>
  <c r="U42" i="81" s="1"/>
  <c r="AZ54" i="79"/>
  <c r="W42" i="81" s="1"/>
  <c r="BA54" i="79"/>
  <c r="BB54" i="79"/>
  <c r="C55" i="79"/>
  <c r="AV55" i="79"/>
  <c r="AW55" i="79"/>
  <c r="AX55" i="79"/>
  <c r="AZ55" i="79"/>
  <c r="BA55" i="79"/>
  <c r="BB55" i="79"/>
  <c r="C56" i="79"/>
  <c r="AQ56" i="79"/>
  <c r="AV56" i="79"/>
  <c r="S43" i="81" s="1"/>
  <c r="AW56" i="79"/>
  <c r="T43" i="81" s="1"/>
  <c r="AX56" i="79"/>
  <c r="U43" i="81" s="1"/>
  <c r="AZ56" i="79"/>
  <c r="W43" i="81" s="1"/>
  <c r="BA56" i="79"/>
  <c r="BB56" i="79"/>
  <c r="C57" i="79"/>
  <c r="AV57" i="79"/>
  <c r="AW57" i="79"/>
  <c r="AX57" i="79"/>
  <c r="AZ57" i="79"/>
  <c r="BA57" i="79"/>
  <c r="BB57" i="79"/>
  <c r="C58" i="79"/>
  <c r="AQ58" i="79"/>
  <c r="AV58" i="79"/>
  <c r="S44" i="81" s="1"/>
  <c r="AW58" i="79"/>
  <c r="T44" i="81" s="1"/>
  <c r="AX58" i="79"/>
  <c r="U44" i="81" s="1"/>
  <c r="AZ58" i="79"/>
  <c r="W44" i="81" s="1"/>
  <c r="BA58" i="79"/>
  <c r="BB58" i="79"/>
  <c r="C59" i="79"/>
  <c r="AV59" i="79"/>
  <c r="AW59" i="79"/>
  <c r="AX59" i="79"/>
  <c r="AZ59" i="79"/>
  <c r="BA59" i="79"/>
  <c r="BB59" i="79"/>
  <c r="C60" i="79"/>
  <c r="AQ60" i="79"/>
  <c r="AV60" i="79"/>
  <c r="S45" i="81" s="1"/>
  <c r="AW60" i="79"/>
  <c r="T45" i="81" s="1"/>
  <c r="AX60" i="79"/>
  <c r="U45" i="81" s="1"/>
  <c r="AZ60" i="79"/>
  <c r="W45" i="81" s="1"/>
  <c r="BA60" i="79"/>
  <c r="BB60" i="79"/>
  <c r="C61" i="79"/>
  <c r="AV61" i="79"/>
  <c r="AW61" i="79"/>
  <c r="AX61" i="79"/>
  <c r="AZ61" i="79"/>
  <c r="BA61" i="79"/>
  <c r="BB61" i="79"/>
  <c r="C62" i="79"/>
  <c r="AQ62" i="79"/>
  <c r="AV62" i="79"/>
  <c r="S46" i="81" s="1"/>
  <c r="AW62" i="79"/>
  <c r="T46" i="81" s="1"/>
  <c r="AX62" i="79"/>
  <c r="U46" i="81" s="1"/>
  <c r="AZ62" i="79"/>
  <c r="W46" i="81" s="1"/>
  <c r="BA62" i="79"/>
  <c r="BB62" i="79"/>
  <c r="D63" i="79"/>
  <c r="E63" i="79"/>
  <c r="F63" i="79"/>
  <c r="G63" i="79"/>
  <c r="H63" i="79"/>
  <c r="I63" i="79"/>
  <c r="J63" i="79"/>
  <c r="K63" i="79"/>
  <c r="L63" i="79"/>
  <c r="M63" i="79"/>
  <c r="N63" i="79"/>
  <c r="O63" i="79"/>
  <c r="P63" i="79"/>
  <c r="Q63" i="79"/>
  <c r="R63" i="79"/>
  <c r="S63" i="79"/>
  <c r="T63" i="79"/>
  <c r="U63" i="79"/>
  <c r="V63" i="79"/>
  <c r="W63" i="79"/>
  <c r="X63" i="79"/>
  <c r="Y63" i="79"/>
  <c r="Z63" i="79"/>
  <c r="AA63" i="79"/>
  <c r="AB63" i="79"/>
  <c r="AC63" i="79"/>
  <c r="AD63" i="79"/>
  <c r="AE63" i="79"/>
  <c r="AF63" i="79"/>
  <c r="AG63" i="79"/>
  <c r="AV63" i="79"/>
  <c r="AW63" i="79"/>
  <c r="AX63" i="79"/>
  <c r="AY63" i="79"/>
  <c r="AZ63" i="79"/>
  <c r="D64" i="79"/>
  <c r="E64" i="79"/>
  <c r="F64" i="79"/>
  <c r="G64" i="79"/>
  <c r="H64" i="79"/>
  <c r="I64" i="79"/>
  <c r="J64" i="79"/>
  <c r="K64" i="79"/>
  <c r="L64" i="79"/>
  <c r="M64" i="79"/>
  <c r="N64" i="79"/>
  <c r="O64" i="79"/>
  <c r="P64" i="79"/>
  <c r="Q64" i="79"/>
  <c r="R64" i="79"/>
  <c r="S64" i="79"/>
  <c r="T64" i="79"/>
  <c r="U64" i="79"/>
  <c r="V64" i="79"/>
  <c r="W64" i="79"/>
  <c r="X64" i="79"/>
  <c r="Y64" i="79"/>
  <c r="Z64" i="79"/>
  <c r="AA64" i="79"/>
  <c r="AB64" i="79"/>
  <c r="AC64" i="79"/>
  <c r="AD64" i="79"/>
  <c r="AE64" i="79"/>
  <c r="AF64" i="79"/>
  <c r="AG64" i="79"/>
  <c r="BB64" i="79"/>
  <c r="D65" i="79"/>
  <c r="E65" i="79"/>
  <c r="F65" i="79"/>
  <c r="G65" i="79"/>
  <c r="H65" i="79"/>
  <c r="I65" i="79"/>
  <c r="J65" i="79"/>
  <c r="K65" i="79"/>
  <c r="L65" i="79"/>
  <c r="M65" i="79"/>
  <c r="N65" i="79"/>
  <c r="O65" i="79"/>
  <c r="P65" i="79"/>
  <c r="Q65" i="79"/>
  <c r="R65" i="79"/>
  <c r="S65" i="79"/>
  <c r="T65" i="79"/>
  <c r="U65" i="79"/>
  <c r="V65" i="79"/>
  <c r="W65" i="79"/>
  <c r="X65" i="79"/>
  <c r="Y65" i="79"/>
  <c r="Z65" i="79"/>
  <c r="AA65" i="79"/>
  <c r="AB65" i="79"/>
  <c r="AC65" i="79"/>
  <c r="AD65" i="79"/>
  <c r="AE65" i="79"/>
  <c r="AF65" i="79"/>
  <c r="AG65" i="79"/>
  <c r="D66" i="79"/>
  <c r="E66" i="79"/>
  <c r="F66" i="79"/>
  <c r="G66" i="79"/>
  <c r="H66" i="79"/>
  <c r="I66" i="79"/>
  <c r="J66" i="79"/>
  <c r="K66" i="79"/>
  <c r="L66" i="79"/>
  <c r="M66" i="79"/>
  <c r="N66" i="79"/>
  <c r="O66" i="79"/>
  <c r="P66" i="79"/>
  <c r="Q66" i="79"/>
  <c r="R66" i="79"/>
  <c r="S66" i="79"/>
  <c r="T66" i="79"/>
  <c r="U66" i="79"/>
  <c r="V66" i="79"/>
  <c r="W66" i="79"/>
  <c r="X66" i="79"/>
  <c r="Y66" i="79"/>
  <c r="Z66" i="79"/>
  <c r="AA66" i="79"/>
  <c r="AB66" i="79"/>
  <c r="AC66" i="79"/>
  <c r="AD66" i="79"/>
  <c r="AE66" i="79"/>
  <c r="AF66" i="79"/>
  <c r="AG66" i="79"/>
  <c r="Y69" i="72"/>
  <c r="Z69" i="72"/>
  <c r="AA69" i="72"/>
  <c r="Q9" i="48"/>
  <c r="Q26" i="48"/>
  <c r="P9" i="48"/>
  <c r="P26" i="48"/>
  <c r="B2" i="78"/>
  <c r="B3" i="78"/>
  <c r="B4" i="78"/>
  <c r="B5" i="78"/>
  <c r="B15" i="78"/>
  <c r="B16" i="78"/>
  <c r="B17" i="78"/>
  <c r="C2" i="78"/>
  <c r="C3" i="78"/>
  <c r="C4" i="78"/>
  <c r="C5" i="78"/>
  <c r="B6" i="78"/>
  <c r="C6" i="78"/>
  <c r="C11" i="78" s="1"/>
  <c r="B7" i="78"/>
  <c r="C7" i="78"/>
  <c r="E17" i="48"/>
  <c r="N43" i="77"/>
  <c r="C74" i="76"/>
  <c r="C73" i="76"/>
  <c r="C72" i="76"/>
  <c r="C71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AZ66" i="76"/>
  <c r="AY66" i="76" a="1"/>
  <c r="AY66" i="76" s="1"/>
  <c r="AX66" i="76"/>
  <c r="AW66" i="76"/>
  <c r="AV66" i="76"/>
  <c r="AP66" i="76" a="1"/>
  <c r="AP66" i="76" s="1"/>
  <c r="AO66" i="76" a="1"/>
  <c r="AO66" i="76" s="1"/>
  <c r="AN66" i="76" a="1"/>
  <c r="AN66" i="76" s="1"/>
  <c r="AM66" i="76" a="1"/>
  <c r="AM66" i="76" s="1"/>
  <c r="AL66" i="76" a="1"/>
  <c r="AL66" i="76" s="1"/>
  <c r="AK66" i="76" a="1"/>
  <c r="AK66" i="76" s="1"/>
  <c r="AQ66" i="76" s="1"/>
  <c r="AJ66" i="76" a="1"/>
  <c r="AJ66" i="76" s="1"/>
  <c r="AZ64" i="76"/>
  <c r="AY64" i="76" a="1"/>
  <c r="AY64" i="76" s="1"/>
  <c r="AX64" i="76"/>
  <c r="AW64" i="76"/>
  <c r="AV64" i="76"/>
  <c r="AP64" i="76" a="1"/>
  <c r="AP64" i="76" s="1"/>
  <c r="AO64" i="76" a="1"/>
  <c r="AO64" i="76" s="1"/>
  <c r="AN64" i="76" a="1"/>
  <c r="AN64" i="76" s="1"/>
  <c r="AM64" i="76" a="1"/>
  <c r="AM64" i="76" s="1"/>
  <c r="AL64" i="76" a="1"/>
  <c r="AL64" i="76" s="1"/>
  <c r="AK64" i="76" a="1"/>
  <c r="AK64" i="76" s="1"/>
  <c r="AQ64" i="76" s="1"/>
  <c r="AJ64" i="76" a="1"/>
  <c r="AJ64" i="76" s="1"/>
  <c r="AZ63" i="76"/>
  <c r="AY63" i="76" a="1"/>
  <c r="AY63" i="76" s="1"/>
  <c r="AX63" i="76"/>
  <c r="AW63" i="76"/>
  <c r="AV63" i="76"/>
  <c r="AP63" i="76" a="1"/>
  <c r="AP63" i="76" s="1"/>
  <c r="AO63" i="76" a="1"/>
  <c r="AO63" i="76" s="1"/>
  <c r="AN63" i="76" a="1"/>
  <c r="AN63" i="76" s="1"/>
  <c r="AM63" i="76" a="1"/>
  <c r="AM63" i="76" s="1"/>
  <c r="AL63" i="76" a="1"/>
  <c r="AL63" i="76" s="1"/>
  <c r="AK63" i="76" a="1"/>
  <c r="AK63" i="76" s="1"/>
  <c r="AQ63" i="76" s="1"/>
  <c r="AJ63" i="76" a="1"/>
  <c r="AJ63" i="76" s="1"/>
  <c r="AZ62" i="76"/>
  <c r="AY62" i="76" a="1"/>
  <c r="AY62" i="76" s="1"/>
  <c r="AX62" i="76"/>
  <c r="AW62" i="76"/>
  <c r="AV62" i="76"/>
  <c r="AP62" i="76" a="1"/>
  <c r="AP62" i="76" s="1"/>
  <c r="AO62" i="76" a="1"/>
  <c r="AO62" i="76" s="1"/>
  <c r="AN62" i="76" a="1"/>
  <c r="AN62" i="76" s="1"/>
  <c r="AM62" i="76" a="1"/>
  <c r="AM62" i="76" s="1"/>
  <c r="AL62" i="76" a="1"/>
  <c r="AL62" i="76" s="1"/>
  <c r="AK62" i="76" a="1"/>
  <c r="AK62" i="76" s="1"/>
  <c r="AQ62" i="76" s="1"/>
  <c r="AJ62" i="76" a="1"/>
  <c r="AJ62" i="76" s="1"/>
  <c r="AZ61" i="76"/>
  <c r="AY61" i="76" a="1"/>
  <c r="AY61" i="76" s="1"/>
  <c r="AX61" i="76"/>
  <c r="AW61" i="76"/>
  <c r="AV61" i="76"/>
  <c r="AP61" i="76" a="1"/>
  <c r="AP61" i="76" s="1"/>
  <c r="AO61" i="76" a="1"/>
  <c r="AO61" i="76" s="1"/>
  <c r="AN61" i="76" a="1"/>
  <c r="AN61" i="76" s="1"/>
  <c r="AM61" i="76" a="1"/>
  <c r="AM61" i="76" s="1"/>
  <c r="AL61" i="76" a="1"/>
  <c r="AL61" i="76" s="1"/>
  <c r="AK61" i="76" a="1"/>
  <c r="AK61" i="76" s="1"/>
  <c r="AQ61" i="76" s="1"/>
  <c r="AJ61" i="76" a="1"/>
  <c r="AJ61" i="76" s="1"/>
  <c r="AZ60" i="76"/>
  <c r="AY60" i="76" a="1"/>
  <c r="AY60" i="76" s="1"/>
  <c r="AX60" i="76"/>
  <c r="AW60" i="76"/>
  <c r="AV60" i="76"/>
  <c r="AP60" i="76" a="1"/>
  <c r="AP60" i="76" s="1"/>
  <c r="AO60" i="76" a="1"/>
  <c r="AO60" i="76" s="1"/>
  <c r="AN60" i="76" a="1"/>
  <c r="AN60" i="76" s="1"/>
  <c r="AM60" i="76" a="1"/>
  <c r="AM60" i="76" s="1"/>
  <c r="AL60" i="76" a="1"/>
  <c r="AL60" i="76" s="1"/>
  <c r="AK60" i="76" a="1"/>
  <c r="AK60" i="76" s="1"/>
  <c r="AQ60" i="76" s="1"/>
  <c r="AJ60" i="76" a="1"/>
  <c r="AJ60" i="76" s="1"/>
  <c r="AZ59" i="76"/>
  <c r="AY59" i="76" a="1"/>
  <c r="AY59" i="76" s="1"/>
  <c r="AX59" i="76"/>
  <c r="AW59" i="76"/>
  <c r="AV59" i="76"/>
  <c r="AP59" i="76" a="1"/>
  <c r="AP59" i="76" s="1"/>
  <c r="AO59" i="76" a="1"/>
  <c r="AO59" i="76" s="1"/>
  <c r="AN59" i="76" a="1"/>
  <c r="AN59" i="76" s="1"/>
  <c r="AM59" i="76" a="1"/>
  <c r="AM59" i="76" s="1"/>
  <c r="AL59" i="76" a="1"/>
  <c r="AL59" i="76" s="1"/>
  <c r="AK59" i="76" a="1"/>
  <c r="AK59" i="76" s="1"/>
  <c r="AQ59" i="76" s="1"/>
  <c r="AJ59" i="76" a="1"/>
  <c r="AJ59" i="76" s="1"/>
  <c r="AZ58" i="76"/>
  <c r="AY58" i="76" a="1"/>
  <c r="AY58" i="76" s="1"/>
  <c r="AX58" i="76"/>
  <c r="AW58" i="76"/>
  <c r="AV58" i="76"/>
  <c r="AP58" i="76" a="1"/>
  <c r="AP58" i="76" s="1"/>
  <c r="AO58" i="76" a="1"/>
  <c r="AO58" i="76" s="1"/>
  <c r="AN58" i="76" a="1"/>
  <c r="AN58" i="76" s="1"/>
  <c r="AM58" i="76" a="1"/>
  <c r="AM58" i="76" s="1"/>
  <c r="AL58" i="76" a="1"/>
  <c r="AL58" i="76" s="1"/>
  <c r="AK58" i="76" a="1"/>
  <c r="AK58" i="76" s="1"/>
  <c r="AQ58" i="76" s="1"/>
  <c r="AJ58" i="76" a="1"/>
  <c r="AJ58" i="76" s="1"/>
  <c r="AZ57" i="76"/>
  <c r="AY57" i="76" a="1"/>
  <c r="AY57" i="76" s="1"/>
  <c r="AX57" i="76"/>
  <c r="AW57" i="76"/>
  <c r="AV57" i="76"/>
  <c r="AP57" i="76" a="1"/>
  <c r="AP57" i="76" s="1"/>
  <c r="AO57" i="76" a="1"/>
  <c r="AO57" i="76" s="1"/>
  <c r="AN57" i="76" a="1"/>
  <c r="AN57" i="76" s="1"/>
  <c r="AM57" i="76" a="1"/>
  <c r="AM57" i="76" s="1"/>
  <c r="AL57" i="76" a="1"/>
  <c r="AL57" i="76" s="1"/>
  <c r="AK57" i="76" a="1"/>
  <c r="AK57" i="76" s="1"/>
  <c r="AQ57" i="76" s="1"/>
  <c r="AJ57" i="76" a="1"/>
  <c r="AJ57" i="76" s="1"/>
  <c r="AZ56" i="76"/>
  <c r="AY56" i="76" a="1"/>
  <c r="AY56" i="76" s="1"/>
  <c r="AX56" i="76"/>
  <c r="AW56" i="76"/>
  <c r="AV56" i="76"/>
  <c r="AP56" i="76" a="1"/>
  <c r="AP56" i="76" s="1"/>
  <c r="AO56" i="76" a="1"/>
  <c r="AO56" i="76" s="1"/>
  <c r="AN56" i="76" a="1"/>
  <c r="AN56" i="76" s="1"/>
  <c r="AM56" i="76" a="1"/>
  <c r="AM56" i="76" s="1"/>
  <c r="AL56" i="76" a="1"/>
  <c r="AL56" i="76" s="1"/>
  <c r="AK56" i="76" a="1"/>
  <c r="AK56" i="76" s="1"/>
  <c r="AQ56" i="76" s="1"/>
  <c r="AJ56" i="76" a="1"/>
  <c r="AJ56" i="76" s="1"/>
  <c r="AZ55" i="76"/>
  <c r="AY55" i="76" a="1"/>
  <c r="AY55" i="76" s="1"/>
  <c r="AX55" i="76"/>
  <c r="AW55" i="76"/>
  <c r="AV55" i="76"/>
  <c r="AP55" i="76" a="1"/>
  <c r="AP55" i="76" s="1"/>
  <c r="AO55" i="76" a="1"/>
  <c r="AO55" i="76" s="1"/>
  <c r="AN55" i="76" a="1"/>
  <c r="AN55" i="76" s="1"/>
  <c r="AM55" i="76" a="1"/>
  <c r="AM55" i="76" s="1"/>
  <c r="AL55" i="76" a="1"/>
  <c r="AL55" i="76" s="1"/>
  <c r="AK55" i="76" a="1"/>
  <c r="AK55" i="76" s="1"/>
  <c r="AQ55" i="76" s="1"/>
  <c r="AJ55" i="76" a="1"/>
  <c r="AJ55" i="76" s="1"/>
  <c r="AZ54" i="76"/>
  <c r="AY54" i="76" a="1"/>
  <c r="AY54" i="76" s="1"/>
  <c r="AX54" i="76"/>
  <c r="AW54" i="76"/>
  <c r="AV54" i="76"/>
  <c r="AP54" i="76" a="1"/>
  <c r="AP54" i="76" s="1"/>
  <c r="AO54" i="76" a="1"/>
  <c r="AO54" i="76" s="1"/>
  <c r="AN54" i="76" a="1"/>
  <c r="AN54" i="76" s="1"/>
  <c r="AM54" i="76" a="1"/>
  <c r="AM54" i="76" s="1"/>
  <c r="AL54" i="76" a="1"/>
  <c r="AL54" i="76" s="1"/>
  <c r="AK54" i="76" a="1"/>
  <c r="AK54" i="76" s="1"/>
  <c r="AQ54" i="76" s="1"/>
  <c r="AJ54" i="76" a="1"/>
  <c r="AJ54" i="76" s="1"/>
  <c r="AZ53" i="76"/>
  <c r="AY53" i="76" a="1"/>
  <c r="AY53" i="76" s="1"/>
  <c r="AX53" i="76"/>
  <c r="AW53" i="76"/>
  <c r="AV53" i="76"/>
  <c r="AP53" i="76" a="1"/>
  <c r="AP53" i="76" s="1"/>
  <c r="AO53" i="76" a="1"/>
  <c r="AO53" i="76" s="1"/>
  <c r="AN53" i="76" a="1"/>
  <c r="AN53" i="76" s="1"/>
  <c r="AM53" i="76" a="1"/>
  <c r="AM53" i="76" s="1"/>
  <c r="AL53" i="76" a="1"/>
  <c r="AL53" i="76" s="1"/>
  <c r="AK53" i="76" a="1"/>
  <c r="AK53" i="76" s="1"/>
  <c r="AQ53" i="76" s="1"/>
  <c r="AJ53" i="76" a="1"/>
  <c r="AJ53" i="76" s="1"/>
  <c r="AZ52" i="76"/>
  <c r="AY52" i="76" a="1"/>
  <c r="AY52" i="76" s="1"/>
  <c r="AX52" i="76"/>
  <c r="AW52" i="76"/>
  <c r="AV52" i="76"/>
  <c r="AP52" i="76" a="1"/>
  <c r="AP52" i="76" s="1"/>
  <c r="AO52" i="76" a="1"/>
  <c r="AO52" i="76" s="1"/>
  <c r="AN52" i="76" a="1"/>
  <c r="AN52" i="76" s="1"/>
  <c r="AM52" i="76" a="1"/>
  <c r="AM52" i="76" s="1"/>
  <c r="AL52" i="76" a="1"/>
  <c r="AL52" i="76" s="1"/>
  <c r="AK52" i="76" a="1"/>
  <c r="AK52" i="76" s="1"/>
  <c r="AQ52" i="76" s="1"/>
  <c r="AJ52" i="76" a="1"/>
  <c r="AJ52" i="76" s="1"/>
  <c r="AZ51" i="76"/>
  <c r="AY51" i="76" a="1"/>
  <c r="AY51" i="76" s="1"/>
  <c r="AX51" i="76"/>
  <c r="AW51" i="76"/>
  <c r="AV51" i="76"/>
  <c r="AP51" i="76" a="1"/>
  <c r="AP51" i="76" s="1"/>
  <c r="AO51" i="76" a="1"/>
  <c r="AO51" i="76" s="1"/>
  <c r="AN51" i="76" a="1"/>
  <c r="AN51" i="76" s="1"/>
  <c r="AM51" i="76" a="1"/>
  <c r="AM51" i="76" s="1"/>
  <c r="AL51" i="76" a="1"/>
  <c r="AL51" i="76" s="1"/>
  <c r="AK51" i="76" a="1"/>
  <c r="AK51" i="76" s="1"/>
  <c r="AQ51" i="76" s="1"/>
  <c r="AJ51" i="76" a="1"/>
  <c r="AJ51" i="76" s="1"/>
  <c r="AZ50" i="76"/>
  <c r="AY50" i="76" a="1"/>
  <c r="AY50" i="76" s="1"/>
  <c r="AX50" i="76"/>
  <c r="AW50" i="76"/>
  <c r="AV50" i="76"/>
  <c r="AP50" i="76" a="1"/>
  <c r="AP50" i="76" s="1"/>
  <c r="AO50" i="76" a="1"/>
  <c r="AO50" i="76" s="1"/>
  <c r="AN50" i="76" a="1"/>
  <c r="AN50" i="76" s="1"/>
  <c r="AM50" i="76" a="1"/>
  <c r="AM50" i="76" s="1"/>
  <c r="AL50" i="76" a="1"/>
  <c r="AL50" i="76" s="1"/>
  <c r="AK50" i="76" a="1"/>
  <c r="AK50" i="76" s="1"/>
  <c r="AQ50" i="76" s="1"/>
  <c r="AJ50" i="76" a="1"/>
  <c r="AJ50" i="76" s="1"/>
  <c r="AZ49" i="76"/>
  <c r="AY49" i="76" a="1"/>
  <c r="AY49" i="76" s="1"/>
  <c r="AX49" i="76"/>
  <c r="AW49" i="76"/>
  <c r="AV49" i="76"/>
  <c r="AP49" i="76" a="1"/>
  <c r="AP49" i="76" s="1"/>
  <c r="AO49" i="76" a="1"/>
  <c r="AO49" i="76" s="1"/>
  <c r="AN49" i="76" a="1"/>
  <c r="AN49" i="76" s="1"/>
  <c r="AM49" i="76" a="1"/>
  <c r="AM49" i="76" s="1"/>
  <c r="AL49" i="76" a="1"/>
  <c r="AL49" i="76" s="1"/>
  <c r="AK49" i="76" a="1"/>
  <c r="AK49" i="76" s="1"/>
  <c r="AQ49" i="76" s="1"/>
  <c r="AJ49" i="76" a="1"/>
  <c r="AJ49" i="76" s="1"/>
  <c r="AZ48" i="76"/>
  <c r="AY48" i="76" a="1"/>
  <c r="AY48" i="76" s="1"/>
  <c r="AX48" i="76"/>
  <c r="AW48" i="76"/>
  <c r="AV48" i="76"/>
  <c r="AP48" i="76" a="1"/>
  <c r="AP48" i="76" s="1"/>
  <c r="AO48" i="76" a="1"/>
  <c r="AO48" i="76" s="1"/>
  <c r="AN48" i="76" a="1"/>
  <c r="AN48" i="76" s="1"/>
  <c r="AM48" i="76" a="1"/>
  <c r="AM48" i="76" s="1"/>
  <c r="AL48" i="76" a="1"/>
  <c r="AL48" i="76" s="1"/>
  <c r="AK48" i="76" a="1"/>
  <c r="AK48" i="76" s="1"/>
  <c r="AQ48" i="76" s="1"/>
  <c r="AJ48" i="76" a="1"/>
  <c r="AJ48" i="76" s="1"/>
  <c r="AZ47" i="76"/>
  <c r="AY47" i="76" a="1"/>
  <c r="AY47" i="76" s="1"/>
  <c r="AX47" i="76"/>
  <c r="AW47" i="76"/>
  <c r="AV47" i="76"/>
  <c r="AP47" i="76" a="1"/>
  <c r="AP47" i="76" s="1"/>
  <c r="AO47" i="76" a="1"/>
  <c r="AO47" i="76" s="1"/>
  <c r="AN47" i="76" a="1"/>
  <c r="AN47" i="76" s="1"/>
  <c r="AM47" i="76" a="1"/>
  <c r="AM47" i="76" s="1"/>
  <c r="AL47" i="76" a="1"/>
  <c r="AL47" i="76" s="1"/>
  <c r="AK47" i="76" a="1"/>
  <c r="AK47" i="76" s="1"/>
  <c r="AQ47" i="76" s="1"/>
  <c r="AJ47" i="76" a="1"/>
  <c r="AJ47" i="76" s="1"/>
  <c r="AZ46" i="76"/>
  <c r="AY46" i="76" a="1"/>
  <c r="AY46" i="76" s="1"/>
  <c r="AX46" i="76"/>
  <c r="AW46" i="76"/>
  <c r="AV46" i="76"/>
  <c r="AP46" i="76" a="1"/>
  <c r="AP46" i="76" s="1"/>
  <c r="AO46" i="76" a="1"/>
  <c r="AO46" i="76" s="1"/>
  <c r="AN46" i="76" a="1"/>
  <c r="AN46" i="76" s="1"/>
  <c r="AM46" i="76" a="1"/>
  <c r="AM46" i="76" s="1"/>
  <c r="AL46" i="76" a="1"/>
  <c r="AL46" i="76" s="1"/>
  <c r="AK46" i="76" a="1"/>
  <c r="AK46" i="76" s="1"/>
  <c r="AQ46" i="76" s="1"/>
  <c r="AJ46" i="76" a="1"/>
  <c r="AJ46" i="76" s="1"/>
  <c r="AZ45" i="76"/>
  <c r="AY45" i="76" a="1"/>
  <c r="AY45" i="76" s="1"/>
  <c r="AX45" i="76"/>
  <c r="AW45" i="76"/>
  <c r="AV45" i="76"/>
  <c r="AP45" i="76" a="1"/>
  <c r="AP45" i="76" s="1"/>
  <c r="AO45" i="76" a="1"/>
  <c r="AO45" i="76" s="1"/>
  <c r="AN45" i="76" a="1"/>
  <c r="AN45" i="76" s="1"/>
  <c r="AM45" i="76" a="1"/>
  <c r="AM45" i="76" s="1"/>
  <c r="AL45" i="76" a="1"/>
  <c r="AL45" i="76" s="1"/>
  <c r="AK45" i="76" a="1"/>
  <c r="AK45" i="76" s="1"/>
  <c r="AQ45" i="76" s="1"/>
  <c r="AJ45" i="76" a="1"/>
  <c r="AJ45" i="76" s="1"/>
  <c r="AZ44" i="76"/>
  <c r="AY44" i="76" a="1"/>
  <c r="AY44" i="76" s="1"/>
  <c r="AX44" i="76"/>
  <c r="AW44" i="76"/>
  <c r="AV44" i="76"/>
  <c r="AP44" i="76" a="1"/>
  <c r="AP44" i="76" s="1"/>
  <c r="AO44" i="76" a="1"/>
  <c r="AO44" i="76" s="1"/>
  <c r="AN44" i="76" a="1"/>
  <c r="AN44" i="76" s="1"/>
  <c r="AM44" i="76" a="1"/>
  <c r="AM44" i="76" s="1"/>
  <c r="AL44" i="76" a="1"/>
  <c r="AL44" i="76" s="1"/>
  <c r="AK44" i="76" a="1"/>
  <c r="AK44" i="76" s="1"/>
  <c r="AQ44" i="76" s="1"/>
  <c r="AJ44" i="76" a="1"/>
  <c r="AJ44" i="76" s="1"/>
  <c r="AZ43" i="76"/>
  <c r="AY43" i="76" a="1"/>
  <c r="AY43" i="76" s="1"/>
  <c r="AX43" i="76"/>
  <c r="AW43" i="76"/>
  <c r="AV43" i="76"/>
  <c r="AP43" i="76" a="1"/>
  <c r="AP43" i="76" s="1"/>
  <c r="AO43" i="76" a="1"/>
  <c r="AO43" i="76" s="1"/>
  <c r="AN43" i="76" a="1"/>
  <c r="AN43" i="76" s="1"/>
  <c r="AM43" i="76" a="1"/>
  <c r="AM43" i="76" s="1"/>
  <c r="AL43" i="76" a="1"/>
  <c r="AL43" i="76" s="1"/>
  <c r="AK43" i="76" a="1"/>
  <c r="AK43" i="76" s="1"/>
  <c r="AQ43" i="76" s="1"/>
  <c r="AJ43" i="76" a="1"/>
  <c r="AJ43" i="76" s="1"/>
  <c r="AZ42" i="76"/>
  <c r="AY42" i="76" a="1"/>
  <c r="AY42" i="76" s="1"/>
  <c r="AX42" i="76"/>
  <c r="AW42" i="76"/>
  <c r="AV42" i="76"/>
  <c r="AP42" i="76" a="1"/>
  <c r="AP42" i="76" s="1"/>
  <c r="AO42" i="76" a="1"/>
  <c r="AO42" i="76" s="1"/>
  <c r="AN42" i="76" a="1"/>
  <c r="AN42" i="76" s="1"/>
  <c r="AM42" i="76" a="1"/>
  <c r="AM42" i="76" s="1"/>
  <c r="AL42" i="76" a="1"/>
  <c r="AL42" i="76" s="1"/>
  <c r="AK42" i="76" a="1"/>
  <c r="AK42" i="76" s="1"/>
  <c r="AQ42" i="76" s="1"/>
  <c r="AJ42" i="76" a="1"/>
  <c r="AJ42" i="76" s="1"/>
  <c r="AZ41" i="76"/>
  <c r="AY41" i="76" a="1"/>
  <c r="AY41" i="76" s="1"/>
  <c r="AX41" i="76"/>
  <c r="AW41" i="76"/>
  <c r="AV41" i="76"/>
  <c r="AP41" i="76" a="1"/>
  <c r="AP41" i="76" s="1"/>
  <c r="AO41" i="76" a="1"/>
  <c r="AO41" i="76" s="1"/>
  <c r="AN41" i="76" a="1"/>
  <c r="AN41" i="76" s="1"/>
  <c r="AM41" i="76" a="1"/>
  <c r="AM41" i="76" s="1"/>
  <c r="AL41" i="76" a="1"/>
  <c r="AL41" i="76" s="1"/>
  <c r="AK41" i="76" a="1"/>
  <c r="AK41" i="76" s="1"/>
  <c r="AQ41" i="76" s="1"/>
  <c r="AJ41" i="76" a="1"/>
  <c r="AJ41" i="76" s="1"/>
  <c r="AZ40" i="76"/>
  <c r="AY40" i="76" a="1"/>
  <c r="AY40" i="76" s="1"/>
  <c r="AX40" i="76"/>
  <c r="AW40" i="76"/>
  <c r="AV40" i="76"/>
  <c r="AP40" i="76" a="1"/>
  <c r="AP40" i="76" s="1"/>
  <c r="AO40" i="76" a="1"/>
  <c r="AO40" i="76" s="1"/>
  <c r="AN40" i="76" a="1"/>
  <c r="AN40" i="76" s="1"/>
  <c r="AM40" i="76" a="1"/>
  <c r="AM40" i="76" s="1"/>
  <c r="AL40" i="76" a="1"/>
  <c r="AL40" i="76" s="1"/>
  <c r="AK40" i="76" a="1"/>
  <c r="AK40" i="76" s="1"/>
  <c r="AQ40" i="76" s="1"/>
  <c r="AJ40" i="76" a="1"/>
  <c r="AJ40" i="76" s="1"/>
  <c r="AZ39" i="76"/>
  <c r="AY39" i="76" a="1"/>
  <c r="AY39" i="76" s="1"/>
  <c r="AX39" i="76"/>
  <c r="AW39" i="76"/>
  <c r="AV39" i="76"/>
  <c r="AP39" i="76" a="1"/>
  <c r="AP39" i="76" s="1"/>
  <c r="AO39" i="76" a="1"/>
  <c r="AO39" i="76" s="1"/>
  <c r="AN39" i="76" a="1"/>
  <c r="AN39" i="76" s="1"/>
  <c r="AM39" i="76" a="1"/>
  <c r="AM39" i="76" s="1"/>
  <c r="AL39" i="76" a="1"/>
  <c r="AL39" i="76" s="1"/>
  <c r="AK39" i="76" a="1"/>
  <c r="AK39" i="76" s="1"/>
  <c r="AQ39" i="76" s="1"/>
  <c r="AJ39" i="76" a="1"/>
  <c r="AJ39" i="76" s="1"/>
  <c r="AZ38" i="76"/>
  <c r="AY38" i="76" a="1"/>
  <c r="AY38" i="76" s="1"/>
  <c r="AX38" i="76"/>
  <c r="AW38" i="76"/>
  <c r="AV38" i="76"/>
  <c r="AP38" i="76" a="1"/>
  <c r="AP38" i="76" s="1"/>
  <c r="AO38" i="76" a="1"/>
  <c r="AO38" i="76" s="1"/>
  <c r="AN38" i="76" a="1"/>
  <c r="AN38" i="76" s="1"/>
  <c r="AM38" i="76" a="1"/>
  <c r="AM38" i="76" s="1"/>
  <c r="AL38" i="76" a="1"/>
  <c r="AL38" i="76" s="1"/>
  <c r="AK38" i="76" a="1"/>
  <c r="AK38" i="76" s="1"/>
  <c r="AQ38" i="76" s="1"/>
  <c r="AJ38" i="76" a="1"/>
  <c r="AJ38" i="76" s="1"/>
  <c r="AZ37" i="76"/>
  <c r="AY37" i="76" a="1"/>
  <c r="AY37" i="76" s="1"/>
  <c r="AX37" i="76"/>
  <c r="AW37" i="76"/>
  <c r="AV37" i="76"/>
  <c r="AP37" i="76" a="1"/>
  <c r="AP37" i="76" s="1"/>
  <c r="AO37" i="76" a="1"/>
  <c r="AO37" i="76" s="1"/>
  <c r="AN37" i="76" a="1"/>
  <c r="AN37" i="76" s="1"/>
  <c r="AM37" i="76" a="1"/>
  <c r="AM37" i="76" s="1"/>
  <c r="AL37" i="76" a="1"/>
  <c r="AL37" i="76" s="1"/>
  <c r="AK37" i="76" a="1"/>
  <c r="AK37" i="76" s="1"/>
  <c r="AQ37" i="76" s="1"/>
  <c r="AJ37" i="76" a="1"/>
  <c r="AJ37" i="76" s="1"/>
  <c r="AZ36" i="76"/>
  <c r="AY36" i="76" a="1"/>
  <c r="AY36" i="76" s="1"/>
  <c r="AX36" i="76"/>
  <c r="AW36" i="76"/>
  <c r="AV36" i="76"/>
  <c r="AP36" i="76" a="1"/>
  <c r="AP36" i="76" s="1"/>
  <c r="AO36" i="76" a="1"/>
  <c r="AO36" i="76" s="1"/>
  <c r="AN36" i="76" a="1"/>
  <c r="AN36" i="76" s="1"/>
  <c r="AM36" i="76" a="1"/>
  <c r="AM36" i="76" s="1"/>
  <c r="AL36" i="76" a="1"/>
  <c r="AL36" i="76" s="1"/>
  <c r="AK36" i="76" a="1"/>
  <c r="AK36" i="76" s="1"/>
  <c r="AQ36" i="76" s="1"/>
  <c r="AJ36" i="76" a="1"/>
  <c r="AJ36" i="76" s="1"/>
  <c r="AZ35" i="76"/>
  <c r="AY35" i="76" a="1"/>
  <c r="AY35" i="76" s="1"/>
  <c r="AX35" i="76"/>
  <c r="AW35" i="76"/>
  <c r="AV35" i="76"/>
  <c r="AP35" i="76" a="1"/>
  <c r="AP35" i="76" s="1"/>
  <c r="AO35" i="76" a="1"/>
  <c r="AO35" i="76" s="1"/>
  <c r="AN35" i="76" a="1"/>
  <c r="AN35" i="76" s="1"/>
  <c r="AM35" i="76" a="1"/>
  <c r="AM35" i="76" s="1"/>
  <c r="AL35" i="76" a="1"/>
  <c r="AL35" i="76" s="1"/>
  <c r="AK35" i="76" a="1"/>
  <c r="AK35" i="76" s="1"/>
  <c r="AQ35" i="76" s="1"/>
  <c r="AJ35" i="76" a="1"/>
  <c r="AJ35" i="76" s="1"/>
  <c r="AZ34" i="76"/>
  <c r="AY34" i="76" a="1"/>
  <c r="AY34" i="76" s="1"/>
  <c r="AX34" i="76"/>
  <c r="AW34" i="76"/>
  <c r="AV34" i="76"/>
  <c r="AP34" i="76" a="1"/>
  <c r="AP34" i="76" s="1"/>
  <c r="AO34" i="76" a="1"/>
  <c r="AO34" i="76" s="1"/>
  <c r="AN34" i="76" a="1"/>
  <c r="AN34" i="76" s="1"/>
  <c r="AM34" i="76" a="1"/>
  <c r="AM34" i="76" s="1"/>
  <c r="AL34" i="76" a="1"/>
  <c r="AL34" i="76" s="1"/>
  <c r="AK34" i="76" a="1"/>
  <c r="AK34" i="76" s="1"/>
  <c r="AQ34" i="76" s="1"/>
  <c r="AJ34" i="76" a="1"/>
  <c r="AJ34" i="76" s="1"/>
  <c r="AZ33" i="76"/>
  <c r="AY33" i="76" a="1"/>
  <c r="AY33" i="76" s="1"/>
  <c r="AX33" i="76"/>
  <c r="AW33" i="76"/>
  <c r="AV33" i="76"/>
  <c r="AP33" i="76" a="1"/>
  <c r="AP33" i="76" s="1"/>
  <c r="AO33" i="76" a="1"/>
  <c r="AO33" i="76" s="1"/>
  <c r="AN33" i="76" a="1"/>
  <c r="AN33" i="76" s="1"/>
  <c r="AM33" i="76" a="1"/>
  <c r="AM33" i="76" s="1"/>
  <c r="AL33" i="76" a="1"/>
  <c r="AL33" i="76" s="1"/>
  <c r="AK33" i="76" a="1"/>
  <c r="AK33" i="76" s="1"/>
  <c r="AQ33" i="76" s="1"/>
  <c r="AJ33" i="76" a="1"/>
  <c r="AJ33" i="76" s="1"/>
  <c r="AZ32" i="76"/>
  <c r="AY32" i="76" a="1"/>
  <c r="AY32" i="76" s="1"/>
  <c r="AX32" i="76"/>
  <c r="AW32" i="76"/>
  <c r="AV32" i="76"/>
  <c r="AP32" i="76" a="1"/>
  <c r="AP32" i="76" s="1"/>
  <c r="AO32" i="76" a="1"/>
  <c r="AO32" i="76" s="1"/>
  <c r="AN32" i="76" a="1"/>
  <c r="AN32" i="76" s="1"/>
  <c r="AM32" i="76" a="1"/>
  <c r="AM32" i="76" s="1"/>
  <c r="AL32" i="76" a="1"/>
  <c r="AL32" i="76" s="1"/>
  <c r="AK32" i="76" a="1"/>
  <c r="AK32" i="76" s="1"/>
  <c r="AQ32" i="76" s="1"/>
  <c r="AJ32" i="76" a="1"/>
  <c r="AJ32" i="76" s="1"/>
  <c r="AZ31" i="76"/>
  <c r="AY31" i="76" a="1"/>
  <c r="AY31" i="76" s="1"/>
  <c r="AX31" i="76"/>
  <c r="AW31" i="76"/>
  <c r="AV31" i="76"/>
  <c r="AP31" i="76" a="1"/>
  <c r="AP31" i="76" s="1"/>
  <c r="AO31" i="76" a="1"/>
  <c r="AO31" i="76" s="1"/>
  <c r="AN31" i="76" a="1"/>
  <c r="AN31" i="76" s="1"/>
  <c r="AM31" i="76" a="1"/>
  <c r="AM31" i="76" s="1"/>
  <c r="AL31" i="76" a="1"/>
  <c r="AL31" i="76" s="1"/>
  <c r="AK31" i="76" a="1"/>
  <c r="AK31" i="76" s="1"/>
  <c r="AQ31" i="76" s="1"/>
  <c r="AJ31" i="76" a="1"/>
  <c r="AJ31" i="76" s="1"/>
  <c r="AZ30" i="76"/>
  <c r="AY30" i="76" a="1"/>
  <c r="AY30" i="76" s="1"/>
  <c r="AX30" i="76"/>
  <c r="AW30" i="76"/>
  <c r="AV30" i="76"/>
  <c r="AP30" i="76" a="1"/>
  <c r="AP30" i="76" s="1"/>
  <c r="AO30" i="76" a="1"/>
  <c r="AO30" i="76" s="1"/>
  <c r="AN30" i="76" a="1"/>
  <c r="AN30" i="76" s="1"/>
  <c r="AM30" i="76" a="1"/>
  <c r="AM30" i="76" s="1"/>
  <c r="AL30" i="76" a="1"/>
  <c r="AL30" i="76" s="1"/>
  <c r="AK30" i="76" a="1"/>
  <c r="AK30" i="76" s="1"/>
  <c r="AQ30" i="76" s="1"/>
  <c r="AJ30" i="76" a="1"/>
  <c r="AJ30" i="76" s="1"/>
  <c r="AZ29" i="76"/>
  <c r="AY29" i="76" a="1"/>
  <c r="AY29" i="76" s="1"/>
  <c r="AX29" i="76"/>
  <c r="AW29" i="76"/>
  <c r="AV29" i="76"/>
  <c r="AP29" i="76" a="1"/>
  <c r="AP29" i="76" s="1"/>
  <c r="AO29" i="76" a="1"/>
  <c r="AO29" i="76" s="1"/>
  <c r="AN29" i="76" a="1"/>
  <c r="AN29" i="76" s="1"/>
  <c r="AM29" i="76" a="1"/>
  <c r="AM29" i="76" s="1"/>
  <c r="AL29" i="76" a="1"/>
  <c r="AL29" i="76" s="1"/>
  <c r="AK29" i="76" a="1"/>
  <c r="AK29" i="76" s="1"/>
  <c r="AQ29" i="76" s="1"/>
  <c r="AJ29" i="76" a="1"/>
  <c r="AJ29" i="76" s="1"/>
  <c r="AZ28" i="76"/>
  <c r="AY28" i="76" a="1"/>
  <c r="AY28" i="76" s="1"/>
  <c r="AX28" i="76"/>
  <c r="AW28" i="76"/>
  <c r="AV28" i="76"/>
  <c r="AP28" i="76" a="1"/>
  <c r="AP28" i="76" s="1"/>
  <c r="AO28" i="76" a="1"/>
  <c r="AO28" i="76" s="1"/>
  <c r="AN28" i="76" a="1"/>
  <c r="AN28" i="76" s="1"/>
  <c r="AM28" i="76" a="1"/>
  <c r="AM28" i="76" s="1"/>
  <c r="AL28" i="76" a="1"/>
  <c r="AL28" i="76" s="1"/>
  <c r="AK28" i="76" a="1"/>
  <c r="AK28" i="76" s="1"/>
  <c r="AQ28" i="76" s="1"/>
  <c r="AJ28" i="76" a="1"/>
  <c r="AJ28" i="76" s="1"/>
  <c r="AZ27" i="76"/>
  <c r="AY27" i="76" a="1"/>
  <c r="AY27" i="76" s="1"/>
  <c r="AX27" i="76"/>
  <c r="AW27" i="76"/>
  <c r="AV27" i="76"/>
  <c r="AP27" i="76" a="1"/>
  <c r="AP27" i="76" s="1"/>
  <c r="AO27" i="76" a="1"/>
  <c r="AO27" i="76" s="1"/>
  <c r="AN27" i="76" a="1"/>
  <c r="AN27" i="76" s="1"/>
  <c r="AM27" i="76" a="1"/>
  <c r="AM27" i="76" s="1"/>
  <c r="AL27" i="76" a="1"/>
  <c r="AL27" i="76" s="1"/>
  <c r="AK27" i="76" a="1"/>
  <c r="AK27" i="76" s="1"/>
  <c r="AQ27" i="76" s="1"/>
  <c r="AJ27" i="76" a="1"/>
  <c r="AJ27" i="76" s="1"/>
  <c r="AZ26" i="76"/>
  <c r="AY26" i="76" a="1"/>
  <c r="AY26" i="76" s="1"/>
  <c r="AX26" i="76"/>
  <c r="AW26" i="76"/>
  <c r="AV26" i="76"/>
  <c r="AP26" i="76" a="1"/>
  <c r="AP26" i="76" s="1"/>
  <c r="AO26" i="76" a="1"/>
  <c r="AO26" i="76" s="1"/>
  <c r="AN26" i="76" a="1"/>
  <c r="AN26" i="76" s="1"/>
  <c r="AM26" i="76" a="1"/>
  <c r="AM26" i="76" s="1"/>
  <c r="AL26" i="76" a="1"/>
  <c r="AL26" i="76" s="1"/>
  <c r="AK26" i="76" a="1"/>
  <c r="AK26" i="76" s="1"/>
  <c r="AQ26" i="76" s="1"/>
  <c r="AJ26" i="76" a="1"/>
  <c r="AJ26" i="76" s="1"/>
  <c r="AZ25" i="76"/>
  <c r="AY25" i="76" a="1"/>
  <c r="AY25" i="76" s="1"/>
  <c r="AX25" i="76"/>
  <c r="AW25" i="76"/>
  <c r="AV25" i="76"/>
  <c r="AP25" i="76" a="1"/>
  <c r="AP25" i="76" s="1"/>
  <c r="AO25" i="76" a="1"/>
  <c r="AO25" i="76" s="1"/>
  <c r="AN25" i="76" a="1"/>
  <c r="AN25" i="76" s="1"/>
  <c r="AM25" i="76" a="1"/>
  <c r="AM25" i="76" s="1"/>
  <c r="AL25" i="76" a="1"/>
  <c r="AL25" i="76" s="1"/>
  <c r="AK25" i="76" a="1"/>
  <c r="AK25" i="76" s="1"/>
  <c r="AQ25" i="76" s="1"/>
  <c r="AJ25" i="76" a="1"/>
  <c r="AJ25" i="76" s="1"/>
  <c r="AZ24" i="76"/>
  <c r="AY24" i="76" a="1"/>
  <c r="AY24" i="76" s="1"/>
  <c r="AX24" i="76"/>
  <c r="AW24" i="76"/>
  <c r="AV24" i="76"/>
  <c r="AP24" i="76" a="1"/>
  <c r="AP24" i="76" s="1"/>
  <c r="AO24" i="76" a="1"/>
  <c r="AO24" i="76" s="1"/>
  <c r="AN24" i="76" a="1"/>
  <c r="AN24" i="76" s="1"/>
  <c r="AM24" i="76" a="1"/>
  <c r="AM24" i="76" s="1"/>
  <c r="AL24" i="76" a="1"/>
  <c r="AL24" i="76" s="1"/>
  <c r="AK24" i="76" a="1"/>
  <c r="AK24" i="76" s="1"/>
  <c r="AQ24" i="76" s="1"/>
  <c r="AJ24" i="76" a="1"/>
  <c r="AJ24" i="76" s="1"/>
  <c r="AZ23" i="76"/>
  <c r="AY23" i="76" a="1"/>
  <c r="AY23" i="76" s="1"/>
  <c r="AX23" i="76"/>
  <c r="AW23" i="76"/>
  <c r="AV23" i="76"/>
  <c r="AP23" i="76" a="1"/>
  <c r="AP23" i="76" s="1"/>
  <c r="AO23" i="76" a="1"/>
  <c r="AO23" i="76" s="1"/>
  <c r="AN23" i="76" a="1"/>
  <c r="AN23" i="76" s="1"/>
  <c r="AM23" i="76" a="1"/>
  <c r="AM23" i="76" s="1"/>
  <c r="AL23" i="76" a="1"/>
  <c r="AL23" i="76" s="1"/>
  <c r="AK23" i="76" a="1"/>
  <c r="AK23" i="76" s="1"/>
  <c r="AQ23" i="76" s="1"/>
  <c r="AJ23" i="76" a="1"/>
  <c r="AJ23" i="76" s="1"/>
  <c r="AZ22" i="76"/>
  <c r="AY22" i="76" a="1"/>
  <c r="AY22" i="76" s="1"/>
  <c r="AX22" i="76"/>
  <c r="AW22" i="76"/>
  <c r="AV22" i="76"/>
  <c r="AP22" i="76" a="1"/>
  <c r="AP22" i="76" s="1"/>
  <c r="AO22" i="76" a="1"/>
  <c r="AO22" i="76" s="1"/>
  <c r="AN22" i="76" a="1"/>
  <c r="AN22" i="76" s="1"/>
  <c r="AM22" i="76" a="1"/>
  <c r="AM22" i="76" s="1"/>
  <c r="AL22" i="76" a="1"/>
  <c r="AL22" i="76" s="1"/>
  <c r="AK22" i="76" a="1"/>
  <c r="AK22" i="76" s="1"/>
  <c r="AQ22" i="76" s="1"/>
  <c r="AJ22" i="76" a="1"/>
  <c r="AJ22" i="76" s="1"/>
  <c r="AZ21" i="76"/>
  <c r="AY21" i="76" a="1"/>
  <c r="AY21" i="76" s="1"/>
  <c r="AX21" i="76"/>
  <c r="AW21" i="76"/>
  <c r="AV21" i="76"/>
  <c r="AP21" i="76" a="1"/>
  <c r="AP21" i="76" s="1"/>
  <c r="AO21" i="76" a="1"/>
  <c r="AO21" i="76" s="1"/>
  <c r="AN21" i="76" a="1"/>
  <c r="AN21" i="76" s="1"/>
  <c r="AM21" i="76" a="1"/>
  <c r="AM21" i="76" s="1"/>
  <c r="AL21" i="76" a="1"/>
  <c r="AL21" i="76" s="1"/>
  <c r="AK21" i="76" a="1"/>
  <c r="AK21" i="76" s="1"/>
  <c r="AQ21" i="76" s="1"/>
  <c r="AJ21" i="76" a="1"/>
  <c r="AJ21" i="76" s="1"/>
  <c r="AZ20" i="76"/>
  <c r="AY20" i="76" a="1"/>
  <c r="AY20" i="76" s="1"/>
  <c r="AX20" i="76"/>
  <c r="AW20" i="76"/>
  <c r="AV20" i="76"/>
  <c r="AP20" i="76" a="1"/>
  <c r="AP20" i="76" s="1"/>
  <c r="AO20" i="76" a="1"/>
  <c r="AO20" i="76" s="1"/>
  <c r="AN20" i="76" a="1"/>
  <c r="AN20" i="76" s="1"/>
  <c r="AM20" i="76" a="1"/>
  <c r="AM20" i="76" s="1"/>
  <c r="AL20" i="76" a="1"/>
  <c r="AL20" i="76" s="1"/>
  <c r="AK20" i="76" a="1"/>
  <c r="AK20" i="76" s="1"/>
  <c r="AQ20" i="76" s="1"/>
  <c r="AJ20" i="76" a="1"/>
  <c r="AJ20" i="76" s="1"/>
  <c r="AZ19" i="76"/>
  <c r="AY19" i="76" a="1"/>
  <c r="AY19" i="76" s="1"/>
  <c r="AX19" i="76"/>
  <c r="AW19" i="76"/>
  <c r="AV19" i="76"/>
  <c r="AP19" i="76" a="1"/>
  <c r="AP19" i="76" s="1"/>
  <c r="AO19" i="76" a="1"/>
  <c r="AO19" i="76" s="1"/>
  <c r="AN19" i="76" a="1"/>
  <c r="AN19" i="76" s="1"/>
  <c r="AM19" i="76" a="1"/>
  <c r="AM19" i="76" s="1"/>
  <c r="AL19" i="76" a="1"/>
  <c r="AL19" i="76" s="1"/>
  <c r="AK19" i="76" a="1"/>
  <c r="AK19" i="76" s="1"/>
  <c r="AQ19" i="76" s="1"/>
  <c r="AJ19" i="76" a="1"/>
  <c r="AJ19" i="76" s="1"/>
  <c r="AZ18" i="76"/>
  <c r="AY18" i="76" a="1"/>
  <c r="AY18" i="76" s="1"/>
  <c r="AX18" i="76"/>
  <c r="AW18" i="76"/>
  <c r="AV18" i="76"/>
  <c r="AP18" i="76" a="1"/>
  <c r="AP18" i="76" s="1"/>
  <c r="AO18" i="76" a="1"/>
  <c r="AO18" i="76" s="1"/>
  <c r="AN18" i="76" a="1"/>
  <c r="AN18" i="76" s="1"/>
  <c r="AM18" i="76" a="1"/>
  <c r="AM18" i="76" s="1"/>
  <c r="AL18" i="76" a="1"/>
  <c r="AL18" i="76" s="1"/>
  <c r="AK18" i="76" a="1"/>
  <c r="AK18" i="76" s="1"/>
  <c r="AQ18" i="76" s="1"/>
  <c r="AJ18" i="76" a="1"/>
  <c r="AJ18" i="76" s="1"/>
  <c r="AZ17" i="76"/>
  <c r="AY17" i="76" a="1"/>
  <c r="AY17" i="76" s="1"/>
  <c r="AX17" i="76"/>
  <c r="AW17" i="76"/>
  <c r="AV17" i="76"/>
  <c r="AP17" i="76" a="1"/>
  <c r="AP17" i="76" s="1"/>
  <c r="AO17" i="76" a="1"/>
  <c r="AO17" i="76" s="1"/>
  <c r="AN17" i="76" a="1"/>
  <c r="AN17" i="76" s="1"/>
  <c r="AM17" i="76" a="1"/>
  <c r="AM17" i="76" s="1"/>
  <c r="AL17" i="76" a="1"/>
  <c r="AL17" i="76" s="1"/>
  <c r="AK17" i="76" a="1"/>
  <c r="AK17" i="76" s="1"/>
  <c r="AQ17" i="76" s="1"/>
  <c r="AJ17" i="76" a="1"/>
  <c r="AJ17" i="76" s="1"/>
  <c r="AZ16" i="76"/>
  <c r="AY16" i="76" a="1"/>
  <c r="AY16" i="76" s="1"/>
  <c r="AX16" i="76"/>
  <c r="AW16" i="76"/>
  <c r="AV16" i="76"/>
  <c r="AP16" i="76" a="1"/>
  <c r="AP16" i="76" s="1"/>
  <c r="AO16" i="76" a="1"/>
  <c r="AO16" i="76" s="1"/>
  <c r="AN16" i="76" a="1"/>
  <c r="AN16" i="76" s="1"/>
  <c r="AM16" i="76" a="1"/>
  <c r="AM16" i="76" s="1"/>
  <c r="AL16" i="76" a="1"/>
  <c r="AL16" i="76" s="1"/>
  <c r="AK16" i="76" a="1"/>
  <c r="AK16" i="76" s="1"/>
  <c r="AQ16" i="76" s="1"/>
  <c r="AJ16" i="76" a="1"/>
  <c r="AJ16" i="76" s="1"/>
  <c r="AZ15" i="76"/>
  <c r="AY15" i="76" a="1"/>
  <c r="AY15" i="76" s="1"/>
  <c r="AX15" i="76"/>
  <c r="AW15" i="76"/>
  <c r="AV15" i="76"/>
  <c r="AP15" i="76" a="1"/>
  <c r="AP15" i="76" s="1"/>
  <c r="AO15" i="76" a="1"/>
  <c r="AO15" i="76" s="1"/>
  <c r="AN15" i="76" a="1"/>
  <c r="AN15" i="76" s="1"/>
  <c r="AM15" i="76" a="1"/>
  <c r="AM15" i="76" s="1"/>
  <c r="AL15" i="76" a="1"/>
  <c r="AL15" i="76" s="1"/>
  <c r="AK15" i="76" a="1"/>
  <c r="AK15" i="76" s="1"/>
  <c r="AQ15" i="76" s="1"/>
  <c r="AJ15" i="76" a="1"/>
  <c r="AJ15" i="76" s="1"/>
  <c r="AZ14" i="76"/>
  <c r="AY14" i="76" a="1"/>
  <c r="AY14" i="76" s="1"/>
  <c r="AX14" i="76"/>
  <c r="AW14" i="76"/>
  <c r="AV14" i="76"/>
  <c r="AP14" i="76" a="1"/>
  <c r="AP14" i="76" s="1"/>
  <c r="AO14" i="76" a="1"/>
  <c r="AO14" i="76" s="1"/>
  <c r="AN14" i="76" a="1"/>
  <c r="AN14" i="76" s="1"/>
  <c r="AM14" i="76" a="1"/>
  <c r="AM14" i="76" s="1"/>
  <c r="AL14" i="76" a="1"/>
  <c r="AL14" i="76" s="1"/>
  <c r="AK14" i="76" a="1"/>
  <c r="AK14" i="76" s="1"/>
  <c r="AQ14" i="76" s="1"/>
  <c r="AJ14" i="76" a="1"/>
  <c r="AJ14" i="76" s="1"/>
  <c r="AZ13" i="76"/>
  <c r="AY13" i="76" a="1"/>
  <c r="AY13" i="76" s="1"/>
  <c r="AX13" i="76"/>
  <c r="AW13" i="76"/>
  <c r="AV13" i="76"/>
  <c r="AP13" i="76" a="1"/>
  <c r="AP13" i="76" s="1"/>
  <c r="AO13" i="76" a="1"/>
  <c r="AO13" i="76" s="1"/>
  <c r="AN13" i="76" a="1"/>
  <c r="AN13" i="76" s="1"/>
  <c r="AM13" i="76" a="1"/>
  <c r="AM13" i="76" s="1"/>
  <c r="AL13" i="76" a="1"/>
  <c r="AL13" i="76" s="1"/>
  <c r="AK13" i="76" a="1"/>
  <c r="AK13" i="76" s="1"/>
  <c r="AQ13" i="76" s="1"/>
  <c r="AJ13" i="76" a="1"/>
  <c r="AJ13" i="76" s="1"/>
  <c r="AZ12" i="76"/>
  <c r="AY12" i="76" a="1"/>
  <c r="AY12" i="76" s="1"/>
  <c r="AX12" i="76"/>
  <c r="AW12" i="76"/>
  <c r="AV12" i="76"/>
  <c r="AP12" i="76" a="1"/>
  <c r="AP12" i="76" s="1"/>
  <c r="AO12" i="76" a="1"/>
  <c r="AO12" i="76" s="1"/>
  <c r="AN12" i="76" a="1"/>
  <c r="AN12" i="76" s="1"/>
  <c r="AM12" i="76" a="1"/>
  <c r="AM12" i="76" s="1"/>
  <c r="AL12" i="76" a="1"/>
  <c r="AL12" i="76" s="1"/>
  <c r="AK12" i="76" a="1"/>
  <c r="AK12" i="76" s="1"/>
  <c r="AQ12" i="76" s="1"/>
  <c r="AJ12" i="76" a="1"/>
  <c r="AJ12" i="76" s="1"/>
  <c r="AZ11" i="76"/>
  <c r="AY11" i="76" a="1"/>
  <c r="AY11" i="76" s="1"/>
  <c r="AX11" i="76"/>
  <c r="AW11" i="76"/>
  <c r="AV11" i="76"/>
  <c r="AP11" i="76" a="1"/>
  <c r="AP11" i="76" s="1"/>
  <c r="AO11" i="76" a="1"/>
  <c r="AO11" i="76" s="1"/>
  <c r="AN11" i="76" a="1"/>
  <c r="AN11" i="76" s="1"/>
  <c r="AM11" i="76" a="1"/>
  <c r="AM11" i="76" s="1"/>
  <c r="AL11" i="76" a="1"/>
  <c r="AL11" i="76" s="1"/>
  <c r="AK11" i="76" a="1"/>
  <c r="AK11" i="76" s="1"/>
  <c r="AQ11" i="76" s="1"/>
  <c r="AJ11" i="76" a="1"/>
  <c r="AJ11" i="76" s="1"/>
  <c r="AZ10" i="76"/>
  <c r="AY10" i="76" a="1"/>
  <c r="AY10" i="76" s="1"/>
  <c r="AX10" i="76"/>
  <c r="AW10" i="76"/>
  <c r="AV10" i="76"/>
  <c r="AP10" i="76" a="1"/>
  <c r="AP10" i="76" s="1"/>
  <c r="AO10" i="76" a="1"/>
  <c r="AO10" i="76" s="1"/>
  <c r="AN10" i="76" a="1"/>
  <c r="AN10" i="76" s="1"/>
  <c r="AM10" i="76" a="1"/>
  <c r="AM10" i="76" s="1"/>
  <c r="AL10" i="76" a="1"/>
  <c r="AL10" i="76" s="1"/>
  <c r="AK10" i="76" a="1"/>
  <c r="AK10" i="76" s="1"/>
  <c r="AQ10" i="76" s="1"/>
  <c r="AJ10" i="76" a="1"/>
  <c r="AJ10" i="76" s="1"/>
  <c r="AZ9" i="76"/>
  <c r="AY9" i="76" a="1"/>
  <c r="AY9" i="76" s="1"/>
  <c r="AX9" i="76"/>
  <c r="AW9" i="76"/>
  <c r="AV9" i="76"/>
  <c r="AP9" i="76" a="1"/>
  <c r="AP9" i="76" s="1"/>
  <c r="AO9" i="76" a="1"/>
  <c r="AO9" i="76" s="1"/>
  <c r="AN9" i="76" a="1"/>
  <c r="AN9" i="76" s="1"/>
  <c r="AM9" i="76" a="1"/>
  <c r="AM9" i="76" s="1"/>
  <c r="AL9" i="76" a="1"/>
  <c r="AL9" i="76" s="1"/>
  <c r="AK9" i="76" a="1"/>
  <c r="AK9" i="76" s="1"/>
  <c r="AQ9" i="76" s="1"/>
  <c r="AJ9" i="76" a="1"/>
  <c r="AJ9" i="76" s="1"/>
  <c r="AZ8" i="76"/>
  <c r="AY8" i="76" a="1"/>
  <c r="AY8" i="76" s="1"/>
  <c r="AX8" i="76"/>
  <c r="AW8" i="76"/>
  <c r="AV8" i="76"/>
  <c r="AP8" i="76" a="1"/>
  <c r="AP8" i="76" s="1"/>
  <c r="AO8" i="76" a="1"/>
  <c r="AO8" i="76" s="1"/>
  <c r="AN8" i="76" a="1"/>
  <c r="AN8" i="76" s="1"/>
  <c r="AM8" i="76" a="1"/>
  <c r="AM8" i="76" s="1"/>
  <c r="AL8" i="76" a="1"/>
  <c r="AL8" i="76" s="1"/>
  <c r="AK8" i="76" a="1"/>
  <c r="AK8" i="76" s="1"/>
  <c r="AQ8" i="76" s="1"/>
  <c r="AJ8" i="76" a="1"/>
  <c r="AJ8" i="76" s="1"/>
  <c r="AZ7" i="76"/>
  <c r="AY7" i="76" a="1"/>
  <c r="AY7" i="76" s="1"/>
  <c r="AX7" i="76"/>
  <c r="AW7" i="76"/>
  <c r="AV7" i="76"/>
  <c r="AP7" i="76" a="1"/>
  <c r="AP7" i="76" s="1"/>
  <c r="AO7" i="76" a="1"/>
  <c r="AO7" i="76" s="1"/>
  <c r="AN7" i="76" a="1"/>
  <c r="AN7" i="76" s="1"/>
  <c r="AM7" i="76" a="1"/>
  <c r="AM7" i="76" s="1"/>
  <c r="AL7" i="76" a="1"/>
  <c r="AL7" i="76" s="1"/>
  <c r="AK7" i="76" a="1"/>
  <c r="AK7" i="76" s="1"/>
  <c r="AQ7" i="76" s="1"/>
  <c r="AJ7" i="76" a="1"/>
  <c r="AJ7" i="76" s="1"/>
  <c r="AZ6" i="76"/>
  <c r="AZ67" i="76" s="1"/>
  <c r="AY6" i="76" a="1"/>
  <c r="AY6" i="76" s="1"/>
  <c r="AY67" i="76" s="1"/>
  <c r="AX6" i="76"/>
  <c r="AX67" i="76" s="1"/>
  <c r="AW6" i="76"/>
  <c r="AW67" i="76" s="1"/>
  <c r="AV6" i="76"/>
  <c r="AP6" i="76" a="1"/>
  <c r="AP6" i="76" s="1"/>
  <c r="AO6" i="76" a="1"/>
  <c r="AO6" i="76" s="1"/>
  <c r="AO67" i="76" s="1"/>
  <c r="AN6" i="76" a="1"/>
  <c r="AN6" i="76" s="1"/>
  <c r="AN67" i="76" s="1"/>
  <c r="AM6" i="76" a="1"/>
  <c r="AM6" i="76" s="1"/>
  <c r="AM67" i="76" s="1"/>
  <c r="AL6" i="76" a="1"/>
  <c r="AL6" i="76" s="1"/>
  <c r="AL67" i="76" s="1"/>
  <c r="AK6" i="76" a="1"/>
  <c r="AK6" i="76" s="1"/>
  <c r="AJ6" i="76" a="1"/>
  <c r="AJ6" i="76" s="1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AZ66" i="74"/>
  <c r="W46" i="77" s="1"/>
  <c r="AY66" i="74" a="1"/>
  <c r="AY66" i="74" s="1"/>
  <c r="V46" i="77" s="1"/>
  <c r="AX66" i="74"/>
  <c r="U46" i="77" s="1"/>
  <c r="AW66" i="74"/>
  <c r="T46" i="77" s="1"/>
  <c r="AV66" i="74"/>
  <c r="S46" i="77" s="1"/>
  <c r="AP66" i="74" a="1"/>
  <c r="AP66" i="74" s="1"/>
  <c r="AO66" i="74" a="1"/>
  <c r="AO66" i="74" s="1"/>
  <c r="AN66" i="74" a="1"/>
  <c r="AN66" i="74" s="1"/>
  <c r="AM66" i="74" a="1"/>
  <c r="AM66" i="74" s="1"/>
  <c r="AL66" i="74" a="1"/>
  <c r="AL66" i="74" s="1"/>
  <c r="AK66" i="74" a="1"/>
  <c r="AK66" i="74" s="1"/>
  <c r="AQ66" i="74" s="1"/>
  <c r="AJ66" i="74" a="1"/>
  <c r="AJ66" i="74" s="1"/>
  <c r="C66" i="74"/>
  <c r="AZ65" i="74"/>
  <c r="AY65" i="74" a="1"/>
  <c r="AY65" i="74" s="1"/>
  <c r="AX65" i="74"/>
  <c r="AW65" i="74"/>
  <c r="AV65" i="74"/>
  <c r="C65" i="74"/>
  <c r="AZ64" i="74"/>
  <c r="W45" i="77" s="1"/>
  <c r="AY64" i="74" a="1"/>
  <c r="AY64" i="74" s="1"/>
  <c r="V45" i="77" s="1"/>
  <c r="AX64" i="74"/>
  <c r="U45" i="77" s="1"/>
  <c r="AW64" i="74"/>
  <c r="T45" i="77" s="1"/>
  <c r="AV64" i="74"/>
  <c r="S45" i="77" s="1"/>
  <c r="AP64" i="74" a="1"/>
  <c r="AP64" i="74" s="1"/>
  <c r="AO64" i="74" a="1"/>
  <c r="AO64" i="74" s="1"/>
  <c r="AN64" i="74" a="1"/>
  <c r="AN64" i="74" s="1"/>
  <c r="AM64" i="74" a="1"/>
  <c r="AM64" i="74" s="1"/>
  <c r="AL64" i="74" a="1"/>
  <c r="AL64" i="74" s="1"/>
  <c r="AK64" i="74" a="1"/>
  <c r="AK64" i="74" s="1"/>
  <c r="AQ64" i="74" s="1"/>
  <c r="AJ64" i="74" a="1"/>
  <c r="AJ64" i="74" s="1"/>
  <c r="C64" i="74"/>
  <c r="AZ63" i="74"/>
  <c r="AY63" i="74" a="1"/>
  <c r="AY63" i="74" s="1"/>
  <c r="AX63" i="74"/>
  <c r="AW63" i="74"/>
  <c r="AV63" i="74"/>
  <c r="C63" i="74"/>
  <c r="AZ62" i="74"/>
  <c r="W44" i="77" s="1"/>
  <c r="AY62" i="74" a="1"/>
  <c r="AY62" i="74" s="1"/>
  <c r="V44" i="77" s="1"/>
  <c r="AX62" i="74"/>
  <c r="U44" i="77" s="1"/>
  <c r="AW62" i="74"/>
  <c r="T44" i="77" s="1"/>
  <c r="AV62" i="74"/>
  <c r="S44" i="77" s="1"/>
  <c r="AP62" i="74" a="1"/>
  <c r="AP62" i="74" s="1"/>
  <c r="AO62" i="74" a="1"/>
  <c r="AO62" i="74" s="1"/>
  <c r="AN62" i="74" a="1"/>
  <c r="AN62" i="74" s="1"/>
  <c r="AM62" i="74" a="1"/>
  <c r="AM62" i="74" s="1"/>
  <c r="AL62" i="74" a="1"/>
  <c r="AL62" i="74" s="1"/>
  <c r="AK62" i="74" a="1"/>
  <c r="AK62" i="74" s="1"/>
  <c r="AQ62" i="74" s="1"/>
  <c r="AJ62" i="74" a="1"/>
  <c r="AJ62" i="74" s="1"/>
  <c r="C62" i="74"/>
  <c r="AZ61" i="74"/>
  <c r="AY61" i="74" a="1"/>
  <c r="AY61" i="74" s="1"/>
  <c r="AX61" i="74"/>
  <c r="AW61" i="74"/>
  <c r="AV61" i="74"/>
  <c r="C61" i="74"/>
  <c r="AZ60" i="74"/>
  <c r="W43" i="77" s="1"/>
  <c r="AY60" i="74" a="1"/>
  <c r="AY60" i="74" s="1"/>
  <c r="V43" i="77" s="1"/>
  <c r="AX60" i="74"/>
  <c r="U43" i="77" s="1"/>
  <c r="AW60" i="74"/>
  <c r="T43" i="77" s="1"/>
  <c r="AV60" i="74"/>
  <c r="S43" i="77" s="1"/>
  <c r="AP60" i="74" a="1"/>
  <c r="AP60" i="74" s="1"/>
  <c r="AO60" i="74" a="1"/>
  <c r="AO60" i="74" s="1"/>
  <c r="AN60" i="74" a="1"/>
  <c r="AN60" i="74" s="1"/>
  <c r="AM60" i="74" a="1"/>
  <c r="AM60" i="74" s="1"/>
  <c r="AL60" i="74" a="1"/>
  <c r="AL60" i="74" s="1"/>
  <c r="AK60" i="74" a="1"/>
  <c r="AK60" i="74" s="1"/>
  <c r="AQ60" i="74" s="1"/>
  <c r="AJ60" i="74" a="1"/>
  <c r="AJ60" i="74" s="1"/>
  <c r="C60" i="74"/>
  <c r="AZ59" i="74"/>
  <c r="AY59" i="74" a="1"/>
  <c r="AY59" i="74" s="1"/>
  <c r="AX59" i="74"/>
  <c r="AW59" i="74"/>
  <c r="AV59" i="74"/>
  <c r="C59" i="74"/>
  <c r="AZ58" i="74"/>
  <c r="W42" i="77" s="1"/>
  <c r="AY58" i="74" a="1"/>
  <c r="AY58" i="74" s="1"/>
  <c r="V42" i="77" s="1"/>
  <c r="AX58" i="74"/>
  <c r="U42" i="77" s="1"/>
  <c r="AW58" i="74"/>
  <c r="T42" i="77" s="1"/>
  <c r="AV58" i="74"/>
  <c r="S42" i="77" s="1"/>
  <c r="AP58" i="74" a="1"/>
  <c r="AP58" i="74" s="1"/>
  <c r="AO58" i="74" a="1"/>
  <c r="AO58" i="74" s="1"/>
  <c r="AN58" i="74" a="1"/>
  <c r="AN58" i="74" s="1"/>
  <c r="AM58" i="74" a="1"/>
  <c r="AM58" i="74" s="1"/>
  <c r="AL58" i="74" a="1"/>
  <c r="AL58" i="74" s="1"/>
  <c r="AK58" i="74" a="1"/>
  <c r="AK58" i="74" s="1"/>
  <c r="AQ58" i="74" s="1"/>
  <c r="AJ58" i="74" a="1"/>
  <c r="AJ58" i="74" s="1"/>
  <c r="C58" i="74"/>
  <c r="AZ57" i="74"/>
  <c r="AY57" i="74" a="1"/>
  <c r="AY57" i="74" s="1"/>
  <c r="AX57" i="74"/>
  <c r="AW57" i="74"/>
  <c r="AV57" i="74"/>
  <c r="AZ56" i="74"/>
  <c r="W41" i="77" s="1"/>
  <c r="AY56" i="74" a="1"/>
  <c r="AY56" i="74" s="1"/>
  <c r="V41" i="77" s="1"/>
  <c r="AX56" i="74"/>
  <c r="U41" i="77" s="1"/>
  <c r="AW56" i="74"/>
  <c r="T41" i="77" s="1"/>
  <c r="AV56" i="74"/>
  <c r="S41" i="77" s="1"/>
  <c r="AP56" i="74" a="1"/>
  <c r="AP56" i="74" s="1"/>
  <c r="AO56" i="74" a="1"/>
  <c r="AO56" i="74" s="1"/>
  <c r="AN56" i="74" a="1"/>
  <c r="AN56" i="74" s="1"/>
  <c r="AM56" i="74" a="1"/>
  <c r="AM56" i="74" s="1"/>
  <c r="AL56" i="74" a="1"/>
  <c r="AL56" i="74" s="1"/>
  <c r="AK56" i="74" a="1"/>
  <c r="AK56" i="74" s="1"/>
  <c r="AQ56" i="74" s="1"/>
  <c r="AJ56" i="74" a="1"/>
  <c r="AJ56" i="74" s="1"/>
  <c r="C56" i="74"/>
  <c r="AZ55" i="74"/>
  <c r="AY55" i="74" a="1"/>
  <c r="AY55" i="74" s="1"/>
  <c r="AX55" i="74"/>
  <c r="AW55" i="74"/>
  <c r="AV55" i="74"/>
  <c r="C55" i="74"/>
  <c r="AZ54" i="74"/>
  <c r="W38" i="77" s="1"/>
  <c r="AY54" i="74" a="1"/>
  <c r="AY54" i="74" s="1"/>
  <c r="V38" i="77" s="1"/>
  <c r="AX54" i="74"/>
  <c r="U38" i="77" s="1"/>
  <c r="AW54" i="74"/>
  <c r="T38" i="77" s="1"/>
  <c r="AV54" i="74"/>
  <c r="S38" i="77" s="1"/>
  <c r="AP54" i="74" a="1"/>
  <c r="AP54" i="74" s="1"/>
  <c r="AO54" i="74" a="1"/>
  <c r="AO54" i="74" s="1"/>
  <c r="AN54" i="74" a="1"/>
  <c r="AN54" i="74" s="1"/>
  <c r="AM54" i="74" a="1"/>
  <c r="AM54" i="74" s="1"/>
  <c r="AL54" i="74" a="1"/>
  <c r="AL54" i="74" s="1"/>
  <c r="AK54" i="74" a="1"/>
  <c r="AK54" i="74" s="1"/>
  <c r="AQ54" i="74" s="1"/>
  <c r="AJ54" i="74" a="1"/>
  <c r="AJ54" i="74" s="1"/>
  <c r="C54" i="74"/>
  <c r="J23" i="77" s="1" a="1"/>
  <c r="J23" i="77" s="1"/>
  <c r="AZ53" i="74"/>
  <c r="AY53" i="74" a="1"/>
  <c r="AY53" i="74" s="1"/>
  <c r="AX53" i="74"/>
  <c r="AW53" i="74"/>
  <c r="AV53" i="74"/>
  <c r="C53" i="74"/>
  <c r="AZ52" i="74"/>
  <c r="W37" i="77" s="1"/>
  <c r="AY52" i="74" a="1"/>
  <c r="AY52" i="74" s="1"/>
  <c r="V37" i="77" s="1"/>
  <c r="AX52" i="74"/>
  <c r="U37" i="77" s="1"/>
  <c r="AW52" i="74"/>
  <c r="T37" i="77" s="1"/>
  <c r="AV52" i="74"/>
  <c r="S37" i="77" s="1"/>
  <c r="AP52" i="74" a="1"/>
  <c r="AP52" i="74" s="1"/>
  <c r="AO52" i="74" a="1"/>
  <c r="AO52" i="74" s="1"/>
  <c r="AN52" i="74" a="1"/>
  <c r="AN52" i="74" s="1"/>
  <c r="AM52" i="74" a="1"/>
  <c r="AM52" i="74" s="1"/>
  <c r="AL52" i="74" a="1"/>
  <c r="AL52" i="74" s="1"/>
  <c r="AK52" i="74" a="1"/>
  <c r="AK52" i="74" s="1"/>
  <c r="AQ52" i="74" s="1"/>
  <c r="AJ52" i="74" a="1"/>
  <c r="AJ52" i="74" s="1"/>
  <c r="C52" i="74"/>
  <c r="AZ51" i="74"/>
  <c r="AY51" i="74" a="1"/>
  <c r="AY51" i="74" s="1"/>
  <c r="AX51" i="74"/>
  <c r="AW51" i="74"/>
  <c r="AV51" i="74"/>
  <c r="C51" i="74"/>
  <c r="AZ50" i="74"/>
  <c r="W36" i="77" s="1"/>
  <c r="AY50" i="74" a="1"/>
  <c r="AY50" i="74" s="1"/>
  <c r="V36" i="77" s="1"/>
  <c r="AX50" i="74"/>
  <c r="U36" i="77" s="1"/>
  <c r="AW50" i="74"/>
  <c r="T36" i="77" s="1"/>
  <c r="AV50" i="74"/>
  <c r="S36" i="77" s="1"/>
  <c r="AP50" i="74" a="1"/>
  <c r="AP50" i="74" s="1"/>
  <c r="AO50" i="74" a="1"/>
  <c r="AO50" i="74" s="1"/>
  <c r="AN50" i="74" a="1"/>
  <c r="AN50" i="74" s="1"/>
  <c r="AM50" i="74" a="1"/>
  <c r="AM50" i="74" s="1"/>
  <c r="AL50" i="74" a="1"/>
  <c r="AL50" i="74" s="1"/>
  <c r="AK50" i="74" a="1"/>
  <c r="AK50" i="74" s="1"/>
  <c r="AQ50" i="74" s="1"/>
  <c r="AJ50" i="74" a="1"/>
  <c r="AJ50" i="74" s="1"/>
  <c r="C50" i="74"/>
  <c r="AZ49" i="74"/>
  <c r="AY49" i="74" a="1"/>
  <c r="AY49" i="74" s="1"/>
  <c r="AX49" i="74"/>
  <c r="AW49" i="74"/>
  <c r="AV49" i="74"/>
  <c r="C49" i="74"/>
  <c r="AZ48" i="74"/>
  <c r="W33" i="77" s="1"/>
  <c r="AY48" i="74" a="1"/>
  <c r="AY48" i="74" s="1"/>
  <c r="V33" i="77" s="1"/>
  <c r="AX48" i="74"/>
  <c r="U33" i="77" s="1"/>
  <c r="AW48" i="74"/>
  <c r="T33" i="77" s="1"/>
  <c r="AV48" i="74"/>
  <c r="S33" i="77" s="1"/>
  <c r="AP48" i="74" a="1"/>
  <c r="AP48" i="74" s="1"/>
  <c r="AO48" i="74" a="1"/>
  <c r="AO48" i="74" s="1"/>
  <c r="AN48" i="74" a="1"/>
  <c r="AN48" i="74" s="1"/>
  <c r="AM48" i="74" a="1"/>
  <c r="AM48" i="74" s="1"/>
  <c r="AL48" i="74" a="1"/>
  <c r="AL48" i="74" s="1"/>
  <c r="AK48" i="74" a="1"/>
  <c r="AK48" i="74" s="1"/>
  <c r="AQ48" i="74" s="1"/>
  <c r="AJ48" i="74" a="1"/>
  <c r="AJ48" i="74" s="1"/>
  <c r="C48" i="74"/>
  <c r="H25" i="77" s="1" a="1"/>
  <c r="H25" i="77" s="1"/>
  <c r="AZ47" i="74"/>
  <c r="AY47" i="74" a="1"/>
  <c r="AY47" i="74" s="1"/>
  <c r="AX47" i="74"/>
  <c r="AW47" i="74"/>
  <c r="AV47" i="74"/>
  <c r="C47" i="74"/>
  <c r="AZ46" i="74"/>
  <c r="W31" i="77" s="1"/>
  <c r="AY46" i="74" a="1"/>
  <c r="AY46" i="74" s="1"/>
  <c r="V31" i="77" s="1"/>
  <c r="AX46" i="74"/>
  <c r="U31" i="77" s="1"/>
  <c r="AW46" i="74"/>
  <c r="T31" i="77" s="1"/>
  <c r="AV46" i="74"/>
  <c r="S31" i="77" s="1"/>
  <c r="AP46" i="74" a="1"/>
  <c r="AP46" i="74" s="1"/>
  <c r="AO46" i="74" a="1"/>
  <c r="AO46" i="74" s="1"/>
  <c r="AN46" i="74" a="1"/>
  <c r="AN46" i="74" s="1"/>
  <c r="AM46" i="74" a="1"/>
  <c r="AM46" i="74" s="1"/>
  <c r="AL46" i="74" a="1"/>
  <c r="AL46" i="74" s="1"/>
  <c r="AK46" i="74" a="1"/>
  <c r="AK46" i="74" s="1"/>
  <c r="AQ46" i="74" s="1"/>
  <c r="AJ46" i="74" a="1"/>
  <c r="AJ46" i="74" s="1"/>
  <c r="C46" i="74"/>
  <c r="AZ45" i="74"/>
  <c r="AY45" i="74" a="1"/>
  <c r="AY45" i="74" s="1"/>
  <c r="AX45" i="74"/>
  <c r="AW45" i="74"/>
  <c r="AV45" i="74"/>
  <c r="C45" i="74"/>
  <c r="AZ44" i="74"/>
  <c r="W32" i="77" s="1"/>
  <c r="AY44" i="74" a="1"/>
  <c r="AY44" i="74" s="1"/>
  <c r="V32" i="77" s="1"/>
  <c r="AX44" i="74"/>
  <c r="U32" i="77" s="1"/>
  <c r="AW44" i="74"/>
  <c r="T32" i="77" s="1"/>
  <c r="AV44" i="74"/>
  <c r="S32" i="77" s="1"/>
  <c r="AP44" i="74" a="1"/>
  <c r="AP44" i="74" s="1"/>
  <c r="AO44" i="74" a="1"/>
  <c r="AO44" i="74" s="1"/>
  <c r="AN44" i="74" a="1"/>
  <c r="AN44" i="74" s="1"/>
  <c r="AM44" i="74" a="1"/>
  <c r="AM44" i="74" s="1"/>
  <c r="AL44" i="74" a="1"/>
  <c r="AL44" i="74" s="1"/>
  <c r="AK44" i="74" a="1"/>
  <c r="AK44" i="74" s="1"/>
  <c r="AQ44" i="74" s="1"/>
  <c r="AJ44" i="74" a="1"/>
  <c r="AJ44" i="74" s="1"/>
  <c r="C44" i="74"/>
  <c r="H23" i="77" s="1" a="1"/>
  <c r="H23" i="77" s="1"/>
  <c r="AZ43" i="74"/>
  <c r="AY43" i="74" a="1"/>
  <c r="AY43" i="74" s="1"/>
  <c r="AX43" i="74"/>
  <c r="AW43" i="74"/>
  <c r="AV43" i="74"/>
  <c r="C43" i="74"/>
  <c r="AZ42" i="74"/>
  <c r="W30" i="77" s="1"/>
  <c r="AY42" i="74" a="1"/>
  <c r="AY42" i="74" s="1"/>
  <c r="V30" i="77" s="1"/>
  <c r="AX42" i="74"/>
  <c r="U30" i="77" s="1"/>
  <c r="AW42" i="74"/>
  <c r="T30" i="77" s="1"/>
  <c r="AV42" i="74"/>
  <c r="S30" i="77" s="1"/>
  <c r="AP42" i="74" a="1"/>
  <c r="AP42" i="74" s="1"/>
  <c r="AO42" i="74" a="1"/>
  <c r="AO42" i="74" s="1"/>
  <c r="AN42" i="74" a="1"/>
  <c r="AN42" i="74" s="1"/>
  <c r="AM42" i="74" a="1"/>
  <c r="AM42" i="74" s="1"/>
  <c r="AL42" i="74" a="1"/>
  <c r="AL42" i="74" s="1"/>
  <c r="AK42" i="74" a="1"/>
  <c r="AK42" i="74" s="1"/>
  <c r="AQ42" i="74" s="1"/>
  <c r="AJ42" i="74" a="1"/>
  <c r="AJ42" i="74" s="1"/>
  <c r="C42" i="74"/>
  <c r="AZ41" i="74"/>
  <c r="AY41" i="74" a="1"/>
  <c r="AY41" i="74" s="1"/>
  <c r="AX41" i="74"/>
  <c r="AW41" i="74"/>
  <c r="AV41" i="74"/>
  <c r="C41" i="74"/>
  <c r="AZ40" i="74"/>
  <c r="W29" i="77" s="1"/>
  <c r="AY40" i="74" a="1"/>
  <c r="AY40" i="74" s="1"/>
  <c r="V29" i="77" s="1"/>
  <c r="AX40" i="74"/>
  <c r="U29" i="77" s="1"/>
  <c r="AW40" i="74"/>
  <c r="T29" i="77" s="1"/>
  <c r="AV40" i="74"/>
  <c r="S29" i="77" s="1"/>
  <c r="AP40" i="74" a="1"/>
  <c r="AP40" i="74" s="1"/>
  <c r="AO40" i="74" a="1"/>
  <c r="AO40" i="74" s="1"/>
  <c r="AN40" i="74" a="1"/>
  <c r="AN40" i="74" s="1"/>
  <c r="AM40" i="74" a="1"/>
  <c r="AM40" i="74" s="1"/>
  <c r="AL40" i="74" a="1"/>
  <c r="AL40" i="74" s="1"/>
  <c r="AK40" i="74" a="1"/>
  <c r="AK40" i="74" s="1"/>
  <c r="AQ40" i="74" s="1"/>
  <c r="AJ40" i="74" a="1"/>
  <c r="AJ40" i="74" s="1"/>
  <c r="C40" i="74"/>
  <c r="F23" i="77" s="1" a="1"/>
  <c r="F23" i="77" s="1"/>
  <c r="AZ39" i="74"/>
  <c r="AY39" i="74" a="1"/>
  <c r="AY39" i="74" s="1"/>
  <c r="AX39" i="74"/>
  <c r="AW39" i="74"/>
  <c r="AV39" i="74"/>
  <c r="C39" i="74"/>
  <c r="AZ38" i="74"/>
  <c r="W26" i="77" s="1"/>
  <c r="AY38" i="74" a="1"/>
  <c r="AY38" i="74" s="1"/>
  <c r="V26" i="77" s="1"/>
  <c r="AX38" i="74"/>
  <c r="U26" i="77" s="1"/>
  <c r="AW38" i="74"/>
  <c r="T26" i="77" s="1"/>
  <c r="AV38" i="74"/>
  <c r="S26" i="77" s="1"/>
  <c r="AP38" i="74" a="1"/>
  <c r="AP38" i="74" s="1"/>
  <c r="AO38" i="74" a="1"/>
  <c r="AO38" i="74" s="1"/>
  <c r="AN38" i="74" a="1"/>
  <c r="AN38" i="74" s="1"/>
  <c r="AM38" i="74" a="1"/>
  <c r="AM38" i="74" s="1"/>
  <c r="AL38" i="74" a="1"/>
  <c r="AL38" i="74" s="1"/>
  <c r="AK38" i="74" a="1"/>
  <c r="AK38" i="74" s="1"/>
  <c r="AJ38" i="74" a="1"/>
  <c r="AJ38" i="74" s="1"/>
  <c r="C38" i="74"/>
  <c r="D13" i="77" s="1" a="1"/>
  <c r="D13" i="77" s="1"/>
  <c r="AZ37" i="74"/>
  <c r="AY37" i="74" a="1"/>
  <c r="AY37" i="74" s="1"/>
  <c r="AX37" i="74"/>
  <c r="AW37" i="74"/>
  <c r="AV37" i="74"/>
  <c r="C37" i="74"/>
  <c r="AZ36" i="74"/>
  <c r="W28" i="77" s="1"/>
  <c r="AY36" i="74" a="1"/>
  <c r="AY36" i="74" s="1"/>
  <c r="V28" i="77" s="1"/>
  <c r="AX36" i="74"/>
  <c r="U28" i="77" s="1"/>
  <c r="AW36" i="74"/>
  <c r="T28" i="77" s="1"/>
  <c r="AV36" i="74"/>
  <c r="S28" i="77" s="1"/>
  <c r="AP36" i="74" a="1"/>
  <c r="AP36" i="74" s="1"/>
  <c r="AO36" i="74" a="1"/>
  <c r="AO36" i="74" s="1"/>
  <c r="AN36" i="74" a="1"/>
  <c r="AN36" i="74" s="1"/>
  <c r="AM36" i="74" a="1"/>
  <c r="AM36" i="74" s="1"/>
  <c r="AL36" i="74" a="1"/>
  <c r="AL36" i="74" s="1"/>
  <c r="AK36" i="74" a="1"/>
  <c r="AK36" i="74" s="1"/>
  <c r="AQ36" i="74" s="1"/>
  <c r="AJ36" i="74" a="1"/>
  <c r="AJ36" i="74" s="1"/>
  <c r="C36" i="74"/>
  <c r="AZ35" i="74"/>
  <c r="AY35" i="74" a="1"/>
  <c r="AY35" i="74" s="1"/>
  <c r="AX35" i="74"/>
  <c r="AW35" i="74"/>
  <c r="AV35" i="74"/>
  <c r="C35" i="74"/>
  <c r="AZ34" i="74"/>
  <c r="W27" i="77" s="1"/>
  <c r="AY34" i="74" a="1"/>
  <c r="AY34" i="74" s="1"/>
  <c r="V27" i="77" s="1"/>
  <c r="AX34" i="74"/>
  <c r="U27" i="77" s="1"/>
  <c r="AW34" i="74"/>
  <c r="T27" i="77" s="1"/>
  <c r="AV34" i="74"/>
  <c r="S27" i="77" s="1"/>
  <c r="AP34" i="74" a="1"/>
  <c r="AP34" i="74" s="1"/>
  <c r="AO34" i="74" a="1"/>
  <c r="AO34" i="74" s="1"/>
  <c r="AN34" i="74" a="1"/>
  <c r="AN34" i="74" s="1"/>
  <c r="AM34" i="74" a="1"/>
  <c r="AM34" i="74" s="1"/>
  <c r="AL34" i="74" a="1"/>
  <c r="AL34" i="74" s="1"/>
  <c r="AK34" i="74" a="1"/>
  <c r="AK34" i="74" s="1"/>
  <c r="AQ34" i="74" s="1"/>
  <c r="AJ34" i="74" a="1"/>
  <c r="AJ34" i="74" s="1"/>
  <c r="C34" i="74"/>
  <c r="AZ33" i="74"/>
  <c r="AY33" i="74" a="1"/>
  <c r="AY33" i="74" s="1"/>
  <c r="AX33" i="74"/>
  <c r="AW33" i="74"/>
  <c r="AV33" i="74"/>
  <c r="C33" i="74"/>
  <c r="AZ32" i="74"/>
  <c r="W25" i="77" s="1"/>
  <c r="AY32" i="74" a="1"/>
  <c r="AY32" i="74" s="1"/>
  <c r="V25" i="77" s="1"/>
  <c r="AX32" i="74"/>
  <c r="U25" i="77" s="1"/>
  <c r="AW32" i="74"/>
  <c r="T25" i="77" s="1"/>
  <c r="AV32" i="74"/>
  <c r="S25" i="77" s="1"/>
  <c r="AP32" i="74" a="1"/>
  <c r="AP32" i="74" s="1"/>
  <c r="AO32" i="74" a="1"/>
  <c r="AO32" i="74" s="1"/>
  <c r="AN32" i="74" a="1"/>
  <c r="AN32" i="74" s="1"/>
  <c r="AM32" i="74" a="1"/>
  <c r="AM32" i="74" s="1"/>
  <c r="AL32" i="74" a="1"/>
  <c r="AL32" i="74" s="1"/>
  <c r="AK32" i="74" a="1"/>
  <c r="AK32" i="74" s="1"/>
  <c r="AQ32" i="74" s="1"/>
  <c r="AJ32" i="74" a="1"/>
  <c r="AJ32" i="74" s="1"/>
  <c r="C32" i="74"/>
  <c r="AZ31" i="74"/>
  <c r="AY31" i="74" a="1"/>
  <c r="AY31" i="74" s="1"/>
  <c r="AX31" i="74"/>
  <c r="AW31" i="74"/>
  <c r="AV31" i="74"/>
  <c r="C31" i="74"/>
  <c r="AZ30" i="74"/>
  <c r="W24" i="77" s="1"/>
  <c r="AY30" i="74" a="1"/>
  <c r="AY30" i="74" s="1"/>
  <c r="V24" i="77" s="1"/>
  <c r="AX30" i="74"/>
  <c r="U24" i="77" s="1"/>
  <c r="AW30" i="74"/>
  <c r="T24" i="77" s="1"/>
  <c r="AV30" i="74"/>
  <c r="S24" i="77" s="1"/>
  <c r="AP30" i="74" a="1"/>
  <c r="AP30" i="74" s="1"/>
  <c r="AO30" i="74" a="1"/>
  <c r="AO30" i="74" s="1"/>
  <c r="AN30" i="74" a="1"/>
  <c r="AN30" i="74" s="1"/>
  <c r="AM30" i="74" a="1"/>
  <c r="AM30" i="74" s="1"/>
  <c r="AL30" i="74" a="1"/>
  <c r="AL30" i="74" s="1"/>
  <c r="AK30" i="74" a="1"/>
  <c r="AK30" i="74" s="1"/>
  <c r="AQ30" i="74" s="1"/>
  <c r="AJ30" i="74" a="1"/>
  <c r="AJ30" i="74" s="1"/>
  <c r="C30" i="74"/>
  <c r="AZ29" i="74"/>
  <c r="AY29" i="74" a="1"/>
  <c r="AY29" i="74" s="1"/>
  <c r="AX29" i="74"/>
  <c r="AW29" i="74"/>
  <c r="AV29" i="74"/>
  <c r="C29" i="74"/>
  <c r="AZ28" i="74"/>
  <c r="W23" i="77" s="1"/>
  <c r="AY28" i="74" a="1"/>
  <c r="AY28" i="74" s="1"/>
  <c r="V23" i="77" s="1"/>
  <c r="AX28" i="74"/>
  <c r="U23" i="77" s="1"/>
  <c r="AW28" i="74"/>
  <c r="T23" i="77" s="1"/>
  <c r="AV28" i="74"/>
  <c r="S23" i="77" s="1"/>
  <c r="AP28" i="74" a="1"/>
  <c r="AP28" i="74" s="1"/>
  <c r="AO28" i="74" a="1"/>
  <c r="AO28" i="74" s="1"/>
  <c r="AN28" i="74" a="1"/>
  <c r="AN28" i="74" s="1"/>
  <c r="AM28" i="74" a="1"/>
  <c r="AM28" i="74" s="1"/>
  <c r="AL28" i="74" a="1"/>
  <c r="AL28" i="74" s="1"/>
  <c r="AK28" i="74" a="1"/>
  <c r="AK28" i="74" s="1"/>
  <c r="AQ28" i="74" s="1"/>
  <c r="AJ28" i="74" a="1"/>
  <c r="AJ28" i="74" s="1"/>
  <c r="C28" i="74"/>
  <c r="AZ27" i="74"/>
  <c r="AY27" i="74" a="1"/>
  <c r="AY27" i="74" s="1"/>
  <c r="AX27" i="74"/>
  <c r="AW27" i="74"/>
  <c r="AV27" i="74"/>
  <c r="C27" i="74"/>
  <c r="AZ26" i="74"/>
  <c r="W22" i="77" s="1"/>
  <c r="AY26" i="74" a="1"/>
  <c r="AY26" i="74" s="1"/>
  <c r="V22" i="77" s="1"/>
  <c r="AX26" i="74"/>
  <c r="U22" i="77" s="1"/>
  <c r="AW26" i="74"/>
  <c r="T22" i="77" s="1"/>
  <c r="AV26" i="74"/>
  <c r="S22" i="77" s="1"/>
  <c r="AP26" i="74" a="1"/>
  <c r="AP26" i="74" s="1"/>
  <c r="AO26" i="74" a="1"/>
  <c r="AO26" i="74" s="1"/>
  <c r="AN26" i="74" a="1"/>
  <c r="AN26" i="74" s="1"/>
  <c r="AM26" i="74" a="1"/>
  <c r="AM26" i="74" s="1"/>
  <c r="AL26" i="74" a="1"/>
  <c r="AL26" i="74" s="1"/>
  <c r="AK26" i="74" a="1"/>
  <c r="AK26" i="74" s="1"/>
  <c r="AQ26" i="74" s="1"/>
  <c r="AJ26" i="74" a="1"/>
  <c r="AJ26" i="74" s="1"/>
  <c r="C26" i="74"/>
  <c r="N25" i="77" s="1" a="1"/>
  <c r="N25" i="77" s="1"/>
  <c r="AZ25" i="74"/>
  <c r="AY25" i="74" a="1"/>
  <c r="AY25" i="74" s="1"/>
  <c r="AX25" i="74"/>
  <c r="AW25" i="74"/>
  <c r="AV25" i="74"/>
  <c r="C25" i="74"/>
  <c r="AZ24" i="74"/>
  <c r="W17" i="77" s="1"/>
  <c r="AY24" i="74" a="1"/>
  <c r="AY24" i="74" s="1"/>
  <c r="V17" i="77" s="1"/>
  <c r="AX24" i="74"/>
  <c r="U17" i="77" s="1"/>
  <c r="AW24" i="74"/>
  <c r="T17" i="77" s="1"/>
  <c r="AV24" i="74"/>
  <c r="S17" i="77" s="1"/>
  <c r="AP24" i="74" a="1"/>
  <c r="AP24" i="74" s="1"/>
  <c r="AO24" i="74" a="1"/>
  <c r="AO24" i="74" s="1"/>
  <c r="AN24" i="74" a="1"/>
  <c r="AN24" i="74" s="1"/>
  <c r="AM24" i="74" a="1"/>
  <c r="AM24" i="74" s="1"/>
  <c r="AL24" i="74" a="1"/>
  <c r="AL24" i="74" s="1"/>
  <c r="AK24" i="74" a="1"/>
  <c r="AK24" i="74" s="1"/>
  <c r="AQ24" i="74" s="1"/>
  <c r="AJ24" i="74" a="1"/>
  <c r="AJ24" i="74" s="1"/>
  <c r="C24" i="74"/>
  <c r="AZ23" i="74"/>
  <c r="AY23" i="74" a="1"/>
  <c r="AY23" i="74" s="1"/>
  <c r="AX23" i="74"/>
  <c r="AW23" i="74"/>
  <c r="AV23" i="74"/>
  <c r="C23" i="74"/>
  <c r="AZ22" i="74"/>
  <c r="W16" i="77" s="1"/>
  <c r="AY22" i="74" a="1"/>
  <c r="AY22" i="74" s="1"/>
  <c r="V16" i="77" s="1"/>
  <c r="AX22" i="74"/>
  <c r="U16" i="77" s="1"/>
  <c r="AW22" i="74"/>
  <c r="T16" i="77" s="1"/>
  <c r="AV22" i="74"/>
  <c r="S16" i="77" s="1"/>
  <c r="AP22" i="74" a="1"/>
  <c r="AP22" i="74" s="1"/>
  <c r="AO22" i="74" a="1"/>
  <c r="AO22" i="74" s="1"/>
  <c r="AN22" i="74" a="1"/>
  <c r="AN22" i="74" s="1"/>
  <c r="AM22" i="74" a="1"/>
  <c r="AM22" i="74" s="1"/>
  <c r="AL22" i="74" a="1"/>
  <c r="AL22" i="74" s="1"/>
  <c r="AK22" i="74" a="1"/>
  <c r="AK22" i="74" s="1"/>
  <c r="AQ22" i="74" s="1"/>
  <c r="AJ22" i="74" a="1"/>
  <c r="AJ22" i="74" s="1"/>
  <c r="C22" i="74"/>
  <c r="AZ21" i="74"/>
  <c r="AY21" i="74" a="1"/>
  <c r="AY21" i="74" s="1"/>
  <c r="AX21" i="74"/>
  <c r="AW21" i="74"/>
  <c r="AV21" i="74"/>
  <c r="C21" i="74"/>
  <c r="AZ20" i="74"/>
  <c r="W13" i="77" s="1"/>
  <c r="AY20" i="74" a="1"/>
  <c r="AY20" i="74" s="1"/>
  <c r="V13" i="77" s="1"/>
  <c r="AX20" i="74"/>
  <c r="U13" i="77" s="1"/>
  <c r="AW20" i="74"/>
  <c r="T13" i="77" s="1"/>
  <c r="AV20" i="74"/>
  <c r="S13" i="77" s="1"/>
  <c r="AP20" i="74" a="1"/>
  <c r="AP20" i="74" s="1"/>
  <c r="AO20" i="74" a="1"/>
  <c r="AO20" i="74" s="1"/>
  <c r="AN20" i="74" a="1"/>
  <c r="AN20" i="74" s="1"/>
  <c r="AM20" i="74" a="1"/>
  <c r="AM20" i="74" s="1"/>
  <c r="AL20" i="74" a="1"/>
  <c r="AL20" i="74" s="1"/>
  <c r="AK20" i="74" a="1"/>
  <c r="AK20" i="74" s="1"/>
  <c r="AQ20" i="74" s="1"/>
  <c r="AJ20" i="74" a="1"/>
  <c r="AJ20" i="74" s="1"/>
  <c r="C20" i="74"/>
  <c r="AZ19" i="74"/>
  <c r="AY19" i="74" a="1"/>
  <c r="AY19" i="74" s="1"/>
  <c r="AX19" i="74"/>
  <c r="AW19" i="74"/>
  <c r="AV19" i="74"/>
  <c r="C19" i="74"/>
  <c r="AZ18" i="74"/>
  <c r="W12" i="77" s="1"/>
  <c r="AY18" i="74" a="1"/>
  <c r="AY18" i="74" s="1"/>
  <c r="V12" i="77" s="1"/>
  <c r="AX18" i="74"/>
  <c r="U12" i="77" s="1"/>
  <c r="AW18" i="74"/>
  <c r="T12" i="77" s="1"/>
  <c r="AV18" i="74"/>
  <c r="S12" i="77" s="1"/>
  <c r="AP18" i="74" a="1"/>
  <c r="AP18" i="74" s="1"/>
  <c r="AO18" i="74" a="1"/>
  <c r="AO18" i="74" s="1"/>
  <c r="AN18" i="74" a="1"/>
  <c r="AN18" i="74" s="1"/>
  <c r="AM18" i="74" a="1"/>
  <c r="AM18" i="74" s="1"/>
  <c r="AL18" i="74" a="1"/>
  <c r="AL18" i="74" s="1"/>
  <c r="AK18" i="74" a="1"/>
  <c r="AK18" i="74" s="1"/>
  <c r="AQ18" i="74" s="1"/>
  <c r="AJ18" i="74" a="1"/>
  <c r="AJ18" i="74" s="1"/>
  <c r="C18" i="74"/>
  <c r="AZ17" i="74"/>
  <c r="AY17" i="74" a="1"/>
  <c r="AY17" i="74" s="1"/>
  <c r="AX17" i="74"/>
  <c r="AW17" i="74"/>
  <c r="AV17" i="74"/>
  <c r="C17" i="74"/>
  <c r="AZ16" i="74"/>
  <c r="W11" i="77" s="1"/>
  <c r="AY16" i="74" a="1"/>
  <c r="AY16" i="74" s="1"/>
  <c r="V11" i="77" s="1"/>
  <c r="AX16" i="74"/>
  <c r="U11" i="77" s="1"/>
  <c r="AW16" i="74"/>
  <c r="T11" i="77" s="1"/>
  <c r="AV16" i="74"/>
  <c r="S11" i="77" s="1"/>
  <c r="AP16" i="74" a="1"/>
  <c r="AP16" i="74" s="1"/>
  <c r="AO16" i="74" a="1"/>
  <c r="AO16" i="74" s="1"/>
  <c r="AN16" i="74" a="1"/>
  <c r="AN16" i="74" s="1"/>
  <c r="AM16" i="74" a="1"/>
  <c r="AM16" i="74" s="1"/>
  <c r="AL16" i="74" a="1"/>
  <c r="AL16" i="74" s="1"/>
  <c r="AK16" i="74" a="1"/>
  <c r="AK16" i="74" s="1"/>
  <c r="AQ16" i="74" s="1"/>
  <c r="AJ16" i="74" a="1"/>
  <c r="AJ16" i="74" s="1"/>
  <c r="C16" i="74"/>
  <c r="H7" i="77" s="1" a="1"/>
  <c r="H7" i="77" s="1"/>
  <c r="AZ15" i="74"/>
  <c r="AY15" i="74" a="1"/>
  <c r="AY15" i="74" s="1"/>
  <c r="AX15" i="74"/>
  <c r="AW15" i="74"/>
  <c r="AV15" i="74"/>
  <c r="C15" i="74"/>
  <c r="AZ14" i="74"/>
  <c r="W10" i="77" s="1"/>
  <c r="AY14" i="74" a="1"/>
  <c r="AY14" i="74" s="1"/>
  <c r="V10" i="77" s="1"/>
  <c r="AX14" i="74"/>
  <c r="U10" i="77" s="1"/>
  <c r="AW14" i="74"/>
  <c r="T10" i="77" s="1"/>
  <c r="AV14" i="74"/>
  <c r="S10" i="77" s="1"/>
  <c r="AP14" i="74" a="1"/>
  <c r="AP14" i="74" s="1"/>
  <c r="AO14" i="74" a="1"/>
  <c r="AO14" i="74" s="1"/>
  <c r="AN14" i="74" a="1"/>
  <c r="AN14" i="74" s="1"/>
  <c r="AM14" i="74" a="1"/>
  <c r="AM14" i="74" s="1"/>
  <c r="AL14" i="74" a="1"/>
  <c r="AL14" i="74" s="1"/>
  <c r="AK14" i="74" a="1"/>
  <c r="AK14" i="74" s="1"/>
  <c r="AQ14" i="74" s="1"/>
  <c r="AJ14" i="74" a="1"/>
  <c r="AJ14" i="74" s="1"/>
  <c r="C14" i="74"/>
  <c r="AZ13" i="74"/>
  <c r="AY13" i="74" a="1"/>
  <c r="AY13" i="74" s="1"/>
  <c r="AX13" i="74"/>
  <c r="AW13" i="74"/>
  <c r="AV13" i="74"/>
  <c r="C13" i="74"/>
  <c r="AZ12" i="74"/>
  <c r="W9" i="77" s="1"/>
  <c r="AY12" i="74" a="1"/>
  <c r="AY12" i="74" s="1"/>
  <c r="V9" i="77" s="1"/>
  <c r="AX12" i="74"/>
  <c r="U9" i="77" s="1"/>
  <c r="AW12" i="74"/>
  <c r="T9" i="77" s="1"/>
  <c r="AV12" i="74"/>
  <c r="S9" i="77" s="1"/>
  <c r="AP12" i="74" a="1"/>
  <c r="AP12" i="74" s="1"/>
  <c r="AO12" i="74" a="1"/>
  <c r="AO12" i="74" s="1"/>
  <c r="AN12" i="74" a="1"/>
  <c r="AN12" i="74" s="1"/>
  <c r="AM12" i="74" a="1"/>
  <c r="AM12" i="74" s="1"/>
  <c r="AL12" i="74" a="1"/>
  <c r="AL12" i="74" s="1"/>
  <c r="AK12" i="74" a="1"/>
  <c r="AK12" i="74" s="1"/>
  <c r="AQ12" i="74" s="1"/>
  <c r="AJ12" i="74" a="1"/>
  <c r="AJ12" i="74" s="1"/>
  <c r="C12" i="74"/>
  <c r="AZ11" i="74"/>
  <c r="AY11" i="74" a="1"/>
  <c r="AY11" i="74" s="1"/>
  <c r="AX11" i="74"/>
  <c r="AW11" i="74"/>
  <c r="AV11" i="74"/>
  <c r="C11" i="74"/>
  <c r="AZ10" i="74"/>
  <c r="W6" i="77" s="1"/>
  <c r="AY10" i="74" a="1"/>
  <c r="AY10" i="74" s="1"/>
  <c r="V6" i="77" s="1"/>
  <c r="AX10" i="74"/>
  <c r="U6" i="77" s="1"/>
  <c r="AW10" i="74"/>
  <c r="T6" i="77" s="1"/>
  <c r="AV10" i="74"/>
  <c r="S6" i="77" s="1"/>
  <c r="AP10" i="74" a="1"/>
  <c r="AP10" i="74" s="1"/>
  <c r="AO10" i="74" a="1"/>
  <c r="AO10" i="74" s="1"/>
  <c r="AN10" i="74" a="1"/>
  <c r="AN10" i="74" s="1"/>
  <c r="AM10" i="74" a="1"/>
  <c r="AM10" i="74" s="1"/>
  <c r="AL10" i="74" a="1"/>
  <c r="AL10" i="74" s="1"/>
  <c r="AK10" i="74" a="1"/>
  <c r="AK10" i="74" s="1"/>
  <c r="AQ10" i="74" s="1"/>
  <c r="AJ10" i="74" a="1"/>
  <c r="AJ10" i="74" s="1"/>
  <c r="C10" i="74"/>
  <c r="AZ9" i="74"/>
  <c r="AY9" i="74" a="1"/>
  <c r="AY9" i="74" s="1"/>
  <c r="AX9" i="74"/>
  <c r="AW9" i="74"/>
  <c r="AV9" i="74"/>
  <c r="C9" i="74"/>
  <c r="AZ8" i="74"/>
  <c r="W5" i="77" s="1"/>
  <c r="AY8" i="74" a="1"/>
  <c r="AY8" i="74" s="1"/>
  <c r="V5" i="77" s="1"/>
  <c r="AX8" i="74"/>
  <c r="U5" i="77" s="1"/>
  <c r="AW8" i="74"/>
  <c r="T5" i="77" s="1"/>
  <c r="AV8" i="74"/>
  <c r="S5" i="77" s="1"/>
  <c r="AP8" i="74" a="1"/>
  <c r="AP8" i="74" s="1"/>
  <c r="AO8" i="74" a="1"/>
  <c r="AO8" i="74" s="1"/>
  <c r="AN8" i="74" a="1"/>
  <c r="AN8" i="74" s="1"/>
  <c r="AM8" i="74" a="1"/>
  <c r="AM8" i="74" s="1"/>
  <c r="AL8" i="74" a="1"/>
  <c r="AL8" i="74" s="1"/>
  <c r="AK8" i="74" a="1"/>
  <c r="AK8" i="74" s="1"/>
  <c r="AQ8" i="74" s="1"/>
  <c r="AJ8" i="74" a="1"/>
  <c r="AJ8" i="74" s="1"/>
  <c r="C8" i="74"/>
  <c r="AZ7" i="74"/>
  <c r="AY7" i="74" a="1"/>
  <c r="AY7" i="74" s="1"/>
  <c r="AX7" i="74"/>
  <c r="AW7" i="74"/>
  <c r="AV7" i="74"/>
  <c r="C7" i="74"/>
  <c r="AZ6" i="74"/>
  <c r="W4" i="77" s="1"/>
  <c r="AY6" i="74" a="1"/>
  <c r="AY6" i="74" s="1"/>
  <c r="V4" i="77" s="1"/>
  <c r="AX6" i="74"/>
  <c r="U4" i="77" s="1"/>
  <c r="AW6" i="74"/>
  <c r="T4" i="77" s="1"/>
  <c r="AV6" i="74"/>
  <c r="S4" i="77" s="1"/>
  <c r="AP6" i="74" a="1"/>
  <c r="AP6" i="74" s="1"/>
  <c r="AO6" i="74" a="1"/>
  <c r="AO6" i="74" s="1"/>
  <c r="AN6" i="74" a="1"/>
  <c r="AN6" i="74" s="1"/>
  <c r="AM6" i="74" a="1"/>
  <c r="AM6" i="74" s="1"/>
  <c r="AL6" i="74" a="1"/>
  <c r="AL6" i="74" s="1"/>
  <c r="AK6" i="74" a="1"/>
  <c r="AK6" i="74" s="1"/>
  <c r="AQ6" i="74" s="1"/>
  <c r="AJ6" i="74" a="1"/>
  <c r="AJ6" i="74" s="1"/>
  <c r="C6" i="74"/>
  <c r="D67" i="72"/>
  <c r="AF70" i="64"/>
  <c r="AE70" i="64"/>
  <c r="AD70" i="64"/>
  <c r="AC70" i="64"/>
  <c r="AB70" i="64"/>
  <c r="AA70" i="64"/>
  <c r="Z70" i="64"/>
  <c r="Y70" i="64"/>
  <c r="X70" i="64"/>
  <c r="W70" i="64"/>
  <c r="V70" i="64"/>
  <c r="U70" i="64"/>
  <c r="T70" i="64"/>
  <c r="S70" i="64"/>
  <c r="R70" i="64"/>
  <c r="Q70" i="64"/>
  <c r="P70" i="64"/>
  <c r="O70" i="64"/>
  <c r="N70" i="64"/>
  <c r="M70" i="64"/>
  <c r="L70" i="64"/>
  <c r="K70" i="64"/>
  <c r="J70" i="64"/>
  <c r="I70" i="64"/>
  <c r="H70" i="64"/>
  <c r="G70" i="64"/>
  <c r="F70" i="64"/>
  <c r="E70" i="64"/>
  <c r="D70" i="64"/>
  <c r="C70" i="64"/>
  <c r="AF69" i="64"/>
  <c r="AE69" i="64"/>
  <c r="AD69" i="64"/>
  <c r="AC69" i="64"/>
  <c r="AB69" i="64"/>
  <c r="AA69" i="64"/>
  <c r="Z69" i="64"/>
  <c r="Y69" i="64"/>
  <c r="X69" i="64"/>
  <c r="W69" i="64"/>
  <c r="V69" i="64"/>
  <c r="U69" i="64"/>
  <c r="T69" i="64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AF68" i="64"/>
  <c r="AE68" i="64"/>
  <c r="AD68" i="64"/>
  <c r="AC68" i="64"/>
  <c r="AB68" i="64"/>
  <c r="AA68" i="64"/>
  <c r="Z68" i="64"/>
  <c r="Y68" i="64"/>
  <c r="X68" i="64"/>
  <c r="W68" i="64"/>
  <c r="V68" i="64"/>
  <c r="U68" i="64"/>
  <c r="T68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AF67" i="64"/>
  <c r="AE67" i="64"/>
  <c r="AD67" i="64"/>
  <c r="AC67" i="64"/>
  <c r="AB67" i="64"/>
  <c r="AA67" i="64"/>
  <c r="Z67" i="64"/>
  <c r="Y67" i="64"/>
  <c r="X67" i="64"/>
  <c r="W67" i="64"/>
  <c r="V67" i="64"/>
  <c r="U67" i="64"/>
  <c r="T67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F67" i="64"/>
  <c r="E67" i="64"/>
  <c r="D67" i="64"/>
  <c r="C67" i="64"/>
  <c r="C7" i="72"/>
  <c r="C8" i="72"/>
  <c r="C9" i="72"/>
  <c r="C10" i="72"/>
  <c r="C11" i="72"/>
  <c r="C12" i="72"/>
  <c r="C13" i="72"/>
  <c r="C14" i="72"/>
  <c r="C15" i="72"/>
  <c r="C16" i="72"/>
  <c r="C17" i="72"/>
  <c r="C18" i="72"/>
  <c r="C19" i="72"/>
  <c r="C20" i="72"/>
  <c r="C21" i="72"/>
  <c r="C22" i="72"/>
  <c r="C23" i="72"/>
  <c r="C24" i="72"/>
  <c r="F11" i="73" s="1" a="1"/>
  <c r="F11" i="73" s="1"/>
  <c r="C25" i="72"/>
  <c r="C26" i="72"/>
  <c r="C27" i="72"/>
  <c r="C28" i="72"/>
  <c r="C29" i="72"/>
  <c r="C30" i="72"/>
  <c r="C31" i="72"/>
  <c r="C32" i="72"/>
  <c r="C33" i="72"/>
  <c r="C34" i="72"/>
  <c r="C35" i="72"/>
  <c r="C36" i="72"/>
  <c r="C37" i="72"/>
  <c r="C38" i="72"/>
  <c r="C39" i="72"/>
  <c r="C40" i="72"/>
  <c r="J29" i="73" s="1" a="1"/>
  <c r="J29" i="73" s="1"/>
  <c r="C41" i="72"/>
  <c r="C42" i="72"/>
  <c r="N29" i="73" s="1" a="1"/>
  <c r="N29" i="73" s="1"/>
  <c r="C43" i="72"/>
  <c r="C44" i="72"/>
  <c r="C45" i="72"/>
  <c r="C46" i="72"/>
  <c r="C47" i="72"/>
  <c r="C48" i="72"/>
  <c r="L23" i="73" s="1" a="1"/>
  <c r="L23" i="73" s="1"/>
  <c r="C49" i="72"/>
  <c r="C50" i="72"/>
  <c r="L7" i="73" s="1" a="1"/>
  <c r="L7" i="73" s="1"/>
  <c r="C51" i="72"/>
  <c r="C52" i="72"/>
  <c r="D17" i="73" s="1" a="1"/>
  <c r="D17" i="73" s="1"/>
  <c r="C53" i="72"/>
  <c r="C54" i="72"/>
  <c r="D29" i="73" s="1" a="1"/>
  <c r="D29" i="73" s="1"/>
  <c r="C55" i="72"/>
  <c r="C56" i="72"/>
  <c r="C57" i="72"/>
  <c r="C58" i="72"/>
  <c r="C59" i="72"/>
  <c r="C60" i="72"/>
  <c r="C61" i="72"/>
  <c r="C62" i="72"/>
  <c r="B13" i="73" s="1" a="1"/>
  <c r="B13" i="73" s="1"/>
  <c r="C63" i="72"/>
  <c r="C64" i="72"/>
  <c r="C65" i="72"/>
  <c r="C66" i="72"/>
  <c r="C6" i="72"/>
  <c r="N43" i="73"/>
  <c r="B5" i="66"/>
  <c r="B15" i="66"/>
  <c r="B16" i="66"/>
  <c r="B2" i="66"/>
  <c r="B3" i="66"/>
  <c r="B4" i="66"/>
  <c r="D74" i="72"/>
  <c r="D73" i="72"/>
  <c r="D72" i="72"/>
  <c r="D71" i="72"/>
  <c r="AH70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S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AH69" i="72"/>
  <c r="AG69" i="72"/>
  <c r="AF69" i="72"/>
  <c r="AE69" i="72"/>
  <c r="AD69" i="72"/>
  <c r="AC69" i="72"/>
  <c r="AB69" i="72"/>
  <c r="X69" i="72"/>
  <c r="W69" i="72"/>
  <c r="V69" i="72"/>
  <c r="U69" i="72"/>
  <c r="T69" i="7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AH68" i="72"/>
  <c r="AG68" i="72"/>
  <c r="AF68" i="72"/>
  <c r="AE68" i="72"/>
  <c r="AD68" i="72"/>
  <c r="AC68" i="72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AH67" i="72"/>
  <c r="AG67" i="72"/>
  <c r="AF67" i="72"/>
  <c r="AE67" i="72"/>
  <c r="AD67" i="72"/>
  <c r="AC67" i="72"/>
  <c r="AB67" i="72"/>
  <c r="AA67" i="72"/>
  <c r="Z67" i="72"/>
  <c r="Y67" i="72"/>
  <c r="X67" i="72"/>
  <c r="W67" i="72"/>
  <c r="V67" i="72"/>
  <c r="U67" i="72"/>
  <c r="T67" i="72"/>
  <c r="S67" i="72"/>
  <c r="R67" i="72"/>
  <c r="Q67" i="72"/>
  <c r="P67" i="72"/>
  <c r="O67" i="72"/>
  <c r="N67" i="72"/>
  <c r="M67" i="72"/>
  <c r="L67" i="72"/>
  <c r="K67" i="72"/>
  <c r="J67" i="72"/>
  <c r="I67" i="72"/>
  <c r="H67" i="72"/>
  <c r="G67" i="72"/>
  <c r="F67" i="72"/>
  <c r="E67" i="72"/>
  <c r="AZ66" i="72"/>
  <c r="W46" i="73" s="1"/>
  <c r="AY66" i="72" a="1"/>
  <c r="AY66" i="72" s="1"/>
  <c r="V46" i="73" s="1"/>
  <c r="AX66" i="72"/>
  <c r="U46" i="73" s="1"/>
  <c r="AW66" i="72"/>
  <c r="T46" i="73" s="1"/>
  <c r="AV66" i="72"/>
  <c r="S46" i="73" s="1"/>
  <c r="X46" i="73" s="1"/>
  <c r="AP66" i="72" a="1"/>
  <c r="AP66" i="72" s="1"/>
  <c r="AO66" i="72" a="1"/>
  <c r="AO66" i="72" s="1"/>
  <c r="AN66" i="72" a="1"/>
  <c r="AN66" i="72" s="1"/>
  <c r="AM66" i="72" a="1"/>
  <c r="AM66" i="72" s="1"/>
  <c r="AL66" i="72" a="1"/>
  <c r="AL66" i="72" s="1"/>
  <c r="AK66" i="72" a="1"/>
  <c r="AK66" i="72" s="1"/>
  <c r="AQ66" i="72" s="1"/>
  <c r="AJ66" i="72" a="1"/>
  <c r="AJ66" i="72" s="1"/>
  <c r="AZ65" i="72"/>
  <c r="AY65" i="72" a="1"/>
  <c r="AY65" i="72" s="1"/>
  <c r="AX65" i="72"/>
  <c r="AW65" i="72"/>
  <c r="AV65" i="72"/>
  <c r="AZ64" i="72"/>
  <c r="W45" i="73" s="1"/>
  <c r="AY64" i="72" a="1"/>
  <c r="AY64" i="72" s="1"/>
  <c r="V45" i="73" s="1"/>
  <c r="AX64" i="72"/>
  <c r="U45" i="73" s="1"/>
  <c r="AW64" i="72"/>
  <c r="T45" i="73" s="1"/>
  <c r="AV64" i="72"/>
  <c r="S45" i="73" s="1"/>
  <c r="X45" i="73" s="1"/>
  <c r="AP64" i="72" a="1"/>
  <c r="AP64" i="72" s="1"/>
  <c r="AO64" i="72" a="1"/>
  <c r="AO64" i="72" s="1"/>
  <c r="AN64" i="72" a="1"/>
  <c r="AN64" i="72" s="1"/>
  <c r="AM64" i="72" a="1"/>
  <c r="AM64" i="72" s="1"/>
  <c r="AL64" i="72" a="1"/>
  <c r="AL64" i="72" s="1"/>
  <c r="AK64" i="72" a="1"/>
  <c r="AK64" i="72" s="1"/>
  <c r="AQ64" i="72" s="1"/>
  <c r="AJ64" i="72" a="1"/>
  <c r="AJ64" i="72" s="1"/>
  <c r="AZ63" i="72"/>
  <c r="AY63" i="72" a="1"/>
  <c r="AY63" i="72" s="1"/>
  <c r="AX63" i="72"/>
  <c r="AW63" i="72"/>
  <c r="AV63" i="72"/>
  <c r="AZ62" i="72"/>
  <c r="W44" i="73" s="1"/>
  <c r="AY62" i="72" a="1"/>
  <c r="AY62" i="72" s="1"/>
  <c r="V44" i="73" s="1"/>
  <c r="AX62" i="72"/>
  <c r="U44" i="73" s="1"/>
  <c r="AW62" i="72"/>
  <c r="T44" i="73" s="1"/>
  <c r="AV62" i="72"/>
  <c r="S44" i="73" s="1"/>
  <c r="X44" i="73" s="1"/>
  <c r="AP62" i="72" a="1"/>
  <c r="AP62" i="72" s="1"/>
  <c r="AO62" i="72" a="1"/>
  <c r="AO62" i="72" s="1"/>
  <c r="AN62" i="72" a="1"/>
  <c r="AN62" i="72" s="1"/>
  <c r="AM62" i="72" a="1"/>
  <c r="AM62" i="72" s="1"/>
  <c r="AL62" i="72" a="1"/>
  <c r="AL62" i="72" s="1"/>
  <c r="AK62" i="72" a="1"/>
  <c r="AK62" i="72" s="1"/>
  <c r="AQ62" i="72" s="1"/>
  <c r="AJ62" i="72" a="1"/>
  <c r="AJ62" i="72" s="1"/>
  <c r="AZ61" i="72"/>
  <c r="AY61" i="72" a="1"/>
  <c r="AY61" i="72" s="1"/>
  <c r="AX61" i="72"/>
  <c r="AW61" i="72"/>
  <c r="AV61" i="72"/>
  <c r="AZ60" i="72"/>
  <c r="W43" i="73" s="1"/>
  <c r="AY60" i="72" a="1"/>
  <c r="AY60" i="72" s="1"/>
  <c r="V43" i="73" s="1"/>
  <c r="AX60" i="72"/>
  <c r="U43" i="73" s="1"/>
  <c r="AW60" i="72"/>
  <c r="T43" i="73" s="1"/>
  <c r="AV60" i="72"/>
  <c r="S43" i="73" s="1"/>
  <c r="X43" i="73" s="1"/>
  <c r="AP60" i="72" a="1"/>
  <c r="AP60" i="72" s="1"/>
  <c r="AO60" i="72" a="1"/>
  <c r="AO60" i="72" s="1"/>
  <c r="AN60" i="72" a="1"/>
  <c r="AN60" i="72" s="1"/>
  <c r="AM60" i="72" a="1"/>
  <c r="AM60" i="72" s="1"/>
  <c r="AL60" i="72" a="1"/>
  <c r="AL60" i="72" s="1"/>
  <c r="AK60" i="72" a="1"/>
  <c r="AK60" i="72" s="1"/>
  <c r="AQ60" i="72" s="1"/>
  <c r="AJ60" i="72" a="1"/>
  <c r="AJ60" i="72" s="1"/>
  <c r="AZ59" i="72"/>
  <c r="AY59" i="72" a="1"/>
  <c r="AY59" i="72" s="1"/>
  <c r="AX59" i="72"/>
  <c r="AW59" i="72"/>
  <c r="AV59" i="72"/>
  <c r="AZ58" i="72"/>
  <c r="W42" i="73" s="1"/>
  <c r="AY58" i="72" a="1"/>
  <c r="AY58" i="72" s="1"/>
  <c r="V42" i="73" s="1"/>
  <c r="AX58" i="72"/>
  <c r="U42" i="73" s="1"/>
  <c r="AW58" i="72"/>
  <c r="T42" i="73" s="1"/>
  <c r="AV58" i="72"/>
  <c r="S42" i="73" s="1"/>
  <c r="X42" i="73" s="1"/>
  <c r="AP58" i="72" a="1"/>
  <c r="AP58" i="72" s="1"/>
  <c r="AO58" i="72" a="1"/>
  <c r="AO58" i="72" s="1"/>
  <c r="AN58" i="72" a="1"/>
  <c r="AN58" i="72" s="1"/>
  <c r="AM58" i="72" a="1"/>
  <c r="AM58" i="72" s="1"/>
  <c r="AL58" i="72" a="1"/>
  <c r="AL58" i="72" s="1"/>
  <c r="AK58" i="72" a="1"/>
  <c r="AK58" i="72" s="1"/>
  <c r="AQ58" i="72" s="1"/>
  <c r="AJ58" i="72" a="1"/>
  <c r="AJ58" i="72" s="1"/>
  <c r="AZ57" i="72"/>
  <c r="AY57" i="72" a="1"/>
  <c r="AY57" i="72" s="1"/>
  <c r="AX57" i="72"/>
  <c r="AW57" i="72"/>
  <c r="AV57" i="72"/>
  <c r="AZ56" i="72"/>
  <c r="W41" i="73" s="1"/>
  <c r="AY56" i="72" a="1"/>
  <c r="AY56" i="72" s="1"/>
  <c r="V41" i="73" s="1"/>
  <c r="AX56" i="72"/>
  <c r="U41" i="73" s="1"/>
  <c r="AW56" i="72"/>
  <c r="T41" i="73" s="1"/>
  <c r="AV56" i="72"/>
  <c r="S41" i="73" s="1"/>
  <c r="X41" i="73" s="1"/>
  <c r="AP56" i="72" a="1"/>
  <c r="AP56" i="72" s="1"/>
  <c r="AO56" i="72" a="1"/>
  <c r="AO56" i="72" s="1"/>
  <c r="AN56" i="72" a="1"/>
  <c r="AN56" i="72" s="1"/>
  <c r="AM56" i="72" a="1"/>
  <c r="AM56" i="72" s="1"/>
  <c r="AL56" i="72" a="1"/>
  <c r="AL56" i="72" s="1"/>
  <c r="AK56" i="72" a="1"/>
  <c r="AK56" i="72" s="1"/>
  <c r="AQ56" i="72" s="1"/>
  <c r="AJ56" i="72" a="1"/>
  <c r="AJ56" i="72" s="1"/>
  <c r="AZ55" i="72"/>
  <c r="AY55" i="72" a="1"/>
  <c r="AY55" i="72" s="1"/>
  <c r="AX55" i="72"/>
  <c r="AW55" i="72"/>
  <c r="AV55" i="72"/>
  <c r="AZ54" i="72"/>
  <c r="W38" i="73" s="1"/>
  <c r="AY54" i="72" a="1"/>
  <c r="AY54" i="72" s="1"/>
  <c r="V38" i="73" s="1"/>
  <c r="AX54" i="72"/>
  <c r="U38" i="73" s="1"/>
  <c r="AW54" i="72"/>
  <c r="T38" i="73" s="1"/>
  <c r="AV54" i="72"/>
  <c r="S38" i="73" s="1"/>
  <c r="X38" i="73" s="1"/>
  <c r="AP54" i="72" a="1"/>
  <c r="AP54" i="72" s="1"/>
  <c r="AO54" i="72" a="1"/>
  <c r="AO54" i="72" s="1"/>
  <c r="AN54" i="72" a="1"/>
  <c r="AN54" i="72" s="1"/>
  <c r="AM54" i="72" a="1"/>
  <c r="AM54" i="72" s="1"/>
  <c r="AL54" i="72" a="1"/>
  <c r="AL54" i="72" s="1"/>
  <c r="AK54" i="72" a="1"/>
  <c r="AK54" i="72" s="1"/>
  <c r="AQ54" i="72" s="1"/>
  <c r="AJ54" i="72" a="1"/>
  <c r="AJ54" i="72" s="1"/>
  <c r="AZ53" i="72"/>
  <c r="AY53" i="72" a="1"/>
  <c r="AY53" i="72" s="1"/>
  <c r="AX53" i="72"/>
  <c r="AW53" i="72"/>
  <c r="AV53" i="72"/>
  <c r="AZ52" i="72"/>
  <c r="W37" i="73" s="1"/>
  <c r="AY52" i="72" a="1"/>
  <c r="AY52" i="72" s="1"/>
  <c r="V37" i="73" s="1"/>
  <c r="AX52" i="72"/>
  <c r="U37" i="73" s="1"/>
  <c r="AW52" i="72"/>
  <c r="T37" i="73" s="1"/>
  <c r="AV52" i="72"/>
  <c r="S37" i="73" s="1"/>
  <c r="X37" i="73" s="1"/>
  <c r="AP52" i="72" a="1"/>
  <c r="AP52" i="72" s="1"/>
  <c r="AO52" i="72" a="1"/>
  <c r="AO52" i="72" s="1"/>
  <c r="AN52" i="72" a="1"/>
  <c r="AN52" i="72" s="1"/>
  <c r="AM52" i="72" a="1"/>
  <c r="AM52" i="72" s="1"/>
  <c r="AL52" i="72" a="1"/>
  <c r="AL52" i="72" s="1"/>
  <c r="AK52" i="72" a="1"/>
  <c r="AK52" i="72" s="1"/>
  <c r="AQ52" i="72" s="1"/>
  <c r="AJ52" i="72" a="1"/>
  <c r="AJ52" i="72" s="1"/>
  <c r="AZ51" i="72"/>
  <c r="AY51" i="72" a="1"/>
  <c r="AY51" i="72" s="1"/>
  <c r="AX51" i="72"/>
  <c r="AW51" i="72"/>
  <c r="AV51" i="72"/>
  <c r="AZ50" i="72"/>
  <c r="W36" i="73" s="1"/>
  <c r="AY50" i="72" a="1"/>
  <c r="AY50" i="72" s="1"/>
  <c r="V36" i="73" s="1"/>
  <c r="AX50" i="72"/>
  <c r="U36" i="73" s="1"/>
  <c r="AW50" i="72"/>
  <c r="T36" i="73" s="1"/>
  <c r="AV50" i="72"/>
  <c r="S36" i="73" s="1"/>
  <c r="X36" i="73" s="1"/>
  <c r="AP50" i="72" a="1"/>
  <c r="AP50" i="72" s="1"/>
  <c r="AO50" i="72" a="1"/>
  <c r="AO50" i="72" s="1"/>
  <c r="AN50" i="72" a="1"/>
  <c r="AN50" i="72" s="1"/>
  <c r="AM50" i="72" a="1"/>
  <c r="AM50" i="72" s="1"/>
  <c r="AL50" i="72" a="1"/>
  <c r="AL50" i="72" s="1"/>
  <c r="AK50" i="72" a="1"/>
  <c r="AK50" i="72" s="1"/>
  <c r="AQ50" i="72" s="1"/>
  <c r="AJ50" i="72" a="1"/>
  <c r="AJ50" i="72" s="1"/>
  <c r="AZ49" i="72"/>
  <c r="AY49" i="72" a="1"/>
  <c r="AY49" i="72" s="1"/>
  <c r="AX49" i="72"/>
  <c r="AW49" i="72"/>
  <c r="AV49" i="72"/>
  <c r="AZ48" i="72"/>
  <c r="W33" i="73" s="1"/>
  <c r="AY48" i="72" a="1"/>
  <c r="AY48" i="72" s="1"/>
  <c r="V33" i="73" s="1"/>
  <c r="AX48" i="72"/>
  <c r="U33" i="73" s="1"/>
  <c r="AW48" i="72"/>
  <c r="T33" i="73" s="1"/>
  <c r="AV48" i="72"/>
  <c r="S33" i="73" s="1"/>
  <c r="X33" i="73" s="1"/>
  <c r="AP48" i="72" a="1"/>
  <c r="AP48" i="72" s="1"/>
  <c r="AO48" i="72" a="1"/>
  <c r="AO48" i="72" s="1"/>
  <c r="AN48" i="72" a="1"/>
  <c r="AN48" i="72" s="1"/>
  <c r="AM48" i="72" a="1"/>
  <c r="AM48" i="72" s="1"/>
  <c r="AL48" i="72" a="1"/>
  <c r="AL48" i="72" s="1"/>
  <c r="AK48" i="72" a="1"/>
  <c r="AK48" i="72" s="1"/>
  <c r="AQ48" i="72" s="1"/>
  <c r="AJ48" i="72" a="1"/>
  <c r="AJ48" i="72" s="1"/>
  <c r="AZ47" i="72"/>
  <c r="AY47" i="72" a="1"/>
  <c r="AY47" i="72" s="1"/>
  <c r="AX47" i="72"/>
  <c r="AW47" i="72"/>
  <c r="AV47" i="72"/>
  <c r="AZ46" i="72"/>
  <c r="W31" i="73" s="1"/>
  <c r="AY46" i="72" a="1"/>
  <c r="AY46" i="72" s="1"/>
  <c r="V31" i="73" s="1"/>
  <c r="AX46" i="72"/>
  <c r="U31" i="73" s="1"/>
  <c r="AW46" i="72"/>
  <c r="T31" i="73" s="1"/>
  <c r="AV46" i="72"/>
  <c r="S31" i="73" s="1"/>
  <c r="X31" i="73" s="1"/>
  <c r="AP46" i="72" a="1"/>
  <c r="AP46" i="72" s="1"/>
  <c r="AO46" i="72" a="1"/>
  <c r="AO46" i="72" s="1"/>
  <c r="AN46" i="72" a="1"/>
  <c r="AN46" i="72" s="1"/>
  <c r="AM46" i="72" a="1"/>
  <c r="AM46" i="72" s="1"/>
  <c r="AL46" i="72" a="1"/>
  <c r="AL46" i="72" s="1"/>
  <c r="AK46" i="72" a="1"/>
  <c r="AK46" i="72" s="1"/>
  <c r="AQ46" i="72" s="1"/>
  <c r="AJ46" i="72" a="1"/>
  <c r="AJ46" i="72" s="1"/>
  <c r="AZ45" i="72"/>
  <c r="AY45" i="72" a="1"/>
  <c r="AY45" i="72" s="1"/>
  <c r="AX45" i="72"/>
  <c r="AW45" i="72"/>
  <c r="AV45" i="72"/>
  <c r="AZ44" i="72"/>
  <c r="W32" i="73" s="1"/>
  <c r="AY44" i="72" a="1"/>
  <c r="AY44" i="72" s="1"/>
  <c r="V32" i="73" s="1"/>
  <c r="AX44" i="72"/>
  <c r="U32" i="73" s="1"/>
  <c r="AW44" i="72"/>
  <c r="T32" i="73" s="1"/>
  <c r="AV44" i="72"/>
  <c r="S32" i="73" s="1"/>
  <c r="X32" i="73" s="1"/>
  <c r="AP44" i="72" a="1"/>
  <c r="AP44" i="72" s="1"/>
  <c r="AO44" i="72" a="1"/>
  <c r="AO44" i="72" s="1"/>
  <c r="AN44" i="72" a="1"/>
  <c r="AN44" i="72" s="1"/>
  <c r="AM44" i="72" a="1"/>
  <c r="AM44" i="72" s="1"/>
  <c r="AL44" i="72" a="1"/>
  <c r="AL44" i="72" s="1"/>
  <c r="AK44" i="72" a="1"/>
  <c r="AK44" i="72" s="1"/>
  <c r="AQ44" i="72" s="1"/>
  <c r="AJ44" i="72" a="1"/>
  <c r="AJ44" i="72" s="1"/>
  <c r="AZ43" i="72"/>
  <c r="AY43" i="72" a="1"/>
  <c r="AY43" i="72" s="1"/>
  <c r="AX43" i="72"/>
  <c r="AW43" i="72"/>
  <c r="AV43" i="72"/>
  <c r="AZ42" i="72"/>
  <c r="W30" i="73" s="1"/>
  <c r="AY42" i="72" a="1"/>
  <c r="AY42" i="72" s="1"/>
  <c r="V30" i="73" s="1"/>
  <c r="AX42" i="72"/>
  <c r="U30" i="73" s="1"/>
  <c r="AW42" i="72"/>
  <c r="T30" i="73" s="1"/>
  <c r="AV42" i="72"/>
  <c r="S30" i="73" s="1"/>
  <c r="X30" i="73" s="1"/>
  <c r="AP42" i="72" a="1"/>
  <c r="AP42" i="72" s="1"/>
  <c r="AO42" i="72" a="1"/>
  <c r="AO42" i="72" s="1"/>
  <c r="AN42" i="72" a="1"/>
  <c r="AN42" i="72" s="1"/>
  <c r="AM42" i="72" a="1"/>
  <c r="AM42" i="72" s="1"/>
  <c r="AL42" i="72" a="1"/>
  <c r="AL42" i="72" s="1"/>
  <c r="AK42" i="72" a="1"/>
  <c r="AK42" i="72" s="1"/>
  <c r="AQ42" i="72" s="1"/>
  <c r="AJ42" i="72" a="1"/>
  <c r="AJ42" i="72" s="1"/>
  <c r="AZ41" i="72"/>
  <c r="AY41" i="72" a="1"/>
  <c r="AY41" i="72" s="1"/>
  <c r="AX41" i="72"/>
  <c r="AW41" i="72"/>
  <c r="AV41" i="72"/>
  <c r="AZ40" i="72"/>
  <c r="W29" i="73" s="1"/>
  <c r="AY40" i="72" a="1"/>
  <c r="AY40" i="72" s="1"/>
  <c r="V29" i="73" s="1"/>
  <c r="AX40" i="72"/>
  <c r="U29" i="73" s="1"/>
  <c r="AW40" i="72"/>
  <c r="T29" i="73" s="1"/>
  <c r="AV40" i="72"/>
  <c r="S29" i="73" s="1"/>
  <c r="X29" i="73" s="1"/>
  <c r="AP40" i="72" a="1"/>
  <c r="AP40" i="72" s="1"/>
  <c r="AO40" i="72" a="1"/>
  <c r="AO40" i="72" s="1"/>
  <c r="AN40" i="72" a="1"/>
  <c r="AN40" i="72" s="1"/>
  <c r="AM40" i="72" a="1"/>
  <c r="AM40" i="72" s="1"/>
  <c r="AL40" i="72" a="1"/>
  <c r="AL40" i="72" s="1"/>
  <c r="AK40" i="72" a="1"/>
  <c r="AK40" i="72" s="1"/>
  <c r="AQ40" i="72" s="1"/>
  <c r="AJ40" i="72" a="1"/>
  <c r="AJ40" i="72" s="1"/>
  <c r="AZ39" i="72"/>
  <c r="AY39" i="72" a="1"/>
  <c r="AY39" i="72" s="1"/>
  <c r="AX39" i="72"/>
  <c r="AW39" i="72"/>
  <c r="AV39" i="72"/>
  <c r="AZ38" i="72"/>
  <c r="W26" i="73" s="1"/>
  <c r="AY38" i="72" a="1"/>
  <c r="AY38" i="72" s="1"/>
  <c r="V26" i="73" s="1"/>
  <c r="AX38" i="72"/>
  <c r="U26" i="73" s="1"/>
  <c r="AW38" i="72"/>
  <c r="T26" i="73" s="1"/>
  <c r="AV38" i="72"/>
  <c r="S26" i="73" s="1"/>
  <c r="X26" i="73" s="1"/>
  <c r="AP38" i="72" a="1"/>
  <c r="AP38" i="72" s="1"/>
  <c r="AO38" i="72" a="1"/>
  <c r="AO38" i="72" s="1"/>
  <c r="AN38" i="72" a="1"/>
  <c r="AN38" i="72" s="1"/>
  <c r="AM38" i="72" a="1"/>
  <c r="AM38" i="72" s="1"/>
  <c r="AL38" i="72" a="1"/>
  <c r="AL38" i="72" s="1"/>
  <c r="AK38" i="72" a="1"/>
  <c r="AK38" i="72" s="1"/>
  <c r="AJ38" i="72" a="1"/>
  <c r="AJ38" i="72" s="1"/>
  <c r="AZ37" i="72"/>
  <c r="AY37" i="72" a="1"/>
  <c r="AY37" i="72" s="1"/>
  <c r="AX37" i="72"/>
  <c r="AW37" i="72"/>
  <c r="AV37" i="72"/>
  <c r="AZ36" i="72"/>
  <c r="W28" i="73" s="1"/>
  <c r="AY36" i="72" a="1"/>
  <c r="AY36" i="72" s="1"/>
  <c r="V28" i="73" s="1"/>
  <c r="AX36" i="72"/>
  <c r="U28" i="73" s="1"/>
  <c r="AW36" i="72"/>
  <c r="T28" i="73" s="1"/>
  <c r="AV36" i="72"/>
  <c r="S28" i="73" s="1"/>
  <c r="X28" i="73" s="1"/>
  <c r="AP36" i="72" a="1"/>
  <c r="AP36" i="72" s="1"/>
  <c r="AO36" i="72" a="1"/>
  <c r="AO36" i="72" s="1"/>
  <c r="AN36" i="72" a="1"/>
  <c r="AN36" i="72" s="1"/>
  <c r="AM36" i="72" a="1"/>
  <c r="AM36" i="72" s="1"/>
  <c r="AL36" i="72" a="1"/>
  <c r="AL36" i="72" s="1"/>
  <c r="AK36" i="72" a="1"/>
  <c r="AK36" i="72" s="1"/>
  <c r="AQ36" i="72" s="1"/>
  <c r="AJ36" i="72" a="1"/>
  <c r="AJ36" i="72" s="1"/>
  <c r="AZ35" i="72"/>
  <c r="AY35" i="72" a="1"/>
  <c r="AY35" i="72" s="1"/>
  <c r="AX35" i="72"/>
  <c r="AW35" i="72"/>
  <c r="AV35" i="72"/>
  <c r="AZ34" i="72"/>
  <c r="W27" i="73" s="1"/>
  <c r="AY34" i="72" a="1"/>
  <c r="AY34" i="72" s="1"/>
  <c r="V27" i="73" s="1"/>
  <c r="AX34" i="72"/>
  <c r="U27" i="73" s="1"/>
  <c r="AW34" i="72"/>
  <c r="T27" i="73" s="1"/>
  <c r="AV34" i="72"/>
  <c r="S27" i="73" s="1"/>
  <c r="X27" i="73" s="1"/>
  <c r="AP34" i="72" a="1"/>
  <c r="AP34" i="72" s="1"/>
  <c r="AO34" i="72" a="1"/>
  <c r="AO34" i="72" s="1"/>
  <c r="AN34" i="72" a="1"/>
  <c r="AN34" i="72" s="1"/>
  <c r="AM34" i="72" a="1"/>
  <c r="AM34" i="72" s="1"/>
  <c r="AL34" i="72" a="1"/>
  <c r="AL34" i="72" s="1"/>
  <c r="AK34" i="72" a="1"/>
  <c r="AK34" i="72" s="1"/>
  <c r="AQ34" i="72" s="1"/>
  <c r="AJ34" i="72" a="1"/>
  <c r="AJ34" i="72" s="1"/>
  <c r="AZ33" i="72"/>
  <c r="AY33" i="72" a="1"/>
  <c r="AY33" i="72" s="1"/>
  <c r="AX33" i="72"/>
  <c r="AW33" i="72"/>
  <c r="AV33" i="72"/>
  <c r="AZ32" i="72"/>
  <c r="W25" i="73" s="1"/>
  <c r="AY32" i="72" a="1"/>
  <c r="AY32" i="72" s="1"/>
  <c r="V25" i="73" s="1"/>
  <c r="AX32" i="72"/>
  <c r="U25" i="73" s="1"/>
  <c r="AW32" i="72"/>
  <c r="T25" i="73" s="1"/>
  <c r="AV32" i="72"/>
  <c r="S25" i="73" s="1"/>
  <c r="X25" i="73" s="1"/>
  <c r="AP32" i="72" a="1"/>
  <c r="AP32" i="72" s="1"/>
  <c r="AO32" i="72" a="1"/>
  <c r="AO32" i="72" s="1"/>
  <c r="AN32" i="72" a="1"/>
  <c r="AN32" i="72" s="1"/>
  <c r="AM32" i="72" a="1"/>
  <c r="AM32" i="72" s="1"/>
  <c r="AL32" i="72" a="1"/>
  <c r="AL32" i="72" s="1"/>
  <c r="AK32" i="72" a="1"/>
  <c r="AK32" i="72" s="1"/>
  <c r="AQ32" i="72" s="1"/>
  <c r="AJ32" i="72" a="1"/>
  <c r="AJ32" i="72" s="1"/>
  <c r="AZ31" i="72"/>
  <c r="AY31" i="72" a="1"/>
  <c r="AY31" i="72" s="1"/>
  <c r="AX31" i="72"/>
  <c r="AW31" i="72"/>
  <c r="AV31" i="72"/>
  <c r="AZ30" i="72"/>
  <c r="W24" i="73" s="1"/>
  <c r="AY30" i="72" a="1"/>
  <c r="AY30" i="72" s="1"/>
  <c r="V24" i="73" s="1"/>
  <c r="AX30" i="72"/>
  <c r="U24" i="73" s="1"/>
  <c r="AW30" i="72"/>
  <c r="T24" i="73" s="1"/>
  <c r="AV30" i="72"/>
  <c r="S24" i="73" s="1"/>
  <c r="X24" i="73" s="1"/>
  <c r="AP30" i="72" a="1"/>
  <c r="AP30" i="72" s="1"/>
  <c r="AO30" i="72" a="1"/>
  <c r="AO30" i="72" s="1"/>
  <c r="AN30" i="72" a="1"/>
  <c r="AN30" i="72" s="1"/>
  <c r="AM30" i="72" a="1"/>
  <c r="AM30" i="72" s="1"/>
  <c r="AL30" i="72" a="1"/>
  <c r="AL30" i="72" s="1"/>
  <c r="AK30" i="72" a="1"/>
  <c r="AK30" i="72" s="1"/>
  <c r="AQ30" i="72" s="1"/>
  <c r="AJ30" i="72" a="1"/>
  <c r="AJ30" i="72" s="1"/>
  <c r="AZ29" i="72"/>
  <c r="AY29" i="72" a="1"/>
  <c r="AY29" i="72" s="1"/>
  <c r="AX29" i="72"/>
  <c r="AW29" i="72"/>
  <c r="AV29" i="72"/>
  <c r="AZ28" i="72"/>
  <c r="W23" i="73" s="1"/>
  <c r="AY28" i="72" a="1"/>
  <c r="AY28" i="72" s="1"/>
  <c r="V23" i="73" s="1"/>
  <c r="AX28" i="72"/>
  <c r="U23" i="73" s="1"/>
  <c r="AW28" i="72"/>
  <c r="T23" i="73" s="1"/>
  <c r="AV28" i="72"/>
  <c r="S23" i="73" s="1"/>
  <c r="X23" i="73" s="1"/>
  <c r="AP28" i="72" a="1"/>
  <c r="AP28" i="72" s="1"/>
  <c r="AO28" i="72" a="1"/>
  <c r="AO28" i="72" s="1"/>
  <c r="AN28" i="72" a="1"/>
  <c r="AN28" i="72" s="1"/>
  <c r="AM28" i="72" a="1"/>
  <c r="AM28" i="72" s="1"/>
  <c r="AL28" i="72" a="1"/>
  <c r="AL28" i="72" s="1"/>
  <c r="AK28" i="72" a="1"/>
  <c r="AK28" i="72" s="1"/>
  <c r="AQ28" i="72" s="1"/>
  <c r="AJ28" i="72" a="1"/>
  <c r="AJ28" i="72" s="1"/>
  <c r="AZ27" i="72"/>
  <c r="AY27" i="72" a="1"/>
  <c r="AY27" i="72" s="1"/>
  <c r="AX27" i="72"/>
  <c r="AW27" i="72"/>
  <c r="AV27" i="72"/>
  <c r="AZ26" i="72"/>
  <c r="W22" i="73" s="1"/>
  <c r="AY26" i="72" a="1"/>
  <c r="AY26" i="72" s="1"/>
  <c r="V22" i="73" s="1"/>
  <c r="AX26" i="72"/>
  <c r="U22" i="73" s="1"/>
  <c r="AW26" i="72"/>
  <c r="T22" i="73" s="1"/>
  <c r="AV26" i="72"/>
  <c r="S22" i="73" s="1"/>
  <c r="X22" i="73" s="1"/>
  <c r="AP26" i="72" a="1"/>
  <c r="AP26" i="72" s="1"/>
  <c r="AO26" i="72" a="1"/>
  <c r="AO26" i="72" s="1"/>
  <c r="AN26" i="72" a="1"/>
  <c r="AN26" i="72" s="1"/>
  <c r="AM26" i="72" a="1"/>
  <c r="AM26" i="72" s="1"/>
  <c r="AL26" i="72" a="1"/>
  <c r="AL26" i="72" s="1"/>
  <c r="AK26" i="72" a="1"/>
  <c r="AK26" i="72" s="1"/>
  <c r="AQ26" i="72" s="1"/>
  <c r="AJ26" i="72" a="1"/>
  <c r="AJ26" i="72" s="1"/>
  <c r="AZ25" i="72"/>
  <c r="AY25" i="72" a="1"/>
  <c r="AY25" i="72" s="1"/>
  <c r="AX25" i="72"/>
  <c r="AW25" i="72"/>
  <c r="AV25" i="72"/>
  <c r="AZ24" i="72"/>
  <c r="W17" i="73" s="1"/>
  <c r="AY24" i="72" a="1"/>
  <c r="AY24" i="72" s="1"/>
  <c r="V17" i="73" s="1"/>
  <c r="AX24" i="72"/>
  <c r="U17" i="73" s="1"/>
  <c r="AW24" i="72"/>
  <c r="T17" i="73" s="1"/>
  <c r="AV24" i="72"/>
  <c r="S17" i="73" s="1"/>
  <c r="X17" i="73" s="1"/>
  <c r="AP24" i="72" a="1"/>
  <c r="AP24" i="72" s="1"/>
  <c r="AO24" i="72" a="1"/>
  <c r="AO24" i="72" s="1"/>
  <c r="AN24" i="72" a="1"/>
  <c r="AN24" i="72" s="1"/>
  <c r="AM24" i="72" a="1"/>
  <c r="AM24" i="72" s="1"/>
  <c r="AL24" i="72" a="1"/>
  <c r="AL24" i="72" s="1"/>
  <c r="AK24" i="72" a="1"/>
  <c r="AK24" i="72" s="1"/>
  <c r="AQ24" i="72" s="1"/>
  <c r="AJ24" i="72" a="1"/>
  <c r="AJ24" i="72" s="1"/>
  <c r="AZ23" i="72"/>
  <c r="AY23" i="72" a="1"/>
  <c r="AY23" i="72" s="1"/>
  <c r="AX23" i="72"/>
  <c r="AW23" i="72"/>
  <c r="AV23" i="72"/>
  <c r="AZ22" i="72"/>
  <c r="W16" i="73" s="1"/>
  <c r="AY22" i="72" a="1"/>
  <c r="AY22" i="72" s="1"/>
  <c r="V16" i="73" s="1"/>
  <c r="AX22" i="72"/>
  <c r="U16" i="73" s="1"/>
  <c r="AW22" i="72"/>
  <c r="T16" i="73" s="1"/>
  <c r="AV22" i="72"/>
  <c r="S16" i="73" s="1"/>
  <c r="X16" i="73" s="1"/>
  <c r="AP22" i="72" a="1"/>
  <c r="AP22" i="72" s="1"/>
  <c r="AO22" i="72" a="1"/>
  <c r="AO22" i="72" s="1"/>
  <c r="AN22" i="72" a="1"/>
  <c r="AN22" i="72" s="1"/>
  <c r="AM22" i="72" a="1"/>
  <c r="AM22" i="72" s="1"/>
  <c r="AL22" i="72" a="1"/>
  <c r="AL22" i="72" s="1"/>
  <c r="AK22" i="72" a="1"/>
  <c r="AK22" i="72" s="1"/>
  <c r="AQ22" i="72" s="1"/>
  <c r="AJ22" i="72" a="1"/>
  <c r="AJ22" i="72" s="1"/>
  <c r="AZ21" i="72"/>
  <c r="AY21" i="72" a="1"/>
  <c r="AY21" i="72" s="1"/>
  <c r="AX21" i="72"/>
  <c r="AW21" i="72"/>
  <c r="AV21" i="72"/>
  <c r="AZ20" i="72"/>
  <c r="W13" i="73" s="1"/>
  <c r="AY20" i="72" a="1"/>
  <c r="AY20" i="72" s="1"/>
  <c r="V13" i="73" s="1"/>
  <c r="AX20" i="72"/>
  <c r="U13" i="73" s="1"/>
  <c r="AW20" i="72"/>
  <c r="T13" i="73" s="1"/>
  <c r="AV20" i="72"/>
  <c r="S13" i="73" s="1"/>
  <c r="X13" i="73" s="1"/>
  <c r="AP20" i="72" a="1"/>
  <c r="AP20" i="72" s="1"/>
  <c r="AO20" i="72" a="1"/>
  <c r="AO20" i="72" s="1"/>
  <c r="AN20" i="72" a="1"/>
  <c r="AN20" i="72" s="1"/>
  <c r="AM20" i="72" a="1"/>
  <c r="AM20" i="72" s="1"/>
  <c r="AL20" i="72" a="1"/>
  <c r="AL20" i="72" s="1"/>
  <c r="AK20" i="72" a="1"/>
  <c r="AK20" i="72" s="1"/>
  <c r="AQ20" i="72" s="1"/>
  <c r="AJ20" i="72" a="1"/>
  <c r="AJ20" i="72" s="1"/>
  <c r="AZ19" i="72"/>
  <c r="AY19" i="72" a="1"/>
  <c r="AY19" i="72" s="1"/>
  <c r="AX19" i="72"/>
  <c r="AW19" i="72"/>
  <c r="AV19" i="72"/>
  <c r="AZ18" i="72"/>
  <c r="W12" i="73" s="1"/>
  <c r="AY18" i="72" a="1"/>
  <c r="AY18" i="72" s="1"/>
  <c r="V12" i="73" s="1"/>
  <c r="AX18" i="72"/>
  <c r="U12" i="73" s="1"/>
  <c r="AW18" i="72"/>
  <c r="T12" i="73" s="1"/>
  <c r="AV18" i="72"/>
  <c r="S12" i="73" s="1"/>
  <c r="X12" i="73" s="1"/>
  <c r="AP18" i="72" a="1"/>
  <c r="AP18" i="72" s="1"/>
  <c r="AO18" i="72" a="1"/>
  <c r="AO18" i="72" s="1"/>
  <c r="AN18" i="72" a="1"/>
  <c r="AN18" i="72" s="1"/>
  <c r="AM18" i="72" a="1"/>
  <c r="AM18" i="72" s="1"/>
  <c r="AL18" i="72" a="1"/>
  <c r="AL18" i="72" s="1"/>
  <c r="AK18" i="72" a="1"/>
  <c r="AK18" i="72" s="1"/>
  <c r="AQ18" i="72" s="1"/>
  <c r="AJ18" i="72" a="1"/>
  <c r="AJ18" i="72" s="1"/>
  <c r="AZ17" i="72"/>
  <c r="AY17" i="72" a="1"/>
  <c r="AY17" i="72" s="1"/>
  <c r="AX17" i="72"/>
  <c r="AW17" i="72"/>
  <c r="AV17" i="72"/>
  <c r="AZ16" i="72"/>
  <c r="W11" i="73" s="1"/>
  <c r="AY16" i="72" a="1"/>
  <c r="AY16" i="72" s="1"/>
  <c r="V11" i="73" s="1"/>
  <c r="AX16" i="72"/>
  <c r="U11" i="73" s="1"/>
  <c r="AW16" i="72"/>
  <c r="T11" i="73" s="1"/>
  <c r="AV16" i="72"/>
  <c r="S11" i="73" s="1"/>
  <c r="X11" i="73" s="1"/>
  <c r="AP16" i="72" a="1"/>
  <c r="AP16" i="72" s="1"/>
  <c r="AO16" i="72" a="1"/>
  <c r="AO16" i="72" s="1"/>
  <c r="AN16" i="72" a="1"/>
  <c r="AN16" i="72" s="1"/>
  <c r="AM16" i="72" a="1"/>
  <c r="AM16" i="72" s="1"/>
  <c r="AL16" i="72" a="1"/>
  <c r="AL16" i="72" s="1"/>
  <c r="AK16" i="72" a="1"/>
  <c r="AK16" i="72" s="1"/>
  <c r="AQ16" i="72" s="1"/>
  <c r="AJ16" i="72" a="1"/>
  <c r="AJ16" i="72" s="1"/>
  <c r="AZ15" i="72"/>
  <c r="AY15" i="72" a="1"/>
  <c r="AY15" i="72" s="1"/>
  <c r="AX15" i="72"/>
  <c r="AW15" i="72"/>
  <c r="AV15" i="72"/>
  <c r="AZ14" i="72"/>
  <c r="W10" i="73" s="1"/>
  <c r="AY14" i="72" a="1"/>
  <c r="AY14" i="72" s="1"/>
  <c r="V10" i="73" s="1"/>
  <c r="AX14" i="72"/>
  <c r="U10" i="73" s="1"/>
  <c r="AW14" i="72"/>
  <c r="T10" i="73" s="1"/>
  <c r="AV14" i="72"/>
  <c r="S10" i="73" s="1"/>
  <c r="X10" i="73" s="1"/>
  <c r="AP14" i="72" a="1"/>
  <c r="AP14" i="72" s="1"/>
  <c r="AO14" i="72" a="1"/>
  <c r="AO14" i="72" s="1"/>
  <c r="AN14" i="72" a="1"/>
  <c r="AN14" i="72" s="1"/>
  <c r="AM14" i="72" a="1"/>
  <c r="AM14" i="72" s="1"/>
  <c r="AL14" i="72" a="1"/>
  <c r="AL14" i="72" s="1"/>
  <c r="AK14" i="72" a="1"/>
  <c r="AK14" i="72" s="1"/>
  <c r="AQ14" i="72" s="1"/>
  <c r="AJ14" i="72" a="1"/>
  <c r="AJ14" i="72" s="1"/>
  <c r="AZ13" i="72"/>
  <c r="AY13" i="72" a="1"/>
  <c r="AY13" i="72" s="1"/>
  <c r="AX13" i="72"/>
  <c r="AW13" i="72"/>
  <c r="AV13" i="72"/>
  <c r="AZ12" i="72"/>
  <c r="W9" i="73" s="1"/>
  <c r="AY12" i="72" a="1"/>
  <c r="AY12" i="72" s="1"/>
  <c r="V9" i="73" s="1"/>
  <c r="AX12" i="72"/>
  <c r="U9" i="73" s="1"/>
  <c r="AW12" i="72"/>
  <c r="T9" i="73" s="1"/>
  <c r="AV12" i="72"/>
  <c r="S9" i="73" s="1"/>
  <c r="X9" i="73" s="1"/>
  <c r="AP12" i="72" a="1"/>
  <c r="AP12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Q12" i="72" s="1"/>
  <c r="AJ12" i="72" a="1"/>
  <c r="AJ12" i="72" s="1"/>
  <c r="AZ11" i="72"/>
  <c r="AY11" i="72" a="1"/>
  <c r="AY11" i="72" s="1"/>
  <c r="AX11" i="72"/>
  <c r="AW11" i="72"/>
  <c r="AV11" i="72"/>
  <c r="AZ10" i="72"/>
  <c r="W6" i="73" s="1"/>
  <c r="AY10" i="72" a="1"/>
  <c r="AY10" i="72" s="1"/>
  <c r="V6" i="73" s="1"/>
  <c r="AX10" i="72"/>
  <c r="U6" i="73" s="1"/>
  <c r="AW10" i="72"/>
  <c r="T6" i="73" s="1"/>
  <c r="AV10" i="72"/>
  <c r="S6" i="73" s="1"/>
  <c r="X6" i="73" s="1"/>
  <c r="AP10" i="72" a="1"/>
  <c r="AP10" i="72" s="1"/>
  <c r="AO10" i="72" a="1"/>
  <c r="AO10" i="72" s="1"/>
  <c r="AN10" i="72" a="1"/>
  <c r="AN10" i="72" s="1"/>
  <c r="AM10" i="72" a="1"/>
  <c r="AM10" i="72" s="1"/>
  <c r="AL10" i="72" a="1"/>
  <c r="AL10" i="72" s="1"/>
  <c r="AK10" i="72" a="1"/>
  <c r="AK10" i="72" s="1"/>
  <c r="AQ10" i="72" s="1"/>
  <c r="AJ10" i="72" a="1"/>
  <c r="AJ10" i="72" s="1"/>
  <c r="AZ9" i="72"/>
  <c r="AY9" i="72" a="1"/>
  <c r="AY9" i="72" s="1"/>
  <c r="AX9" i="72"/>
  <c r="AW9" i="72"/>
  <c r="AV9" i="72"/>
  <c r="AZ8" i="72"/>
  <c r="W5" i="73" s="1"/>
  <c r="AY8" i="72" a="1"/>
  <c r="AY8" i="72" s="1"/>
  <c r="V5" i="73" s="1"/>
  <c r="AX8" i="72"/>
  <c r="U5" i="73" s="1"/>
  <c r="AW8" i="72"/>
  <c r="T5" i="73" s="1"/>
  <c r="AV8" i="72"/>
  <c r="S5" i="73" s="1"/>
  <c r="X5" i="73" s="1"/>
  <c r="AP8" i="72" a="1"/>
  <c r="AP8" i="72" s="1"/>
  <c r="AO8" i="72" a="1"/>
  <c r="AO8" i="72" s="1"/>
  <c r="AN8" i="72" a="1"/>
  <c r="AN8" i="72" s="1"/>
  <c r="AM8" i="72" a="1"/>
  <c r="AM8" i="72" s="1"/>
  <c r="AL8" i="72" a="1"/>
  <c r="AL8" i="72" s="1"/>
  <c r="AK8" i="72" a="1"/>
  <c r="AK8" i="72" s="1"/>
  <c r="AQ8" i="72" s="1"/>
  <c r="AJ8" i="72" a="1"/>
  <c r="AJ8" i="72" s="1"/>
  <c r="AZ7" i="72"/>
  <c r="AY7" i="72" a="1"/>
  <c r="AY7" i="72" s="1"/>
  <c r="AX7" i="72"/>
  <c r="AW7" i="72"/>
  <c r="AV7" i="72"/>
  <c r="AZ6" i="72"/>
  <c r="AY6" i="72" a="1"/>
  <c r="AY6" i="72" s="1"/>
  <c r="AX6" i="72"/>
  <c r="AW6" i="72"/>
  <c r="AV6" i="72"/>
  <c r="S4" i="73" s="1"/>
  <c r="AP6" i="72" a="1"/>
  <c r="AP6" i="72" s="1"/>
  <c r="AO6" i="72" a="1"/>
  <c r="AO6" i="72" s="1"/>
  <c r="AN6" i="72" a="1"/>
  <c r="AN6" i="72" s="1"/>
  <c r="AM6" i="72" a="1"/>
  <c r="AM6" i="72" s="1"/>
  <c r="AL6" i="72" a="1"/>
  <c r="AL6" i="72" s="1"/>
  <c r="AK6" i="72" a="1"/>
  <c r="AK6" i="72" s="1"/>
  <c r="AJ6" i="72" a="1"/>
  <c r="AJ6" i="72" s="1"/>
  <c r="A26" i="47"/>
  <c r="A25" i="47"/>
  <c r="A24" i="47"/>
  <c r="A23" i="47"/>
  <c r="BB68" i="65"/>
  <c r="AV7" i="65"/>
  <c r="AW7" i="65"/>
  <c r="AX7" i="65"/>
  <c r="AY7" i="65" a="1"/>
  <c r="AY7" i="65"/>
  <c r="AZ7" i="65"/>
  <c r="BA7" i="65"/>
  <c r="BB7" i="65"/>
  <c r="AV8" i="65"/>
  <c r="AW8" i="65"/>
  <c r="AX8" i="65"/>
  <c r="AY8" i="65" a="1"/>
  <c r="AY8" i="65"/>
  <c r="AZ8" i="65"/>
  <c r="BA8" i="65"/>
  <c r="BB8" i="65"/>
  <c r="AV9" i="65"/>
  <c r="AW9" i="65"/>
  <c r="AX9" i="65"/>
  <c r="AY9" i="65" a="1"/>
  <c r="AY9" i="65"/>
  <c r="AZ9" i="65"/>
  <c r="BA9" i="65"/>
  <c r="BB9" i="65"/>
  <c r="AV10" i="65"/>
  <c r="AW10" i="65"/>
  <c r="AX10" i="65"/>
  <c r="AY10" i="65" a="1"/>
  <c r="AY10" i="65"/>
  <c r="AZ10" i="65"/>
  <c r="BA10" i="65"/>
  <c r="BB10" i="65"/>
  <c r="AV11" i="65"/>
  <c r="AW11" i="65"/>
  <c r="AX11" i="65"/>
  <c r="AY11" i="65" a="1"/>
  <c r="AY11" i="65"/>
  <c r="AZ11" i="65"/>
  <c r="BA11" i="65"/>
  <c r="BB11" i="65"/>
  <c r="AV12" i="65"/>
  <c r="AW12" i="65"/>
  <c r="AX12" i="65"/>
  <c r="AY12" i="65" a="1"/>
  <c r="AY12" i="65"/>
  <c r="AZ12" i="65"/>
  <c r="BA12" i="65"/>
  <c r="BB12" i="65"/>
  <c r="AV13" i="65"/>
  <c r="AW13" i="65"/>
  <c r="AX13" i="65"/>
  <c r="AY13" i="65" a="1"/>
  <c r="AY13" i="65"/>
  <c r="AZ13" i="65"/>
  <c r="BA13" i="65"/>
  <c r="BB13" i="65"/>
  <c r="AV14" i="65"/>
  <c r="AW14" i="65"/>
  <c r="AX14" i="65"/>
  <c r="AY14" i="65" a="1"/>
  <c r="AY14" i="65"/>
  <c r="AZ14" i="65"/>
  <c r="BA14" i="65"/>
  <c r="BB14" i="65"/>
  <c r="AV15" i="65"/>
  <c r="AW15" i="65"/>
  <c r="AX15" i="65"/>
  <c r="AY15" i="65" a="1"/>
  <c r="AY15" i="65"/>
  <c r="AZ15" i="65"/>
  <c r="BA15" i="65"/>
  <c r="BB15" i="65"/>
  <c r="AV16" i="65"/>
  <c r="AW16" i="65"/>
  <c r="AX16" i="65"/>
  <c r="AY16" i="65" a="1"/>
  <c r="AY16" i="65"/>
  <c r="AZ16" i="65"/>
  <c r="BA16" i="65"/>
  <c r="BB16" i="65"/>
  <c r="AV17" i="65"/>
  <c r="AW17" i="65"/>
  <c r="AX17" i="65"/>
  <c r="AY17" i="65" a="1"/>
  <c r="AY17" i="65"/>
  <c r="AZ17" i="65"/>
  <c r="BA17" i="65"/>
  <c r="BB17" i="65"/>
  <c r="AV18" i="65"/>
  <c r="AW18" i="65"/>
  <c r="AX18" i="65"/>
  <c r="AY18" i="65" a="1"/>
  <c r="AY18" i="65"/>
  <c r="AZ18" i="65"/>
  <c r="BA18" i="65"/>
  <c r="BB18" i="65"/>
  <c r="AV19" i="65"/>
  <c r="AW19" i="65"/>
  <c r="AX19" i="65"/>
  <c r="AY19" i="65" a="1"/>
  <c r="AY19" i="65"/>
  <c r="AZ19" i="65"/>
  <c r="BA19" i="65"/>
  <c r="BB19" i="65"/>
  <c r="AV20" i="65"/>
  <c r="AW20" i="65"/>
  <c r="AX20" i="65"/>
  <c r="AY20" i="65" a="1"/>
  <c r="AY20" i="65"/>
  <c r="AZ20" i="65"/>
  <c r="BA20" i="65"/>
  <c r="BB20" i="65"/>
  <c r="AV21" i="65"/>
  <c r="AW21" i="65"/>
  <c r="AX21" i="65"/>
  <c r="AY21" i="65" a="1"/>
  <c r="AY21" i="65"/>
  <c r="AZ21" i="65"/>
  <c r="BA21" i="65"/>
  <c r="BB21" i="65"/>
  <c r="AV22" i="65"/>
  <c r="AW22" i="65"/>
  <c r="AX22" i="65"/>
  <c r="AY22" i="65" a="1"/>
  <c r="AY22" i="65"/>
  <c r="AZ22" i="65"/>
  <c r="BA22" i="65"/>
  <c r="BB22" i="65"/>
  <c r="AV23" i="65"/>
  <c r="AW23" i="65"/>
  <c r="AX23" i="65"/>
  <c r="AY23" i="65" a="1"/>
  <c r="AY23" i="65"/>
  <c r="AZ23" i="65"/>
  <c r="BA23" i="65"/>
  <c r="BB23" i="65"/>
  <c r="AV24" i="65"/>
  <c r="AW24" i="65"/>
  <c r="AX24" i="65"/>
  <c r="AY24" i="65" a="1"/>
  <c r="AY24" i="65"/>
  <c r="AZ24" i="65"/>
  <c r="BA24" i="65"/>
  <c r="BB24" i="65"/>
  <c r="AV25" i="65"/>
  <c r="AW25" i="65"/>
  <c r="AX25" i="65"/>
  <c r="AY25" i="65" a="1"/>
  <c r="AY25" i="65"/>
  <c r="AZ25" i="65"/>
  <c r="BA25" i="65"/>
  <c r="BB25" i="65"/>
  <c r="AV26" i="65"/>
  <c r="AW26" i="65"/>
  <c r="AX26" i="65"/>
  <c r="AY26" i="65" a="1"/>
  <c r="AY26" i="65"/>
  <c r="AZ26" i="65"/>
  <c r="BA26" i="65"/>
  <c r="BB26" i="65"/>
  <c r="AV27" i="65"/>
  <c r="AW27" i="65"/>
  <c r="AX27" i="65"/>
  <c r="AY27" i="65" a="1"/>
  <c r="AY27" i="65"/>
  <c r="AZ27" i="65"/>
  <c r="BA27" i="65"/>
  <c r="BB27" i="65"/>
  <c r="AV28" i="65"/>
  <c r="AW28" i="65"/>
  <c r="AX28" i="65"/>
  <c r="AY28" i="65" a="1"/>
  <c r="AY28" i="65"/>
  <c r="AZ28" i="65"/>
  <c r="BA28" i="65"/>
  <c r="BB28" i="65"/>
  <c r="AV29" i="65"/>
  <c r="AW29" i="65"/>
  <c r="AX29" i="65"/>
  <c r="AY29" i="65" a="1"/>
  <c r="AY29" i="65"/>
  <c r="AZ29" i="65"/>
  <c r="BA29" i="65"/>
  <c r="BB29" i="65"/>
  <c r="AV30" i="65"/>
  <c r="AW30" i="65"/>
  <c r="AX30" i="65"/>
  <c r="AY30" i="65" a="1"/>
  <c r="AY30" i="65"/>
  <c r="AZ30" i="65"/>
  <c r="BA30" i="65"/>
  <c r="BB30" i="65"/>
  <c r="AV31" i="65"/>
  <c r="AW31" i="65"/>
  <c r="AX31" i="65"/>
  <c r="AY31" i="65" a="1"/>
  <c r="AY31" i="65"/>
  <c r="AZ31" i="65"/>
  <c r="BA31" i="65"/>
  <c r="BB31" i="65"/>
  <c r="AV32" i="65"/>
  <c r="AW32" i="65"/>
  <c r="AX32" i="65"/>
  <c r="AY32" i="65" a="1"/>
  <c r="AY32" i="65"/>
  <c r="AZ32" i="65"/>
  <c r="BA32" i="65"/>
  <c r="BB32" i="65"/>
  <c r="AV33" i="65"/>
  <c r="AW33" i="65"/>
  <c r="AX33" i="65"/>
  <c r="AY33" i="65" a="1"/>
  <c r="AY33" i="65"/>
  <c r="AZ33" i="65"/>
  <c r="BA33" i="65"/>
  <c r="BB33" i="65"/>
  <c r="AV34" i="65"/>
  <c r="AW34" i="65"/>
  <c r="AX34" i="65"/>
  <c r="AY34" i="65" a="1"/>
  <c r="AY34" i="65"/>
  <c r="AZ34" i="65"/>
  <c r="BA34" i="65"/>
  <c r="BB34" i="65"/>
  <c r="AV35" i="65"/>
  <c r="AW35" i="65"/>
  <c r="AX35" i="65"/>
  <c r="AY35" i="65" a="1"/>
  <c r="AY35" i="65"/>
  <c r="AZ35" i="65"/>
  <c r="BA35" i="65"/>
  <c r="BB35" i="65"/>
  <c r="AV36" i="65"/>
  <c r="AW36" i="65"/>
  <c r="AX36" i="65"/>
  <c r="AY36" i="65" a="1"/>
  <c r="AY36" i="65"/>
  <c r="AZ36" i="65"/>
  <c r="BA36" i="65"/>
  <c r="BB36" i="65"/>
  <c r="AV37" i="65"/>
  <c r="AW37" i="65"/>
  <c r="AX37" i="65"/>
  <c r="AY37" i="65" a="1"/>
  <c r="AY37" i="65"/>
  <c r="AZ37" i="65"/>
  <c r="BA37" i="65"/>
  <c r="BB37" i="65"/>
  <c r="AV38" i="65"/>
  <c r="AW38" i="65"/>
  <c r="AX38" i="65"/>
  <c r="AY38" i="65" a="1"/>
  <c r="AY38" i="65"/>
  <c r="AZ38" i="65"/>
  <c r="BA38" i="65"/>
  <c r="BB38" i="65"/>
  <c r="AV39" i="65"/>
  <c r="AW39" i="65"/>
  <c r="AX39" i="65"/>
  <c r="AY39" i="65" a="1"/>
  <c r="AY39" i="65"/>
  <c r="AZ39" i="65"/>
  <c r="BA39" i="65"/>
  <c r="BB39" i="65"/>
  <c r="AV40" i="65"/>
  <c r="AW40" i="65"/>
  <c r="AX40" i="65"/>
  <c r="AY40" i="65" a="1"/>
  <c r="AY40" i="65"/>
  <c r="AZ40" i="65"/>
  <c r="BA40" i="65"/>
  <c r="BB40" i="65"/>
  <c r="AV41" i="65"/>
  <c r="AW41" i="65"/>
  <c r="AX41" i="65"/>
  <c r="AY41" i="65" a="1"/>
  <c r="AY41" i="65"/>
  <c r="AZ41" i="65"/>
  <c r="BA41" i="65"/>
  <c r="BB41" i="65"/>
  <c r="AV42" i="65"/>
  <c r="AW42" i="65"/>
  <c r="AX42" i="65"/>
  <c r="AY42" i="65" a="1"/>
  <c r="AY42" i="65"/>
  <c r="AZ42" i="65"/>
  <c r="BA42" i="65"/>
  <c r="BB42" i="65"/>
  <c r="AV43" i="65"/>
  <c r="AW43" i="65"/>
  <c r="AX43" i="65"/>
  <c r="AY43" i="65" a="1"/>
  <c r="AY43" i="65"/>
  <c r="AZ43" i="65"/>
  <c r="BA43" i="65"/>
  <c r="BB43" i="65"/>
  <c r="AV44" i="65"/>
  <c r="AW44" i="65"/>
  <c r="AX44" i="65"/>
  <c r="AY44" i="65" a="1"/>
  <c r="AY44" i="65"/>
  <c r="AZ44" i="65"/>
  <c r="BA44" i="65"/>
  <c r="BB44" i="65"/>
  <c r="AV45" i="65"/>
  <c r="AW45" i="65"/>
  <c r="AX45" i="65"/>
  <c r="AY45" i="65" a="1"/>
  <c r="AY45" i="65"/>
  <c r="AZ45" i="65"/>
  <c r="BA45" i="65"/>
  <c r="BB45" i="65"/>
  <c r="AV46" i="65"/>
  <c r="AW46" i="65"/>
  <c r="AX46" i="65"/>
  <c r="AY46" i="65" a="1"/>
  <c r="AY46" i="65"/>
  <c r="AZ46" i="65"/>
  <c r="BA46" i="65"/>
  <c r="BB46" i="65"/>
  <c r="AV47" i="65"/>
  <c r="AW47" i="65"/>
  <c r="AX47" i="65"/>
  <c r="AY47" i="65" a="1"/>
  <c r="AY47" i="65"/>
  <c r="AZ47" i="65"/>
  <c r="BA47" i="65"/>
  <c r="BB47" i="65"/>
  <c r="AV48" i="65"/>
  <c r="AW48" i="65"/>
  <c r="AX48" i="65"/>
  <c r="AY48" i="65" a="1"/>
  <c r="AY48" i="65"/>
  <c r="AZ48" i="65"/>
  <c r="BA48" i="65"/>
  <c r="BB48" i="65"/>
  <c r="AV49" i="65"/>
  <c r="AW49" i="65"/>
  <c r="AX49" i="65"/>
  <c r="AY49" i="65" a="1"/>
  <c r="AY49" i="65"/>
  <c r="AZ49" i="65"/>
  <c r="BA49" i="65"/>
  <c r="BB49" i="65"/>
  <c r="AV50" i="65"/>
  <c r="AW50" i="65"/>
  <c r="AX50" i="65"/>
  <c r="AY50" i="65" a="1"/>
  <c r="AY50" i="65"/>
  <c r="AZ50" i="65"/>
  <c r="BA50" i="65"/>
  <c r="BB50" i="65"/>
  <c r="AV51" i="65"/>
  <c r="AW51" i="65"/>
  <c r="AX51" i="65"/>
  <c r="AY51" i="65" a="1"/>
  <c r="AY51" i="65"/>
  <c r="AZ51" i="65"/>
  <c r="BA51" i="65"/>
  <c r="BB51" i="65"/>
  <c r="AV52" i="65"/>
  <c r="AW52" i="65"/>
  <c r="AX52" i="65"/>
  <c r="AY52" i="65" a="1"/>
  <c r="AY52" i="65"/>
  <c r="AZ52" i="65"/>
  <c r="BA52" i="65"/>
  <c r="BB52" i="65"/>
  <c r="AV53" i="65"/>
  <c r="AW53" i="65"/>
  <c r="AX53" i="65"/>
  <c r="AY53" i="65" a="1"/>
  <c r="AY53" i="65"/>
  <c r="AZ53" i="65"/>
  <c r="BA53" i="65"/>
  <c r="BB53" i="65"/>
  <c r="AV54" i="65"/>
  <c r="AW54" i="65"/>
  <c r="AX54" i="65"/>
  <c r="AY54" i="65" a="1"/>
  <c r="AY54" i="65"/>
  <c r="AZ54" i="65"/>
  <c r="BA54" i="65"/>
  <c r="BB54" i="65"/>
  <c r="AV55" i="65"/>
  <c r="AW55" i="65"/>
  <c r="AX55" i="65"/>
  <c r="AY55" i="65" a="1"/>
  <c r="AY55" i="65"/>
  <c r="AZ55" i="65"/>
  <c r="BA55" i="65"/>
  <c r="BB55" i="65"/>
  <c r="AV56" i="65"/>
  <c r="AW56" i="65"/>
  <c r="AX56" i="65"/>
  <c r="AY56" i="65" a="1"/>
  <c r="AY56" i="65"/>
  <c r="AZ56" i="65"/>
  <c r="BA56" i="65"/>
  <c r="BB56" i="65"/>
  <c r="AV57" i="65"/>
  <c r="AW57" i="65"/>
  <c r="AX57" i="65"/>
  <c r="AY57" i="65" a="1"/>
  <c r="AY57" i="65"/>
  <c r="AZ57" i="65"/>
  <c r="BA57" i="65"/>
  <c r="BB57" i="65"/>
  <c r="AV58" i="65"/>
  <c r="AW58" i="65"/>
  <c r="AX58" i="65"/>
  <c r="AY58" i="65" a="1"/>
  <c r="AY58" i="65"/>
  <c r="AZ58" i="65"/>
  <c r="BA58" i="65"/>
  <c r="BB58" i="65"/>
  <c r="AV59" i="65"/>
  <c r="AW59" i="65"/>
  <c r="AX59" i="65"/>
  <c r="AY59" i="65" a="1"/>
  <c r="AY59" i="65"/>
  <c r="AZ59" i="65"/>
  <c r="BA59" i="65"/>
  <c r="BB59" i="65"/>
  <c r="AV60" i="65"/>
  <c r="AW60" i="65"/>
  <c r="AX60" i="65"/>
  <c r="AY60" i="65" a="1"/>
  <c r="AY60" i="65"/>
  <c r="AZ60" i="65"/>
  <c r="BA60" i="65"/>
  <c r="BB60" i="65"/>
  <c r="AV61" i="65"/>
  <c r="AW61" i="65"/>
  <c r="AX61" i="65"/>
  <c r="AY61" i="65" a="1"/>
  <c r="AY61" i="65"/>
  <c r="AZ61" i="65"/>
  <c r="BA61" i="65"/>
  <c r="BB61" i="65"/>
  <c r="AV62" i="65"/>
  <c r="AW62" i="65"/>
  <c r="AX62" i="65"/>
  <c r="AY62" i="65" a="1"/>
  <c r="AY62" i="65"/>
  <c r="AZ62" i="65"/>
  <c r="BA62" i="65"/>
  <c r="BB62" i="65"/>
  <c r="AV63" i="65"/>
  <c r="AW63" i="65"/>
  <c r="AX63" i="65"/>
  <c r="AY63" i="65" a="1"/>
  <c r="AY63" i="65"/>
  <c r="AZ63" i="65"/>
  <c r="BA63" i="65"/>
  <c r="BB63" i="65"/>
  <c r="AV64" i="65"/>
  <c r="AW64" i="65"/>
  <c r="AX64" i="65"/>
  <c r="AY64" i="65" a="1"/>
  <c r="AY64" i="65"/>
  <c r="AZ64" i="65"/>
  <c r="BA64" i="65"/>
  <c r="BB64" i="65"/>
  <c r="AV65" i="65"/>
  <c r="AW65" i="65"/>
  <c r="AX65" i="65"/>
  <c r="AY65" i="65" a="1"/>
  <c r="AY65" i="65"/>
  <c r="AZ65" i="65"/>
  <c r="BA65" i="65"/>
  <c r="BB65" i="65"/>
  <c r="AV66" i="65"/>
  <c r="AW66" i="65"/>
  <c r="AX66" i="65"/>
  <c r="AY66" i="65" a="1"/>
  <c r="AY66" i="65"/>
  <c r="AZ66" i="65"/>
  <c r="BA66" i="65"/>
  <c r="BB66" i="65"/>
  <c r="C71" i="65"/>
  <c r="D67" i="65"/>
  <c r="E67" i="65"/>
  <c r="F67" i="65"/>
  <c r="G67" i="65"/>
  <c r="H67" i="65"/>
  <c r="I67" i="65"/>
  <c r="J67" i="65"/>
  <c r="K67" i="65"/>
  <c r="L67" i="65"/>
  <c r="M67" i="65"/>
  <c r="N67" i="65"/>
  <c r="O67" i="65"/>
  <c r="P67" i="65"/>
  <c r="Q67" i="65"/>
  <c r="R67" i="65"/>
  <c r="S67" i="65"/>
  <c r="T67" i="65"/>
  <c r="U67" i="65"/>
  <c r="V67" i="65"/>
  <c r="W67" i="65"/>
  <c r="X67" i="65"/>
  <c r="Y67" i="65"/>
  <c r="Z67" i="65"/>
  <c r="AA67" i="65"/>
  <c r="AB67" i="65"/>
  <c r="AC67" i="65"/>
  <c r="AD67" i="65"/>
  <c r="AE67" i="65"/>
  <c r="AF67" i="65"/>
  <c r="AG67" i="65"/>
  <c r="D68" i="65"/>
  <c r="E68" i="65"/>
  <c r="F68" i="65"/>
  <c r="G68" i="65"/>
  <c r="H68" i="65"/>
  <c r="I68" i="65"/>
  <c r="J68" i="65"/>
  <c r="K68" i="65"/>
  <c r="L68" i="65"/>
  <c r="M68" i="65"/>
  <c r="N68" i="65"/>
  <c r="O68" i="65"/>
  <c r="P68" i="65"/>
  <c r="Q68" i="65"/>
  <c r="R68" i="65"/>
  <c r="S68" i="65"/>
  <c r="T68" i="65"/>
  <c r="U68" i="65"/>
  <c r="V68" i="65"/>
  <c r="W68" i="65"/>
  <c r="X68" i="65"/>
  <c r="Y68" i="65"/>
  <c r="Z68" i="65"/>
  <c r="AA68" i="65"/>
  <c r="AB68" i="65"/>
  <c r="AC68" i="65"/>
  <c r="AD68" i="65"/>
  <c r="AE68" i="65"/>
  <c r="AF68" i="65"/>
  <c r="AG68" i="65"/>
  <c r="D69" i="65"/>
  <c r="E69" i="65"/>
  <c r="F69" i="65"/>
  <c r="G69" i="65"/>
  <c r="H69" i="65"/>
  <c r="I69" i="65"/>
  <c r="J69" i="65"/>
  <c r="K69" i="65"/>
  <c r="L69" i="65"/>
  <c r="M69" i="65"/>
  <c r="N69" i="65"/>
  <c r="O69" i="65"/>
  <c r="P69" i="65"/>
  <c r="Q69" i="65"/>
  <c r="R69" i="65"/>
  <c r="S69" i="65"/>
  <c r="T69" i="65"/>
  <c r="U69" i="65"/>
  <c r="V69" i="65"/>
  <c r="W69" i="65"/>
  <c r="X69" i="65"/>
  <c r="Y69" i="65"/>
  <c r="Z69" i="65"/>
  <c r="AA69" i="65"/>
  <c r="AB69" i="65"/>
  <c r="AC69" i="65"/>
  <c r="AD69" i="65"/>
  <c r="AE69" i="65"/>
  <c r="AF69" i="65"/>
  <c r="AG69" i="65"/>
  <c r="D70" i="65"/>
  <c r="E70" i="65"/>
  <c r="F70" i="65"/>
  <c r="G70" i="65"/>
  <c r="H70" i="65"/>
  <c r="I70" i="65"/>
  <c r="J70" i="65"/>
  <c r="K70" i="65"/>
  <c r="L70" i="65"/>
  <c r="M70" i="65"/>
  <c r="N70" i="65"/>
  <c r="O70" i="65"/>
  <c r="P70" i="65"/>
  <c r="Q70" i="65"/>
  <c r="R70" i="65"/>
  <c r="S70" i="65"/>
  <c r="T70" i="65"/>
  <c r="U70" i="65"/>
  <c r="V70" i="65"/>
  <c r="W70" i="65"/>
  <c r="X70" i="65"/>
  <c r="Y70" i="65"/>
  <c r="Z70" i="65"/>
  <c r="AA70" i="65"/>
  <c r="AB70" i="65"/>
  <c r="AC70" i="65"/>
  <c r="AD70" i="65"/>
  <c r="AE70" i="65"/>
  <c r="AF70" i="65"/>
  <c r="AG70" i="65"/>
  <c r="C69" i="65"/>
  <c r="C68" i="65"/>
  <c r="C67" i="65"/>
  <c r="C70" i="65"/>
  <c r="B2" i="71" a="1"/>
  <c r="B2" i="71"/>
  <c r="A2" i="71" a="1"/>
  <c r="A2" i="71"/>
  <c r="C2" i="71" s="1"/>
  <c r="D8" i="71"/>
  <c r="E8" i="71"/>
  <c r="D25" i="71"/>
  <c r="E25" i="71"/>
  <c r="AT56" i="60"/>
  <c r="B24" i="70"/>
  <c r="B23" i="70"/>
  <c r="B22" i="70"/>
  <c r="B21" i="70"/>
  <c r="AK65" i="69"/>
  <c r="AL65" i="69"/>
  <c r="AM65" i="69"/>
  <c r="AN65" i="69"/>
  <c r="AO65" i="69"/>
  <c r="AP65" i="69"/>
  <c r="AJ65" i="69"/>
  <c r="AY30" i="69" a="1"/>
  <c r="AY30" i="69"/>
  <c r="AP30" i="69" a="1"/>
  <c r="AP30" i="69"/>
  <c r="AO30" i="69" a="1"/>
  <c r="AO30" i="69"/>
  <c r="AN30" i="69" a="1"/>
  <c r="AN30" i="69"/>
  <c r="AM30" i="69" a="1"/>
  <c r="AM30" i="69"/>
  <c r="AL30" i="69" a="1"/>
  <c r="AL30" i="69"/>
  <c r="AK30" i="69" a="1"/>
  <c r="AK30" i="69"/>
  <c r="AJ30" i="69" a="1"/>
  <c r="AJ30" i="69"/>
  <c r="AY29" i="69" a="1"/>
  <c r="AY29" i="69"/>
  <c r="AP29" i="69" a="1"/>
  <c r="AP29" i="69"/>
  <c r="AO29" i="69" a="1"/>
  <c r="AO29" i="69"/>
  <c r="AN29" i="69" a="1"/>
  <c r="AN29" i="69"/>
  <c r="AM29" i="69" a="1"/>
  <c r="AM29" i="69"/>
  <c r="AL29" i="69" a="1"/>
  <c r="AL29" i="69"/>
  <c r="AK29" i="69" a="1"/>
  <c r="AK29" i="69"/>
  <c r="AJ29" i="69" a="1"/>
  <c r="AJ29" i="69"/>
  <c r="AY28" i="69" a="1"/>
  <c r="AY28" i="69"/>
  <c r="AP28" i="69" a="1"/>
  <c r="AP28" i="69"/>
  <c r="AO28" i="69" a="1"/>
  <c r="AO28" i="69"/>
  <c r="AN28" i="69" a="1"/>
  <c r="AN28" i="69"/>
  <c r="AM28" i="69" a="1"/>
  <c r="AM28" i="69"/>
  <c r="AL28" i="69" a="1"/>
  <c r="AL28" i="69"/>
  <c r="AK28" i="69" a="1"/>
  <c r="AK28" i="69"/>
  <c r="AJ28" i="69" a="1"/>
  <c r="AJ28" i="69"/>
  <c r="AY27" i="69" a="1"/>
  <c r="AY27" i="69"/>
  <c r="AP27" i="69" a="1"/>
  <c r="AP27" i="69"/>
  <c r="AO27" i="69" a="1"/>
  <c r="AO27" i="69"/>
  <c r="AN27" i="69" a="1"/>
  <c r="AN27" i="69"/>
  <c r="AM27" i="69" a="1"/>
  <c r="AM27" i="69"/>
  <c r="AL27" i="69" a="1"/>
  <c r="AL27" i="69"/>
  <c r="AK27" i="69" a="1"/>
  <c r="AK27" i="69"/>
  <c r="AJ27" i="69" a="1"/>
  <c r="AJ27" i="69"/>
  <c r="AV27" i="69"/>
  <c r="AW27" i="69"/>
  <c r="AX27" i="69"/>
  <c r="AZ27" i="69"/>
  <c r="BA27" i="69"/>
  <c r="AV28" i="69"/>
  <c r="AW28" i="69"/>
  <c r="AX28" i="69"/>
  <c r="AZ28" i="69"/>
  <c r="BA28" i="69"/>
  <c r="AV29" i="69"/>
  <c r="AW29" i="69"/>
  <c r="AX29" i="69"/>
  <c r="AZ29" i="69"/>
  <c r="BA29" i="69"/>
  <c r="AV30" i="69"/>
  <c r="AW30" i="69"/>
  <c r="AX30" i="69"/>
  <c r="AZ30" i="69"/>
  <c r="BA30" i="69"/>
  <c r="B2" i="70"/>
  <c r="B3" i="70"/>
  <c r="B4" i="70"/>
  <c r="B5" i="70"/>
  <c r="B16" i="70"/>
  <c r="B6" i="70"/>
  <c r="B7" i="70"/>
  <c r="AY64" i="69" a="1"/>
  <c r="AY64" i="69"/>
  <c r="AP64" i="69" a="1"/>
  <c r="AP64" i="69"/>
  <c r="AO64" i="69" a="1"/>
  <c r="AO64" i="69"/>
  <c r="AN64" i="69" a="1"/>
  <c r="AN64" i="69"/>
  <c r="AM64" i="69" a="1"/>
  <c r="AM64" i="69"/>
  <c r="AL64" i="69" a="1"/>
  <c r="AL64" i="69"/>
  <c r="AK64" i="69" a="1"/>
  <c r="AK64" i="69"/>
  <c r="AJ64" i="69" a="1"/>
  <c r="AJ64" i="69"/>
  <c r="AY63" i="69" a="1"/>
  <c r="AY63" i="69"/>
  <c r="AP63" i="69" a="1"/>
  <c r="AP63" i="69"/>
  <c r="AO63" i="69" a="1"/>
  <c r="AO63" i="69"/>
  <c r="AN63" i="69" a="1"/>
  <c r="AN63" i="69"/>
  <c r="AM63" i="69" a="1"/>
  <c r="AM63" i="69"/>
  <c r="AL63" i="69" a="1"/>
  <c r="AL63" i="69"/>
  <c r="AK63" i="69" a="1"/>
  <c r="AK63" i="69"/>
  <c r="AJ63" i="69" a="1"/>
  <c r="AJ63" i="69"/>
  <c r="AY62" i="69" a="1"/>
  <c r="AY62" i="69"/>
  <c r="AP62" i="69" a="1"/>
  <c r="AP62" i="69"/>
  <c r="AO62" i="69" a="1"/>
  <c r="AO62" i="69"/>
  <c r="AN62" i="69" a="1"/>
  <c r="AN62" i="69"/>
  <c r="AM62" i="69" a="1"/>
  <c r="AM62" i="69"/>
  <c r="AL62" i="69" a="1"/>
  <c r="AL62" i="69"/>
  <c r="AK62" i="69" a="1"/>
  <c r="AK62" i="69"/>
  <c r="AJ62" i="69" a="1"/>
  <c r="AJ62" i="69"/>
  <c r="AY61" i="69" a="1"/>
  <c r="AY61" i="69"/>
  <c r="AP61" i="69" a="1"/>
  <c r="AP61" i="69"/>
  <c r="AO61" i="69" a="1"/>
  <c r="AO61" i="69"/>
  <c r="AN61" i="69" a="1"/>
  <c r="AN61" i="69"/>
  <c r="AM61" i="69" a="1"/>
  <c r="AM61" i="69"/>
  <c r="AL61" i="69" a="1"/>
  <c r="AL61" i="69"/>
  <c r="AK61" i="69" a="1"/>
  <c r="AK61" i="69"/>
  <c r="AJ61" i="69" a="1"/>
  <c r="AJ61" i="69"/>
  <c r="AY60" i="69" a="1"/>
  <c r="AY60" i="69"/>
  <c r="AP60" i="69" a="1"/>
  <c r="AP60" i="69"/>
  <c r="AO60" i="69" a="1"/>
  <c r="AO60" i="69"/>
  <c r="AN60" i="69" a="1"/>
  <c r="AN60" i="69"/>
  <c r="AM60" i="69" a="1"/>
  <c r="AM60" i="69"/>
  <c r="AL60" i="69" a="1"/>
  <c r="AL60" i="69"/>
  <c r="AK60" i="69" a="1"/>
  <c r="AK60" i="69"/>
  <c r="AJ60" i="69" a="1"/>
  <c r="AJ60" i="69"/>
  <c r="AY59" i="69" a="1"/>
  <c r="AY59" i="69"/>
  <c r="AP59" i="69" a="1"/>
  <c r="AP59" i="69"/>
  <c r="AO59" i="69" a="1"/>
  <c r="AO59" i="69"/>
  <c r="AN59" i="69" a="1"/>
  <c r="AN59" i="69"/>
  <c r="AM59" i="69" a="1"/>
  <c r="AM59" i="69"/>
  <c r="AL59" i="69" a="1"/>
  <c r="AL59" i="69"/>
  <c r="AK59" i="69" a="1"/>
  <c r="AK59" i="69"/>
  <c r="AJ59" i="69" a="1"/>
  <c r="AJ59" i="69"/>
  <c r="AY58" i="69" a="1"/>
  <c r="AY58" i="69"/>
  <c r="AP58" i="69" a="1"/>
  <c r="AP58" i="69"/>
  <c r="AO58" i="69" a="1"/>
  <c r="AO58" i="69"/>
  <c r="AN58" i="69" a="1"/>
  <c r="AN58" i="69"/>
  <c r="AM58" i="69" a="1"/>
  <c r="AM58" i="69"/>
  <c r="AL58" i="69" a="1"/>
  <c r="AL58" i="69"/>
  <c r="AK58" i="69" a="1"/>
  <c r="AK58" i="69"/>
  <c r="AJ58" i="69" a="1"/>
  <c r="AJ58" i="69"/>
  <c r="AY57" i="69" a="1"/>
  <c r="AY57" i="69"/>
  <c r="AP57" i="69" a="1"/>
  <c r="AP57" i="69"/>
  <c r="AO57" i="69" a="1"/>
  <c r="AO57" i="69"/>
  <c r="AN57" i="69" a="1"/>
  <c r="AN57" i="69"/>
  <c r="AM57" i="69" a="1"/>
  <c r="AM57" i="69"/>
  <c r="AL57" i="69" a="1"/>
  <c r="AL57" i="69"/>
  <c r="AK57" i="69" a="1"/>
  <c r="AK57" i="69"/>
  <c r="AJ57" i="69" a="1"/>
  <c r="AJ57" i="69"/>
  <c r="AY56" i="69" a="1"/>
  <c r="AY56" i="69"/>
  <c r="AP56" i="69" a="1"/>
  <c r="AP56" i="69"/>
  <c r="AO56" i="69" a="1"/>
  <c r="AO56" i="69"/>
  <c r="AN56" i="69" a="1"/>
  <c r="AN56" i="69"/>
  <c r="AM56" i="69" a="1"/>
  <c r="AM56" i="69"/>
  <c r="AL56" i="69" a="1"/>
  <c r="AL56" i="69"/>
  <c r="AK56" i="69" a="1"/>
  <c r="AK56" i="69"/>
  <c r="AJ56" i="69" a="1"/>
  <c r="AJ56" i="69"/>
  <c r="AY55" i="69" a="1"/>
  <c r="AY55" i="69"/>
  <c r="AP55" i="69" a="1"/>
  <c r="AP55" i="69"/>
  <c r="AO55" i="69" a="1"/>
  <c r="AO55" i="69"/>
  <c r="AN55" i="69" a="1"/>
  <c r="AN55" i="69"/>
  <c r="AM55" i="69" a="1"/>
  <c r="AM55" i="69"/>
  <c r="AL55" i="69" a="1"/>
  <c r="AL55" i="69"/>
  <c r="AK55" i="69" a="1"/>
  <c r="AK55" i="69"/>
  <c r="AJ55" i="69" a="1"/>
  <c r="AJ55" i="69"/>
  <c r="AY54" i="69" a="1"/>
  <c r="AY54" i="69"/>
  <c r="AP54" i="69" a="1"/>
  <c r="AP54" i="69"/>
  <c r="AO54" i="69" a="1"/>
  <c r="AO54" i="69"/>
  <c r="AN54" i="69" a="1"/>
  <c r="AN54" i="69"/>
  <c r="AM54" i="69" a="1"/>
  <c r="AM54" i="69"/>
  <c r="AL54" i="69" a="1"/>
  <c r="AL54" i="69"/>
  <c r="AK54" i="69" a="1"/>
  <c r="AK54" i="69"/>
  <c r="AJ54" i="69" a="1"/>
  <c r="AJ54" i="69"/>
  <c r="AY53" i="69" a="1"/>
  <c r="AY53" i="69"/>
  <c r="AP53" i="69" a="1"/>
  <c r="AP53" i="69"/>
  <c r="AO53" i="69" a="1"/>
  <c r="AO53" i="69"/>
  <c r="AN53" i="69" a="1"/>
  <c r="AN53" i="69"/>
  <c r="AM53" i="69" a="1"/>
  <c r="AM53" i="69"/>
  <c r="AL53" i="69" a="1"/>
  <c r="AL53" i="69"/>
  <c r="AK53" i="69" a="1"/>
  <c r="AK53" i="69"/>
  <c r="AJ53" i="69" a="1"/>
  <c r="AJ53" i="69"/>
  <c r="AY52" i="69" a="1"/>
  <c r="AY52" i="69"/>
  <c r="AP52" i="69" a="1"/>
  <c r="AP52" i="69"/>
  <c r="AO52" i="69" a="1"/>
  <c r="AO52" i="69"/>
  <c r="AN52" i="69" a="1"/>
  <c r="AN52" i="69"/>
  <c r="AM52" i="69" a="1"/>
  <c r="AM52" i="69"/>
  <c r="AL52" i="69" a="1"/>
  <c r="AL52" i="69"/>
  <c r="AK52" i="69" a="1"/>
  <c r="AK52" i="69"/>
  <c r="AJ52" i="69" a="1"/>
  <c r="AJ52" i="69"/>
  <c r="AY51" i="69" a="1"/>
  <c r="AY51" i="69"/>
  <c r="AP51" i="69" a="1"/>
  <c r="AP51" i="69"/>
  <c r="AO51" i="69" a="1"/>
  <c r="AO51" i="69"/>
  <c r="AN51" i="69" a="1"/>
  <c r="AN51" i="69"/>
  <c r="AM51" i="69" a="1"/>
  <c r="AM51" i="69"/>
  <c r="AL51" i="69" a="1"/>
  <c r="AL51" i="69"/>
  <c r="AK51" i="69" a="1"/>
  <c r="AK51" i="69"/>
  <c r="AJ51" i="69" a="1"/>
  <c r="AJ51" i="69"/>
  <c r="AY50" i="69" a="1"/>
  <c r="AY50" i="69"/>
  <c r="AP50" i="69" a="1"/>
  <c r="AP50" i="69"/>
  <c r="AO50" i="69" a="1"/>
  <c r="AO50" i="69"/>
  <c r="AN50" i="69" a="1"/>
  <c r="AN50" i="69"/>
  <c r="AM50" i="69" a="1"/>
  <c r="AM50" i="69"/>
  <c r="AL50" i="69" a="1"/>
  <c r="AL50" i="69"/>
  <c r="AK50" i="69" a="1"/>
  <c r="AK50" i="69"/>
  <c r="AJ50" i="69" a="1"/>
  <c r="AJ50" i="69"/>
  <c r="AY49" i="69" a="1"/>
  <c r="AY49" i="69"/>
  <c r="AP49" i="69" a="1"/>
  <c r="AP49" i="69"/>
  <c r="AO49" i="69" a="1"/>
  <c r="AO49" i="69"/>
  <c r="AN49" i="69" a="1"/>
  <c r="AN49" i="69"/>
  <c r="AM49" i="69" a="1"/>
  <c r="AM49" i="69"/>
  <c r="AL49" i="69" a="1"/>
  <c r="AL49" i="69"/>
  <c r="AK49" i="69" a="1"/>
  <c r="AK49" i="69"/>
  <c r="AJ49" i="69" a="1"/>
  <c r="AJ49" i="69"/>
  <c r="AY48" i="69" a="1"/>
  <c r="AY48" i="69"/>
  <c r="AP48" i="69" a="1"/>
  <c r="AP48" i="69"/>
  <c r="AO48" i="69" a="1"/>
  <c r="AO48" i="69"/>
  <c r="AN48" i="69" a="1"/>
  <c r="AN48" i="69"/>
  <c r="AM48" i="69" a="1"/>
  <c r="AM48" i="69"/>
  <c r="AL48" i="69" a="1"/>
  <c r="AL48" i="69"/>
  <c r="AK48" i="69" a="1"/>
  <c r="AK48" i="69"/>
  <c r="AJ48" i="69" a="1"/>
  <c r="AJ48" i="69"/>
  <c r="AY47" i="69" a="1"/>
  <c r="AY47" i="69"/>
  <c r="AP47" i="69" a="1"/>
  <c r="AP47" i="69"/>
  <c r="AO47" i="69" a="1"/>
  <c r="AO47" i="69"/>
  <c r="AN47" i="69" a="1"/>
  <c r="AN47" i="69"/>
  <c r="AM47" i="69" a="1"/>
  <c r="AM47" i="69"/>
  <c r="AL47" i="69" a="1"/>
  <c r="AL47" i="69"/>
  <c r="AK47" i="69" a="1"/>
  <c r="AK47" i="69"/>
  <c r="AJ47" i="69" a="1"/>
  <c r="AJ47" i="69"/>
  <c r="AY46" i="69" a="1"/>
  <c r="AY46" i="69"/>
  <c r="AP46" i="69" a="1"/>
  <c r="AP46" i="69"/>
  <c r="AO46" i="69" a="1"/>
  <c r="AO46" i="69"/>
  <c r="AN46" i="69" a="1"/>
  <c r="AN46" i="69"/>
  <c r="AM46" i="69" a="1"/>
  <c r="AM46" i="69"/>
  <c r="AL46" i="69" a="1"/>
  <c r="AL46" i="69"/>
  <c r="AK46" i="69" a="1"/>
  <c r="AK46" i="69"/>
  <c r="AJ46" i="69" a="1"/>
  <c r="AJ46" i="69"/>
  <c r="AY45" i="69" a="1"/>
  <c r="AY45" i="69"/>
  <c r="AP45" i="69" a="1"/>
  <c r="AP45" i="69"/>
  <c r="AO45" i="69" a="1"/>
  <c r="AO45" i="69"/>
  <c r="AN45" i="69" a="1"/>
  <c r="AN45" i="69"/>
  <c r="AM45" i="69" a="1"/>
  <c r="AM45" i="69"/>
  <c r="AL45" i="69" a="1"/>
  <c r="AL45" i="69"/>
  <c r="AK45" i="69" a="1"/>
  <c r="AK45" i="69"/>
  <c r="AJ45" i="69" a="1"/>
  <c r="AJ45" i="69"/>
  <c r="AY44" i="69" a="1"/>
  <c r="AY44" i="69"/>
  <c r="AP44" i="69" a="1"/>
  <c r="AP44" i="69"/>
  <c r="AO44" i="69" a="1"/>
  <c r="AO44" i="69"/>
  <c r="AN44" i="69" a="1"/>
  <c r="AN44" i="69"/>
  <c r="AM44" i="69" a="1"/>
  <c r="AM44" i="69"/>
  <c r="AL44" i="69" a="1"/>
  <c r="AL44" i="69"/>
  <c r="AK44" i="69" a="1"/>
  <c r="AK44" i="69"/>
  <c r="AJ44" i="69" a="1"/>
  <c r="AJ44" i="69"/>
  <c r="AY43" i="69" a="1"/>
  <c r="AY43" i="69"/>
  <c r="AP43" i="69" a="1"/>
  <c r="AP43" i="69"/>
  <c r="AO43" i="69" a="1"/>
  <c r="AO43" i="69"/>
  <c r="AN43" i="69" a="1"/>
  <c r="AN43" i="69"/>
  <c r="AM43" i="69" a="1"/>
  <c r="AM43" i="69"/>
  <c r="AL43" i="69" a="1"/>
  <c r="AL43" i="69"/>
  <c r="AK43" i="69" a="1"/>
  <c r="AK43" i="69"/>
  <c r="AJ43" i="69" a="1"/>
  <c r="AJ43" i="69"/>
  <c r="AY42" i="69" a="1"/>
  <c r="AY42" i="69"/>
  <c r="AP42" i="69" a="1"/>
  <c r="AP42" i="69"/>
  <c r="AO42" i="69" a="1"/>
  <c r="AO42" i="69"/>
  <c r="AN42" i="69" a="1"/>
  <c r="AN42" i="69"/>
  <c r="AM42" i="69" a="1"/>
  <c r="AM42" i="69"/>
  <c r="AL42" i="69" a="1"/>
  <c r="AL42" i="69"/>
  <c r="AK42" i="69" a="1"/>
  <c r="AK42" i="69"/>
  <c r="AJ42" i="69" a="1"/>
  <c r="AJ42" i="69"/>
  <c r="AY41" i="69" a="1"/>
  <c r="AY41" i="69"/>
  <c r="AP41" i="69" a="1"/>
  <c r="AP41" i="69"/>
  <c r="AO41" i="69" a="1"/>
  <c r="AO41" i="69"/>
  <c r="AN41" i="69" a="1"/>
  <c r="AN41" i="69"/>
  <c r="AM41" i="69" a="1"/>
  <c r="AM41" i="69"/>
  <c r="AL41" i="69" a="1"/>
  <c r="AL41" i="69"/>
  <c r="AK41" i="69" a="1"/>
  <c r="AK41" i="69"/>
  <c r="AJ41" i="69" a="1"/>
  <c r="AJ41" i="69"/>
  <c r="AY40" i="69" a="1"/>
  <c r="AY40" i="69"/>
  <c r="AP40" i="69" a="1"/>
  <c r="AP40" i="69"/>
  <c r="AO40" i="69" a="1"/>
  <c r="AO40" i="69"/>
  <c r="AN40" i="69" a="1"/>
  <c r="AN40" i="69"/>
  <c r="AM40" i="69" a="1"/>
  <c r="AM40" i="69"/>
  <c r="AL40" i="69" a="1"/>
  <c r="AL40" i="69"/>
  <c r="AK40" i="69" a="1"/>
  <c r="AK40" i="69"/>
  <c r="AJ40" i="69" a="1"/>
  <c r="AJ40" i="69"/>
  <c r="AY39" i="69" a="1"/>
  <c r="AY39" i="69"/>
  <c r="AP39" i="69" a="1"/>
  <c r="AP39" i="69"/>
  <c r="AO39" i="69" a="1"/>
  <c r="AO39" i="69"/>
  <c r="AN39" i="69" a="1"/>
  <c r="AN39" i="69"/>
  <c r="AM39" i="69" a="1"/>
  <c r="AM39" i="69"/>
  <c r="AL39" i="69" a="1"/>
  <c r="AL39" i="69"/>
  <c r="AK39" i="69" a="1"/>
  <c r="AK39" i="69"/>
  <c r="AJ39" i="69" a="1"/>
  <c r="AJ39" i="69"/>
  <c r="AY38" i="69" a="1"/>
  <c r="AY38" i="69"/>
  <c r="AP38" i="69" a="1"/>
  <c r="AP38" i="69"/>
  <c r="AO38" i="69" a="1"/>
  <c r="AO38" i="69"/>
  <c r="AN38" i="69" a="1"/>
  <c r="AN38" i="69"/>
  <c r="AM38" i="69" a="1"/>
  <c r="AM38" i="69"/>
  <c r="AL38" i="69" a="1"/>
  <c r="AL38" i="69"/>
  <c r="AK38" i="69" a="1"/>
  <c r="AK38" i="69"/>
  <c r="AJ38" i="69" a="1"/>
  <c r="AJ38" i="69"/>
  <c r="AY37" i="69" a="1"/>
  <c r="AY37" i="69"/>
  <c r="AP37" i="69" a="1"/>
  <c r="AP37" i="69"/>
  <c r="AO37" i="69" a="1"/>
  <c r="AO37" i="69"/>
  <c r="AN37" i="69" a="1"/>
  <c r="AN37" i="69"/>
  <c r="AM37" i="69" a="1"/>
  <c r="AM37" i="69"/>
  <c r="AL37" i="69" a="1"/>
  <c r="AL37" i="69"/>
  <c r="AK37" i="69" a="1"/>
  <c r="AK37" i="69"/>
  <c r="AJ37" i="69" a="1"/>
  <c r="AJ37" i="69"/>
  <c r="AY36" i="69" a="1"/>
  <c r="AY36" i="69"/>
  <c r="AP36" i="69" a="1"/>
  <c r="AP36" i="69"/>
  <c r="AO36" i="69" a="1"/>
  <c r="AO36" i="69"/>
  <c r="AN36" i="69" a="1"/>
  <c r="AN36" i="69"/>
  <c r="AM36" i="69" a="1"/>
  <c r="AM36" i="69"/>
  <c r="AL36" i="69" a="1"/>
  <c r="AL36" i="69"/>
  <c r="AK36" i="69" a="1"/>
  <c r="AK36" i="69"/>
  <c r="AJ36" i="69" a="1"/>
  <c r="AJ36" i="69"/>
  <c r="AY35" i="69" a="1"/>
  <c r="AY35" i="69"/>
  <c r="AP35" i="69" a="1"/>
  <c r="AP35" i="69"/>
  <c r="AO35" i="69" a="1"/>
  <c r="AO35" i="69"/>
  <c r="AN35" i="69" a="1"/>
  <c r="AN35" i="69"/>
  <c r="AM35" i="69" a="1"/>
  <c r="AM35" i="69"/>
  <c r="AL35" i="69" a="1"/>
  <c r="AL35" i="69"/>
  <c r="AK35" i="69" a="1"/>
  <c r="AK35" i="69"/>
  <c r="AJ35" i="69" a="1"/>
  <c r="AJ35" i="69"/>
  <c r="AY34" i="69" a="1"/>
  <c r="AY34" i="69"/>
  <c r="AP34" i="69" a="1"/>
  <c r="AP34" i="69"/>
  <c r="AO34" i="69" a="1"/>
  <c r="AO34" i="69"/>
  <c r="AN34" i="69" a="1"/>
  <c r="AN34" i="69"/>
  <c r="AM34" i="69" a="1"/>
  <c r="AM34" i="69"/>
  <c r="AL34" i="69" a="1"/>
  <c r="AL34" i="69"/>
  <c r="AK34" i="69" a="1"/>
  <c r="AK34" i="69"/>
  <c r="AJ34" i="69" a="1"/>
  <c r="AJ34" i="69"/>
  <c r="AY33" i="69" a="1"/>
  <c r="AY33" i="69"/>
  <c r="AP33" i="69" a="1"/>
  <c r="AP33" i="69"/>
  <c r="AO33" i="69" a="1"/>
  <c r="AO33" i="69"/>
  <c r="AN33" i="69" a="1"/>
  <c r="AN33" i="69"/>
  <c r="AM33" i="69" a="1"/>
  <c r="AM33" i="69"/>
  <c r="AL33" i="69" a="1"/>
  <c r="AL33" i="69"/>
  <c r="AK33" i="69" a="1"/>
  <c r="AK33" i="69"/>
  <c r="AJ33" i="69" a="1"/>
  <c r="AJ33" i="69"/>
  <c r="AY32" i="69" a="1"/>
  <c r="AY32" i="69"/>
  <c r="AP32" i="69" a="1"/>
  <c r="AP32" i="69"/>
  <c r="AO32" i="69" a="1"/>
  <c r="AO32" i="69"/>
  <c r="AN32" i="69" a="1"/>
  <c r="AN32" i="69"/>
  <c r="AM32" i="69" a="1"/>
  <c r="AM32" i="69"/>
  <c r="AL32" i="69" a="1"/>
  <c r="AL32" i="69"/>
  <c r="AK32" i="69" a="1"/>
  <c r="AK32" i="69"/>
  <c r="AJ32" i="69" a="1"/>
  <c r="AJ32" i="69"/>
  <c r="AY31" i="69" a="1"/>
  <c r="AY31" i="69"/>
  <c r="AP31" i="69" a="1"/>
  <c r="AP31" i="69"/>
  <c r="AO31" i="69" a="1"/>
  <c r="AO31" i="69"/>
  <c r="AN31" i="69" a="1"/>
  <c r="AN31" i="69"/>
  <c r="AM31" i="69" a="1"/>
  <c r="AM31" i="69"/>
  <c r="AL31" i="69" a="1"/>
  <c r="AL31" i="69"/>
  <c r="AK31" i="69" a="1"/>
  <c r="AK31" i="69"/>
  <c r="AJ31" i="69" a="1"/>
  <c r="AJ31" i="69"/>
  <c r="AY26" i="69" a="1"/>
  <c r="AY26" i="69"/>
  <c r="AP26" i="69" a="1"/>
  <c r="AP26" i="69"/>
  <c r="AO26" i="69" a="1"/>
  <c r="AO26" i="69"/>
  <c r="AN26" i="69" a="1"/>
  <c r="AN26" i="69"/>
  <c r="AM26" i="69" a="1"/>
  <c r="AM26" i="69"/>
  <c r="AL26" i="69" a="1"/>
  <c r="AL26" i="69"/>
  <c r="AK26" i="69" a="1"/>
  <c r="AK26" i="69"/>
  <c r="AJ26" i="69" a="1"/>
  <c r="AJ26" i="69"/>
  <c r="AY25" i="69" a="1"/>
  <c r="AY25" i="69"/>
  <c r="AP25" i="69" a="1"/>
  <c r="AP25" i="69"/>
  <c r="AO25" i="69" a="1"/>
  <c r="AO25" i="69"/>
  <c r="AN25" i="69" a="1"/>
  <c r="AN25" i="69"/>
  <c r="AM25" i="69" a="1"/>
  <c r="AM25" i="69"/>
  <c r="AL25" i="69" a="1"/>
  <c r="AL25" i="69"/>
  <c r="AK25" i="69" a="1"/>
  <c r="AK25" i="69"/>
  <c r="AJ25" i="69" a="1"/>
  <c r="AJ25" i="69"/>
  <c r="AY24" i="69" a="1"/>
  <c r="AY24" i="69"/>
  <c r="AP24" i="69" a="1"/>
  <c r="AP24" i="69"/>
  <c r="AO24" i="69" a="1"/>
  <c r="AO24" i="69"/>
  <c r="AN24" i="69" a="1"/>
  <c r="AN24" i="69"/>
  <c r="AM24" i="69" a="1"/>
  <c r="AM24" i="69"/>
  <c r="AL24" i="69" a="1"/>
  <c r="AL24" i="69"/>
  <c r="AK24" i="69" a="1"/>
  <c r="AK24" i="69"/>
  <c r="AJ24" i="69" a="1"/>
  <c r="AJ24" i="69"/>
  <c r="AY23" i="69" a="1"/>
  <c r="AY23" i="69"/>
  <c r="AP23" i="69" a="1"/>
  <c r="AP23" i="69"/>
  <c r="AO23" i="69" a="1"/>
  <c r="AO23" i="69"/>
  <c r="AN23" i="69" a="1"/>
  <c r="AN23" i="69"/>
  <c r="AM23" i="69" a="1"/>
  <c r="AM23" i="69"/>
  <c r="AL23" i="69" a="1"/>
  <c r="AL23" i="69"/>
  <c r="AK23" i="69" a="1"/>
  <c r="AK23" i="69"/>
  <c r="AJ23" i="69" a="1"/>
  <c r="AJ23" i="69"/>
  <c r="AY22" i="69" a="1"/>
  <c r="AY22" i="69"/>
  <c r="AP22" i="69" a="1"/>
  <c r="AP22" i="69"/>
  <c r="AO22" i="69" a="1"/>
  <c r="AO22" i="69"/>
  <c r="AN22" i="69" a="1"/>
  <c r="AN22" i="69"/>
  <c r="AM22" i="69" a="1"/>
  <c r="AM22" i="69"/>
  <c r="AL22" i="69" a="1"/>
  <c r="AL22" i="69"/>
  <c r="AK22" i="69" a="1"/>
  <c r="AK22" i="69"/>
  <c r="AJ22" i="69" a="1"/>
  <c r="AJ22" i="69"/>
  <c r="AY21" i="69" a="1"/>
  <c r="AY21" i="69"/>
  <c r="AP21" i="69" a="1"/>
  <c r="AP21" i="69"/>
  <c r="AO21" i="69" a="1"/>
  <c r="AO21" i="69"/>
  <c r="AN21" i="69" a="1"/>
  <c r="AN21" i="69"/>
  <c r="AM21" i="69" a="1"/>
  <c r="AM21" i="69"/>
  <c r="AL21" i="69" a="1"/>
  <c r="AL21" i="69"/>
  <c r="AK21" i="69" a="1"/>
  <c r="AK21" i="69"/>
  <c r="AJ21" i="69" a="1"/>
  <c r="AJ21" i="69"/>
  <c r="AY20" i="69" a="1"/>
  <c r="AY20" i="69"/>
  <c r="AP20" i="69" a="1"/>
  <c r="AP20" i="69"/>
  <c r="AO20" i="69" a="1"/>
  <c r="AO20" i="69"/>
  <c r="AN20" i="69" a="1"/>
  <c r="AN20" i="69"/>
  <c r="AM20" i="69" a="1"/>
  <c r="AM20" i="69"/>
  <c r="AL20" i="69" a="1"/>
  <c r="AL20" i="69"/>
  <c r="AK20" i="69" a="1"/>
  <c r="AK20" i="69"/>
  <c r="AJ20" i="69" a="1"/>
  <c r="AJ20" i="69"/>
  <c r="AY19" i="69" a="1"/>
  <c r="AY19" i="69"/>
  <c r="AP19" i="69" a="1"/>
  <c r="AP19" i="69"/>
  <c r="AO19" i="69" a="1"/>
  <c r="AO19" i="69"/>
  <c r="AN19" i="69" a="1"/>
  <c r="AN19" i="69"/>
  <c r="AM19" i="69" a="1"/>
  <c r="AM19" i="69"/>
  <c r="AL19" i="69" a="1"/>
  <c r="AL19" i="69"/>
  <c r="AK19" i="69" a="1"/>
  <c r="AK19" i="69"/>
  <c r="AJ19" i="69" a="1"/>
  <c r="AJ19" i="69"/>
  <c r="AY18" i="69" a="1"/>
  <c r="AY18" i="69"/>
  <c r="AP18" i="69" a="1"/>
  <c r="AP18" i="69"/>
  <c r="AO18" i="69" a="1"/>
  <c r="AO18" i="69"/>
  <c r="AN18" i="69" a="1"/>
  <c r="AN18" i="69"/>
  <c r="AM18" i="69" a="1"/>
  <c r="AM18" i="69"/>
  <c r="AL18" i="69" a="1"/>
  <c r="AL18" i="69"/>
  <c r="AK18" i="69" a="1"/>
  <c r="AK18" i="69"/>
  <c r="AJ18" i="69" a="1"/>
  <c r="AJ18" i="69"/>
  <c r="AY17" i="69" a="1"/>
  <c r="AY17" i="69"/>
  <c r="AP17" i="69" a="1"/>
  <c r="AP17" i="69"/>
  <c r="AO17" i="69" a="1"/>
  <c r="AO17" i="69"/>
  <c r="AN17" i="69" a="1"/>
  <c r="AN17" i="69"/>
  <c r="AM17" i="69" a="1"/>
  <c r="AM17" i="69"/>
  <c r="AL17" i="69" a="1"/>
  <c r="AL17" i="69"/>
  <c r="AK17" i="69" a="1"/>
  <c r="AK17" i="69"/>
  <c r="AJ17" i="69" a="1"/>
  <c r="AJ17" i="69"/>
  <c r="AY16" i="69" a="1"/>
  <c r="AY16" i="69"/>
  <c r="AP16" i="69" a="1"/>
  <c r="AP16" i="69"/>
  <c r="AO16" i="69" a="1"/>
  <c r="AO16" i="69"/>
  <c r="AN16" i="69" a="1"/>
  <c r="AN16" i="69"/>
  <c r="AM16" i="69" a="1"/>
  <c r="AM16" i="69"/>
  <c r="AL16" i="69" a="1"/>
  <c r="AL16" i="69"/>
  <c r="AK16" i="69" a="1"/>
  <c r="AK16" i="69"/>
  <c r="AJ16" i="69" a="1"/>
  <c r="AJ16" i="69"/>
  <c r="AY15" i="69" a="1"/>
  <c r="AY15" i="69"/>
  <c r="AP15" i="69" a="1"/>
  <c r="AP15" i="69"/>
  <c r="AO15" i="69" a="1"/>
  <c r="AO15" i="69"/>
  <c r="AN15" i="69" a="1"/>
  <c r="AN15" i="69"/>
  <c r="AM15" i="69" a="1"/>
  <c r="AM15" i="69"/>
  <c r="AL15" i="69" a="1"/>
  <c r="AL15" i="69"/>
  <c r="AK15" i="69" a="1"/>
  <c r="AK15" i="69"/>
  <c r="AJ15" i="69" a="1"/>
  <c r="AJ15" i="69"/>
  <c r="AY14" i="69" a="1"/>
  <c r="AY14" i="69"/>
  <c r="AP14" i="69" a="1"/>
  <c r="AP14" i="69"/>
  <c r="AO14" i="69" a="1"/>
  <c r="AO14" i="69"/>
  <c r="AN14" i="69" a="1"/>
  <c r="AN14" i="69"/>
  <c r="AM14" i="69" a="1"/>
  <c r="AM14" i="69"/>
  <c r="AL14" i="69" a="1"/>
  <c r="AL14" i="69"/>
  <c r="AK14" i="69" a="1"/>
  <c r="AK14" i="69"/>
  <c r="AJ14" i="69" a="1"/>
  <c r="AJ14" i="69"/>
  <c r="AY13" i="69" a="1"/>
  <c r="AY13" i="69"/>
  <c r="AP13" i="69" a="1"/>
  <c r="AP13" i="69"/>
  <c r="AO13" i="69" a="1"/>
  <c r="AO13" i="69"/>
  <c r="AN13" i="69" a="1"/>
  <c r="AN13" i="69"/>
  <c r="AM13" i="69" a="1"/>
  <c r="AM13" i="69"/>
  <c r="AL13" i="69" a="1"/>
  <c r="AL13" i="69"/>
  <c r="AK13" i="69" a="1"/>
  <c r="AK13" i="69"/>
  <c r="AJ13" i="69" a="1"/>
  <c r="AJ13" i="69"/>
  <c r="AY12" i="69" a="1"/>
  <c r="AY12" i="69"/>
  <c r="AP12" i="69" a="1"/>
  <c r="AP12" i="69"/>
  <c r="AO12" i="69" a="1"/>
  <c r="AO12" i="69"/>
  <c r="AN12" i="69" a="1"/>
  <c r="AN12" i="69"/>
  <c r="AM12" i="69" a="1"/>
  <c r="AM12" i="69"/>
  <c r="AL12" i="69" a="1"/>
  <c r="AL12" i="69"/>
  <c r="AK12" i="69" a="1"/>
  <c r="AK12" i="69"/>
  <c r="AJ12" i="69" a="1"/>
  <c r="AJ12" i="69"/>
  <c r="AY11" i="69" a="1"/>
  <c r="AY11" i="69"/>
  <c r="AP11" i="69" a="1"/>
  <c r="AP11" i="69"/>
  <c r="AO11" i="69" a="1"/>
  <c r="AO11" i="69"/>
  <c r="AN11" i="69" a="1"/>
  <c r="AN11" i="69"/>
  <c r="AM11" i="69" a="1"/>
  <c r="AM11" i="69"/>
  <c r="AL11" i="69" a="1"/>
  <c r="AL11" i="69"/>
  <c r="AK11" i="69" a="1"/>
  <c r="AK11" i="69"/>
  <c r="AJ11" i="69" a="1"/>
  <c r="AJ11" i="69"/>
  <c r="AY10" i="69" a="1"/>
  <c r="AY10" i="69"/>
  <c r="AP10" i="69" a="1"/>
  <c r="AP10" i="69"/>
  <c r="AO10" i="69" a="1"/>
  <c r="AO10" i="69"/>
  <c r="AN10" i="69" a="1"/>
  <c r="AN10" i="69"/>
  <c r="AM10" i="69" a="1"/>
  <c r="AM10" i="69"/>
  <c r="AL10" i="69" a="1"/>
  <c r="AL10" i="69"/>
  <c r="AK10" i="69" a="1"/>
  <c r="AK10" i="69"/>
  <c r="AJ10" i="69" a="1"/>
  <c r="AJ10" i="69"/>
  <c r="AY9" i="69" a="1"/>
  <c r="AY9" i="69"/>
  <c r="AP9" i="69" a="1"/>
  <c r="AP9" i="69"/>
  <c r="AO9" i="69" a="1"/>
  <c r="AO9" i="69"/>
  <c r="AN9" i="69" a="1"/>
  <c r="AN9" i="69"/>
  <c r="AM9" i="69" a="1"/>
  <c r="AM9" i="69"/>
  <c r="AL9" i="69" a="1"/>
  <c r="AL9" i="69"/>
  <c r="AK9" i="69" a="1"/>
  <c r="AK9" i="69"/>
  <c r="AJ9" i="69" a="1"/>
  <c r="AJ9" i="69"/>
  <c r="AY8" i="69" a="1"/>
  <c r="AY8" i="69"/>
  <c r="AP8" i="69" a="1"/>
  <c r="AP8" i="69"/>
  <c r="AO8" i="69" a="1"/>
  <c r="AO8" i="69"/>
  <c r="AN8" i="69" a="1"/>
  <c r="AN8" i="69"/>
  <c r="AM8" i="69" a="1"/>
  <c r="AM8" i="69"/>
  <c r="AL8" i="69" a="1"/>
  <c r="AL8" i="69"/>
  <c r="AK8" i="69" a="1"/>
  <c r="AK8" i="69"/>
  <c r="AJ8" i="69" a="1"/>
  <c r="AJ8" i="69"/>
  <c r="AY7" i="69" a="1"/>
  <c r="AY7" i="69"/>
  <c r="AP7" i="69" a="1"/>
  <c r="AP7" i="69"/>
  <c r="AO7" i="69" a="1"/>
  <c r="AO7" i="69"/>
  <c r="AN7" i="69" a="1"/>
  <c r="AN7" i="69"/>
  <c r="AM7" i="69" a="1"/>
  <c r="AM7" i="69"/>
  <c r="AL7" i="69" a="1"/>
  <c r="AL7" i="69"/>
  <c r="AK7" i="69" a="1"/>
  <c r="AK7" i="69"/>
  <c r="AJ7" i="69" a="1"/>
  <c r="AJ7" i="69"/>
  <c r="AY6" i="69" a="1"/>
  <c r="AY6" i="69"/>
  <c r="AP6" i="69" a="1"/>
  <c r="AP6" i="69"/>
  <c r="AO6" i="69" a="1"/>
  <c r="AO6" i="69"/>
  <c r="AN6" i="69" a="1"/>
  <c r="AN6" i="69"/>
  <c r="AM6" i="69" a="1"/>
  <c r="AM6" i="69"/>
  <c r="AL6" i="69" a="1"/>
  <c r="AL6" i="69"/>
  <c r="AK6" i="69" a="1"/>
  <c r="AK6" i="69"/>
  <c r="AJ6" i="69" a="1"/>
  <c r="AJ6" i="69"/>
  <c r="AV6" i="69"/>
  <c r="AW6" i="69"/>
  <c r="AX6" i="69"/>
  <c r="AZ6" i="69"/>
  <c r="BA6" i="69"/>
  <c r="AV7" i="69"/>
  <c r="AW7" i="69"/>
  <c r="AX7" i="69"/>
  <c r="AZ7" i="69"/>
  <c r="BA7" i="69"/>
  <c r="AV8" i="69"/>
  <c r="AW8" i="69"/>
  <c r="AX8" i="69"/>
  <c r="AZ8" i="69"/>
  <c r="BA8" i="69"/>
  <c r="AV9" i="69"/>
  <c r="AW9" i="69"/>
  <c r="AX9" i="69"/>
  <c r="AZ9" i="69"/>
  <c r="BA9" i="69"/>
  <c r="AV10" i="69"/>
  <c r="AW10" i="69"/>
  <c r="AX10" i="69"/>
  <c r="AZ10" i="69"/>
  <c r="BA10" i="69"/>
  <c r="AV11" i="69"/>
  <c r="AW11" i="69"/>
  <c r="AX11" i="69"/>
  <c r="AZ11" i="69"/>
  <c r="BA11" i="69"/>
  <c r="AV12" i="69"/>
  <c r="AW12" i="69"/>
  <c r="AX12" i="69"/>
  <c r="AZ12" i="69"/>
  <c r="BA12" i="69"/>
  <c r="AV13" i="69"/>
  <c r="AW13" i="69"/>
  <c r="AX13" i="69"/>
  <c r="AZ13" i="69"/>
  <c r="BA13" i="69"/>
  <c r="AV14" i="69"/>
  <c r="AW14" i="69"/>
  <c r="AX14" i="69"/>
  <c r="AZ14" i="69"/>
  <c r="BA14" i="69"/>
  <c r="AV15" i="69"/>
  <c r="AW15" i="69"/>
  <c r="AX15" i="69"/>
  <c r="AZ15" i="69"/>
  <c r="BA15" i="69"/>
  <c r="AV16" i="69"/>
  <c r="AW16" i="69"/>
  <c r="AX16" i="69"/>
  <c r="AZ16" i="69"/>
  <c r="BA16" i="69"/>
  <c r="AS17" i="69"/>
  <c r="AV17" i="69"/>
  <c r="AW17" i="69"/>
  <c r="AX17" i="69"/>
  <c r="AZ17" i="69"/>
  <c r="BA17" i="69"/>
  <c r="AV18" i="69"/>
  <c r="AW18" i="69"/>
  <c r="AX18" i="69"/>
  <c r="AZ18" i="69"/>
  <c r="BA18" i="69"/>
  <c r="AS19" i="69"/>
  <c r="AV19" i="69"/>
  <c r="AW19" i="69"/>
  <c r="AX19" i="69"/>
  <c r="AZ19" i="69"/>
  <c r="BA19" i="69"/>
  <c r="AV20" i="69"/>
  <c r="AW20" i="69"/>
  <c r="AX20" i="69"/>
  <c r="AZ20" i="69"/>
  <c r="BA20" i="69"/>
  <c r="AV21" i="69"/>
  <c r="AW21" i="69"/>
  <c r="AX21" i="69"/>
  <c r="AZ21" i="69"/>
  <c r="BA21" i="69"/>
  <c r="AV22" i="69"/>
  <c r="AW22" i="69"/>
  <c r="AX22" i="69"/>
  <c r="AZ22" i="69"/>
  <c r="BA22" i="69"/>
  <c r="AV23" i="69"/>
  <c r="AW23" i="69"/>
  <c r="AX23" i="69"/>
  <c r="AZ23" i="69"/>
  <c r="BA23" i="69"/>
  <c r="AV24" i="69"/>
  <c r="AW24" i="69"/>
  <c r="AX24" i="69"/>
  <c r="AZ24" i="69"/>
  <c r="BA24" i="69"/>
  <c r="AV25" i="69"/>
  <c r="AW25" i="69"/>
  <c r="AX25" i="69"/>
  <c r="AZ25" i="69"/>
  <c r="BA25" i="69"/>
  <c r="AV26" i="69"/>
  <c r="AW26" i="69"/>
  <c r="AX26" i="69"/>
  <c r="AZ26" i="69"/>
  <c r="BA26" i="69"/>
  <c r="AV31" i="69"/>
  <c r="AW31" i="69"/>
  <c r="AX31" i="69"/>
  <c r="AZ31" i="69"/>
  <c r="BA31" i="69"/>
  <c r="AV32" i="69"/>
  <c r="AW32" i="69"/>
  <c r="AX32" i="69"/>
  <c r="AZ32" i="69"/>
  <c r="BA32" i="69"/>
  <c r="AV33" i="69"/>
  <c r="AW33" i="69"/>
  <c r="AX33" i="69"/>
  <c r="AZ33" i="69"/>
  <c r="BA33" i="69"/>
  <c r="AV34" i="69"/>
  <c r="AW34" i="69"/>
  <c r="AX34" i="69"/>
  <c r="AZ34" i="69"/>
  <c r="BA34" i="69"/>
  <c r="AV35" i="69"/>
  <c r="AW35" i="69"/>
  <c r="AX35" i="69"/>
  <c r="AZ35" i="69"/>
  <c r="BA35" i="69"/>
  <c r="AV36" i="69"/>
  <c r="AW36" i="69"/>
  <c r="AX36" i="69"/>
  <c r="AZ36" i="69"/>
  <c r="BA36" i="69"/>
  <c r="AV37" i="69"/>
  <c r="AW37" i="69"/>
  <c r="AX37" i="69"/>
  <c r="AZ37" i="69"/>
  <c r="BA37" i="69"/>
  <c r="AV38" i="69"/>
  <c r="AW38" i="69"/>
  <c r="AX38" i="69"/>
  <c r="AZ38" i="69"/>
  <c r="BA38" i="69"/>
  <c r="AV39" i="69"/>
  <c r="AW39" i="69"/>
  <c r="AX39" i="69"/>
  <c r="AZ39" i="69"/>
  <c r="BA39" i="69"/>
  <c r="AV40" i="69"/>
  <c r="AW40" i="69"/>
  <c r="AX40" i="69"/>
  <c r="AZ40" i="69"/>
  <c r="BA40" i="69"/>
  <c r="AV41" i="69"/>
  <c r="AW41" i="69"/>
  <c r="AX41" i="69"/>
  <c r="AZ41" i="69"/>
  <c r="BA41" i="69"/>
  <c r="AV42" i="69"/>
  <c r="AW42" i="69"/>
  <c r="AX42" i="69"/>
  <c r="AZ42" i="69"/>
  <c r="BA42" i="69"/>
  <c r="AV43" i="69"/>
  <c r="AW43" i="69"/>
  <c r="AX43" i="69"/>
  <c r="AZ43" i="69"/>
  <c r="BA43" i="69"/>
  <c r="AV44" i="69"/>
  <c r="AW44" i="69"/>
  <c r="AX44" i="69"/>
  <c r="AZ44" i="69"/>
  <c r="BA44" i="69"/>
  <c r="AV45" i="69"/>
  <c r="AW45" i="69"/>
  <c r="AX45" i="69"/>
  <c r="AZ45" i="69"/>
  <c r="BA45" i="69"/>
  <c r="AV46" i="69"/>
  <c r="AW46" i="69"/>
  <c r="AX46" i="69"/>
  <c r="AZ46" i="69"/>
  <c r="BA46" i="69"/>
  <c r="AV47" i="69"/>
  <c r="AW47" i="69"/>
  <c r="AX47" i="69"/>
  <c r="AZ47" i="69"/>
  <c r="BA47" i="69"/>
  <c r="AV48" i="69"/>
  <c r="AW48" i="69"/>
  <c r="AX48" i="69"/>
  <c r="AZ48" i="69"/>
  <c r="BA48" i="69"/>
  <c r="AV49" i="69"/>
  <c r="AW49" i="69"/>
  <c r="AX49" i="69"/>
  <c r="AZ49" i="69"/>
  <c r="BA49" i="69"/>
  <c r="AV50" i="69"/>
  <c r="AW50" i="69"/>
  <c r="AX50" i="69"/>
  <c r="AZ50" i="69"/>
  <c r="BA50" i="69"/>
  <c r="AV51" i="69"/>
  <c r="AW51" i="69"/>
  <c r="AX51" i="69"/>
  <c r="AZ51" i="69"/>
  <c r="BA51" i="69"/>
  <c r="AV52" i="69"/>
  <c r="AW52" i="69"/>
  <c r="AX52" i="69"/>
  <c r="AZ52" i="69"/>
  <c r="BA52" i="69"/>
  <c r="AV53" i="69"/>
  <c r="AW53" i="69"/>
  <c r="AX53" i="69"/>
  <c r="AZ53" i="69"/>
  <c r="BA53" i="69"/>
  <c r="AV54" i="69"/>
  <c r="AW54" i="69"/>
  <c r="AX54" i="69"/>
  <c r="AZ54" i="69"/>
  <c r="BA54" i="69"/>
  <c r="AV55" i="69"/>
  <c r="AW55" i="69"/>
  <c r="AX55" i="69"/>
  <c r="AZ55" i="69"/>
  <c r="BA55" i="69"/>
  <c r="AV56" i="69"/>
  <c r="AW56" i="69"/>
  <c r="AX56" i="69"/>
  <c r="AZ56" i="69"/>
  <c r="BA56" i="69"/>
  <c r="AS57" i="69"/>
  <c r="AV57" i="69"/>
  <c r="AW57" i="69"/>
  <c r="AX57" i="69"/>
  <c r="AZ57" i="69"/>
  <c r="BA57" i="69"/>
  <c r="AV58" i="69"/>
  <c r="AW58" i="69"/>
  <c r="AX58" i="69"/>
  <c r="AZ58" i="69"/>
  <c r="BA58" i="69"/>
  <c r="AV59" i="69"/>
  <c r="AW59" i="69"/>
  <c r="AX59" i="69"/>
  <c r="AZ59" i="69"/>
  <c r="BA59" i="69"/>
  <c r="AV60" i="69"/>
  <c r="AW60" i="69"/>
  <c r="AX60" i="69"/>
  <c r="AZ60" i="69"/>
  <c r="BA60" i="69"/>
  <c r="AV61" i="69"/>
  <c r="AW61" i="69"/>
  <c r="AX61" i="69"/>
  <c r="AZ61" i="69"/>
  <c r="BA61" i="69"/>
  <c r="AV62" i="69"/>
  <c r="AW62" i="69"/>
  <c r="AX62" i="69"/>
  <c r="AZ62" i="69"/>
  <c r="BA62" i="69"/>
  <c r="AV63" i="69"/>
  <c r="AW63" i="69"/>
  <c r="AX63" i="69"/>
  <c r="AZ63" i="69"/>
  <c r="BA63" i="69"/>
  <c r="AV64" i="69"/>
  <c r="AW64" i="69"/>
  <c r="AX64" i="69"/>
  <c r="AZ64" i="69"/>
  <c r="BA64" i="69"/>
  <c r="AV65" i="69"/>
  <c r="AW65" i="69"/>
  <c r="AX65" i="69"/>
  <c r="AY65" i="69"/>
  <c r="AZ65" i="69"/>
  <c r="BA65" i="69"/>
  <c r="C67" i="69"/>
  <c r="C68" i="69"/>
  <c r="C69" i="69"/>
  <c r="C70" i="69"/>
  <c r="B2" i="68"/>
  <c r="B3" i="68"/>
  <c r="B4" i="68"/>
  <c r="B5" i="68"/>
  <c r="B14" i="68"/>
  <c r="B15" i="63"/>
  <c r="B5" i="63"/>
  <c r="B4" i="63"/>
  <c r="B3" i="63"/>
  <c r="B2" i="63"/>
  <c r="B16" i="63"/>
  <c r="B17" i="63"/>
  <c r="B17" i="66"/>
  <c r="C74" i="65"/>
  <c r="C73" i="65"/>
  <c r="C72" i="65"/>
  <c r="AP66" i="65" a="1"/>
  <c r="AP66" i="65" s="1"/>
  <c r="AO66" i="65" a="1"/>
  <c r="AO66" i="65" s="1"/>
  <c r="AN66" i="65" a="1"/>
  <c r="AN66" i="65" s="1"/>
  <c r="AM66" i="65" a="1"/>
  <c r="AM66" i="65" s="1"/>
  <c r="AL66" i="65" a="1"/>
  <c r="AL66" i="65" s="1"/>
  <c r="AK66" i="65" a="1"/>
  <c r="AK66" i="65" s="1"/>
  <c r="AJ66" i="65" a="1"/>
  <c r="AJ66" i="65" s="1"/>
  <c r="AP64" i="65" a="1"/>
  <c r="AP64" i="65" s="1"/>
  <c r="AO64" i="65" a="1"/>
  <c r="AO64" i="65" s="1"/>
  <c r="AN64" i="65" a="1"/>
  <c r="AN64" i="65" s="1"/>
  <c r="AM64" i="65" a="1"/>
  <c r="AM64" i="65" s="1"/>
  <c r="AL64" i="65" a="1"/>
  <c r="AL64" i="65" s="1"/>
  <c r="AK64" i="65" a="1"/>
  <c r="AK64" i="65" s="1"/>
  <c r="AJ64" i="65" a="1"/>
  <c r="AJ64" i="65" s="1"/>
  <c r="AP62" i="65" a="1"/>
  <c r="AP62" i="65" s="1"/>
  <c r="AO62" i="65" a="1"/>
  <c r="AO62" i="65" s="1"/>
  <c r="AN62" i="65" a="1"/>
  <c r="AN62" i="65" s="1"/>
  <c r="AM62" i="65" a="1"/>
  <c r="AM62" i="65" s="1"/>
  <c r="AL62" i="65" a="1"/>
  <c r="AL62" i="65" s="1"/>
  <c r="AK62" i="65" a="1"/>
  <c r="AK62" i="65" s="1"/>
  <c r="AJ62" i="65" a="1"/>
  <c r="AJ62" i="65" s="1"/>
  <c r="AP60" i="65" a="1"/>
  <c r="AP60" i="65" s="1"/>
  <c r="AO60" i="65" a="1"/>
  <c r="AO60" i="65" s="1"/>
  <c r="AN60" i="65" a="1"/>
  <c r="AN60" i="65" s="1"/>
  <c r="AM60" i="65" a="1"/>
  <c r="AM60" i="65" s="1"/>
  <c r="AL60" i="65" a="1"/>
  <c r="AL60" i="65" s="1"/>
  <c r="AK60" i="65" a="1"/>
  <c r="AK60" i="65" s="1"/>
  <c r="AJ60" i="65" a="1"/>
  <c r="AJ60" i="65" s="1"/>
  <c r="AP58" i="65" a="1"/>
  <c r="AP58" i="65" s="1"/>
  <c r="AO58" i="65" a="1"/>
  <c r="AO58" i="65" s="1"/>
  <c r="AN58" i="65" a="1"/>
  <c r="AN58" i="65" s="1"/>
  <c r="AM58" i="65" a="1"/>
  <c r="AM58" i="65" s="1"/>
  <c r="AL58" i="65" a="1"/>
  <c r="AL58" i="65" s="1"/>
  <c r="AK58" i="65" a="1"/>
  <c r="AK58" i="65" s="1"/>
  <c r="AJ58" i="65" a="1"/>
  <c r="AJ58" i="65" s="1"/>
  <c r="AP56" i="65" a="1"/>
  <c r="AP56" i="65" s="1"/>
  <c r="AO56" i="65" a="1"/>
  <c r="AO56" i="65" s="1"/>
  <c r="AN56" i="65" a="1"/>
  <c r="AN56" i="65" s="1"/>
  <c r="AM56" i="65" a="1"/>
  <c r="AM56" i="65" s="1"/>
  <c r="AL56" i="65" a="1"/>
  <c r="AL56" i="65" s="1"/>
  <c r="AK56" i="65" a="1"/>
  <c r="AK56" i="65" s="1"/>
  <c r="AJ56" i="65" a="1"/>
  <c r="AJ56" i="65" s="1"/>
  <c r="AP54" i="65" a="1"/>
  <c r="AP54" i="65" s="1"/>
  <c r="AO54" i="65" a="1"/>
  <c r="AO54" i="65" s="1"/>
  <c r="AN54" i="65" a="1"/>
  <c r="AN54" i="65" s="1"/>
  <c r="AM54" i="65" a="1"/>
  <c r="AM54" i="65" s="1"/>
  <c r="AL54" i="65" a="1"/>
  <c r="AL54" i="65" s="1"/>
  <c r="AK54" i="65" a="1"/>
  <c r="AK54" i="65" s="1"/>
  <c r="AJ54" i="65" a="1"/>
  <c r="AJ54" i="65" s="1"/>
  <c r="AP52" i="65" a="1"/>
  <c r="AP52" i="65" s="1"/>
  <c r="AO52" i="65" a="1"/>
  <c r="AO52" i="65" s="1"/>
  <c r="AN52" i="65" a="1"/>
  <c r="AN52" i="65" s="1"/>
  <c r="AM52" i="65" a="1"/>
  <c r="AM52" i="65" s="1"/>
  <c r="AL52" i="65" a="1"/>
  <c r="AL52" i="65" s="1"/>
  <c r="AK52" i="65" a="1"/>
  <c r="AK52" i="65" s="1"/>
  <c r="AJ52" i="65" a="1"/>
  <c r="AJ52" i="65" s="1"/>
  <c r="AP50" i="65" a="1"/>
  <c r="AP50" i="65" s="1"/>
  <c r="AO50" i="65" a="1"/>
  <c r="AO50" i="65" s="1"/>
  <c r="AN50" i="65" a="1"/>
  <c r="AN50" i="65" s="1"/>
  <c r="AM50" i="65" a="1"/>
  <c r="AM50" i="65" s="1"/>
  <c r="AL50" i="65" a="1"/>
  <c r="AL50" i="65" s="1"/>
  <c r="AK50" i="65" a="1"/>
  <c r="AK50" i="65" s="1"/>
  <c r="AJ50" i="65" a="1"/>
  <c r="AJ50" i="65" s="1"/>
  <c r="AP48" i="65" a="1"/>
  <c r="AP48" i="65" s="1"/>
  <c r="AO48" i="65" a="1"/>
  <c r="AO48" i="65" s="1"/>
  <c r="AN48" i="65" a="1"/>
  <c r="AN48" i="65" s="1"/>
  <c r="AM48" i="65" a="1"/>
  <c r="AM48" i="65" s="1"/>
  <c r="AL48" i="65" a="1"/>
  <c r="AL48" i="65" s="1"/>
  <c r="AK48" i="65" a="1"/>
  <c r="AK48" i="65" s="1"/>
  <c r="AJ48" i="65" a="1"/>
  <c r="AJ48" i="65" s="1"/>
  <c r="AP46" i="65" a="1"/>
  <c r="AP46" i="65" s="1"/>
  <c r="AO46" i="65" a="1"/>
  <c r="AO46" i="65" s="1"/>
  <c r="AN46" i="65" a="1"/>
  <c r="AN46" i="65" s="1"/>
  <c r="AM46" i="65" a="1"/>
  <c r="AM46" i="65" s="1"/>
  <c r="AL46" i="65" a="1"/>
  <c r="AL46" i="65" s="1"/>
  <c r="AK46" i="65" a="1"/>
  <c r="AK46" i="65" s="1"/>
  <c r="AJ46" i="65" a="1"/>
  <c r="AJ46" i="65" s="1"/>
  <c r="AP44" i="65" a="1"/>
  <c r="AP44" i="65" s="1"/>
  <c r="AO44" i="65" a="1"/>
  <c r="AO44" i="65" s="1"/>
  <c r="AN44" i="65" a="1"/>
  <c r="AN44" i="65" s="1"/>
  <c r="AM44" i="65" a="1"/>
  <c r="AM44" i="65" s="1"/>
  <c r="AL44" i="65" a="1"/>
  <c r="AL44" i="65" s="1"/>
  <c r="AK44" i="65" a="1"/>
  <c r="AK44" i="65" s="1"/>
  <c r="AJ44" i="65" a="1"/>
  <c r="AJ44" i="65" s="1"/>
  <c r="AP42" i="65" a="1"/>
  <c r="AP42" i="65" s="1"/>
  <c r="AO42" i="65" a="1"/>
  <c r="AO42" i="65" s="1"/>
  <c r="AN42" i="65" a="1"/>
  <c r="AN42" i="65" s="1"/>
  <c r="AM42" i="65" a="1"/>
  <c r="AM42" i="65" s="1"/>
  <c r="AL42" i="65" a="1"/>
  <c r="AL42" i="65" s="1"/>
  <c r="AK42" i="65" a="1"/>
  <c r="AK42" i="65" s="1"/>
  <c r="AJ42" i="65" a="1"/>
  <c r="AJ42" i="65" s="1"/>
  <c r="AP40" i="65" a="1"/>
  <c r="AP40" i="65" s="1"/>
  <c r="AO40" i="65" a="1"/>
  <c r="AO40" i="65" s="1"/>
  <c r="AN40" i="65" a="1"/>
  <c r="AN40" i="65" s="1"/>
  <c r="AM40" i="65" a="1"/>
  <c r="AM40" i="65" s="1"/>
  <c r="AL40" i="65" a="1"/>
  <c r="AL40" i="65" s="1"/>
  <c r="AK40" i="65" a="1"/>
  <c r="AK40" i="65" s="1"/>
  <c r="AJ40" i="65" a="1"/>
  <c r="AJ40" i="65" s="1"/>
  <c r="AP38" i="65" a="1"/>
  <c r="AP38" i="65" s="1"/>
  <c r="AO38" i="65" a="1"/>
  <c r="AO38" i="65" s="1"/>
  <c r="AN38" i="65" a="1"/>
  <c r="AN38" i="65" s="1"/>
  <c r="AM38" i="65" a="1"/>
  <c r="AM38" i="65" s="1"/>
  <c r="AL38" i="65" a="1"/>
  <c r="AL38" i="65" s="1"/>
  <c r="AK38" i="65" a="1"/>
  <c r="AK38" i="65" s="1"/>
  <c r="AJ38" i="65" a="1"/>
  <c r="AJ38" i="65" s="1"/>
  <c r="AP36" i="65" a="1"/>
  <c r="AP36" i="65" s="1"/>
  <c r="AO36" i="65" a="1"/>
  <c r="AO36" i="65" s="1"/>
  <c r="AN36" i="65" a="1"/>
  <c r="AN36" i="65" s="1"/>
  <c r="AM36" i="65" a="1"/>
  <c r="AM36" i="65" s="1"/>
  <c r="AL36" i="65" a="1"/>
  <c r="AL36" i="65" s="1"/>
  <c r="AK36" i="65" a="1"/>
  <c r="AK36" i="65" s="1"/>
  <c r="AJ36" i="65" a="1"/>
  <c r="AJ36" i="65" s="1"/>
  <c r="AP34" i="65" a="1"/>
  <c r="AP34" i="65" s="1"/>
  <c r="AO34" i="65" a="1"/>
  <c r="AO34" i="65" s="1"/>
  <c r="AN34" i="65" a="1"/>
  <c r="AN34" i="65" s="1"/>
  <c r="AM34" i="65" a="1"/>
  <c r="AM34" i="65" s="1"/>
  <c r="AL34" i="65" a="1"/>
  <c r="AL34" i="65" s="1"/>
  <c r="AK34" i="65" a="1"/>
  <c r="AK34" i="65" s="1"/>
  <c r="AJ34" i="65" a="1"/>
  <c r="AJ34" i="65" s="1"/>
  <c r="AP32" i="65" a="1"/>
  <c r="AP32" i="65" s="1"/>
  <c r="AO32" i="65" a="1"/>
  <c r="AO32" i="65" s="1"/>
  <c r="AN32" i="65" a="1"/>
  <c r="AN32" i="65" s="1"/>
  <c r="AM32" i="65" a="1"/>
  <c r="AM32" i="65" s="1"/>
  <c r="AL32" i="65" a="1"/>
  <c r="AL32" i="65" s="1"/>
  <c r="AK32" i="65" a="1"/>
  <c r="AK32" i="65" s="1"/>
  <c r="AJ32" i="65" a="1"/>
  <c r="AJ32" i="65" s="1"/>
  <c r="AP30" i="65" a="1"/>
  <c r="AP30" i="65" s="1"/>
  <c r="AO30" i="65" a="1"/>
  <c r="AO30" i="65" s="1"/>
  <c r="AN30" i="65" a="1"/>
  <c r="AN30" i="65" s="1"/>
  <c r="AM30" i="65" a="1"/>
  <c r="AM30" i="65" s="1"/>
  <c r="AL30" i="65" a="1"/>
  <c r="AL30" i="65" s="1"/>
  <c r="AK30" i="65" a="1"/>
  <c r="AK30" i="65" s="1"/>
  <c r="AJ30" i="65" a="1"/>
  <c r="AJ30" i="65" s="1"/>
  <c r="AP28" i="65" a="1"/>
  <c r="AP28" i="65" s="1"/>
  <c r="AO28" i="65" a="1"/>
  <c r="AO28" i="65" s="1"/>
  <c r="AN28" i="65" a="1"/>
  <c r="AN28" i="65" s="1"/>
  <c r="AM28" i="65" a="1"/>
  <c r="AM28" i="65" s="1"/>
  <c r="AL28" i="65" a="1"/>
  <c r="AL28" i="65" s="1"/>
  <c r="AK28" i="65" a="1"/>
  <c r="AK28" i="65" s="1"/>
  <c r="AJ28" i="65" a="1"/>
  <c r="AJ28" i="65" s="1"/>
  <c r="AP26" i="65" a="1"/>
  <c r="AP26" i="65" s="1"/>
  <c r="AO26" i="65" a="1"/>
  <c r="AO26" i="65" s="1"/>
  <c r="AN26" i="65" a="1"/>
  <c r="AN26" i="65" s="1"/>
  <c r="AM26" i="65" a="1"/>
  <c r="AM26" i="65" s="1"/>
  <c r="AL26" i="65" a="1"/>
  <c r="AL26" i="65" s="1"/>
  <c r="AK26" i="65" a="1"/>
  <c r="AK26" i="65" s="1"/>
  <c r="AJ26" i="65" a="1"/>
  <c r="AJ26" i="65" s="1"/>
  <c r="AP24" i="65" a="1"/>
  <c r="AP24" i="65" s="1"/>
  <c r="AO24" i="65" a="1"/>
  <c r="AO24" i="65" s="1"/>
  <c r="AN24" i="65" a="1"/>
  <c r="AN24" i="65" s="1"/>
  <c r="AM24" i="65" a="1"/>
  <c r="AM24" i="65" s="1"/>
  <c r="AL24" i="65" a="1"/>
  <c r="AL24" i="65" s="1"/>
  <c r="AK24" i="65" a="1"/>
  <c r="AK24" i="65" s="1"/>
  <c r="AJ24" i="65" a="1"/>
  <c r="AJ24" i="65" s="1"/>
  <c r="AZ67" i="65"/>
  <c r="AY67" i="65"/>
  <c r="AX67" i="65"/>
  <c r="AW67" i="65"/>
  <c r="AV67" i="65"/>
  <c r="AP22" i="65" a="1"/>
  <c r="AP22" i="65" s="1"/>
  <c r="AO22" i="65" a="1"/>
  <c r="AO22" i="65" s="1"/>
  <c r="AN22" i="65" a="1"/>
  <c r="AN22" i="65" s="1"/>
  <c r="AM22" i="65" a="1"/>
  <c r="AM22" i="65" s="1"/>
  <c r="AL22" i="65" a="1"/>
  <c r="AL22" i="65" s="1"/>
  <c r="AK22" i="65" a="1"/>
  <c r="AK22" i="65" s="1"/>
  <c r="AJ22" i="65" a="1"/>
  <c r="AJ22" i="65" s="1"/>
  <c r="AP20" i="65" a="1"/>
  <c r="AP20" i="65" s="1"/>
  <c r="AO20" i="65" a="1"/>
  <c r="AO20" i="65" s="1"/>
  <c r="AN20" i="65" a="1"/>
  <c r="AN20" i="65" s="1"/>
  <c r="AM20" i="65" a="1"/>
  <c r="AM20" i="65" s="1"/>
  <c r="AL20" i="65" a="1"/>
  <c r="AL20" i="65" s="1"/>
  <c r="AK20" i="65" a="1"/>
  <c r="AK20" i="65" s="1"/>
  <c r="AJ20" i="65" a="1"/>
  <c r="AJ20" i="65" s="1"/>
  <c r="AP18" i="65" a="1"/>
  <c r="AP18" i="65" s="1"/>
  <c r="AO18" i="65" a="1"/>
  <c r="AO18" i="65" s="1"/>
  <c r="AN18" i="65" a="1"/>
  <c r="AN18" i="65" s="1"/>
  <c r="AM18" i="65" a="1"/>
  <c r="AM18" i="65" s="1"/>
  <c r="AL18" i="65" a="1"/>
  <c r="AL18" i="65" s="1"/>
  <c r="AK18" i="65" a="1"/>
  <c r="AK18" i="65" s="1"/>
  <c r="AJ18" i="65" a="1"/>
  <c r="AJ18" i="65" s="1"/>
  <c r="AP16" i="65" a="1"/>
  <c r="AP16" i="65" s="1"/>
  <c r="AO16" i="65" a="1"/>
  <c r="AO16" i="65" s="1"/>
  <c r="AN16" i="65" a="1"/>
  <c r="AN16" i="65" s="1"/>
  <c r="AM16" i="65" a="1"/>
  <c r="AM16" i="65" s="1"/>
  <c r="AL16" i="65" a="1"/>
  <c r="AL16" i="65" s="1"/>
  <c r="AK16" i="65" a="1"/>
  <c r="AK16" i="65" s="1"/>
  <c r="AJ16" i="65" a="1"/>
  <c r="AJ16" i="65" s="1"/>
  <c r="AP14" i="65" a="1"/>
  <c r="AP14" i="65" s="1"/>
  <c r="AO14" i="65" a="1"/>
  <c r="AO14" i="65" s="1"/>
  <c r="AN14" i="65" a="1"/>
  <c r="AN14" i="65" s="1"/>
  <c r="AM14" i="65" a="1"/>
  <c r="AM14" i="65" s="1"/>
  <c r="AL14" i="65" a="1"/>
  <c r="AL14" i="65" s="1"/>
  <c r="AK14" i="65" a="1"/>
  <c r="AK14" i="65" s="1"/>
  <c r="AJ14" i="65" a="1"/>
  <c r="AJ14" i="65" s="1"/>
  <c r="AP12" i="65" a="1"/>
  <c r="AP12" i="65" s="1"/>
  <c r="AO12" i="65" a="1"/>
  <c r="AO12" i="65" s="1"/>
  <c r="AN12" i="65" a="1"/>
  <c r="AN12" i="65" s="1"/>
  <c r="AM12" i="65" a="1"/>
  <c r="AM12" i="65" s="1"/>
  <c r="AL12" i="65" a="1"/>
  <c r="AL12" i="65" s="1"/>
  <c r="AK12" i="65" a="1"/>
  <c r="AK12" i="65" s="1"/>
  <c r="AJ12" i="65" a="1"/>
  <c r="AJ12" i="65" s="1"/>
  <c r="AP10" i="65" a="1"/>
  <c r="AP10" i="65" s="1"/>
  <c r="AO10" i="65" a="1"/>
  <c r="AO10" i="65" s="1"/>
  <c r="AN10" i="65" a="1"/>
  <c r="AN10" i="65" s="1"/>
  <c r="AM10" i="65" a="1"/>
  <c r="AM10" i="65" s="1"/>
  <c r="AL10" i="65" a="1"/>
  <c r="AL10" i="65" s="1"/>
  <c r="AK10" i="65" a="1"/>
  <c r="AK10" i="65" s="1"/>
  <c r="AJ10" i="65" a="1"/>
  <c r="AJ10" i="65" s="1"/>
  <c r="AP8" i="65" a="1"/>
  <c r="AP8" i="65" s="1"/>
  <c r="AO8" i="65" a="1"/>
  <c r="AO8" i="65" s="1"/>
  <c r="AN8" i="65" a="1"/>
  <c r="AN8" i="65" s="1"/>
  <c r="AM8" i="65" a="1"/>
  <c r="AM8" i="65" s="1"/>
  <c r="AL8" i="65" a="1"/>
  <c r="AL8" i="65" s="1"/>
  <c r="AK8" i="65" a="1"/>
  <c r="AK8" i="65" s="1"/>
  <c r="AJ8" i="65" a="1"/>
  <c r="AJ8" i="65" s="1"/>
  <c r="AZ6" i="65"/>
  <c r="AY6" i="65" a="1"/>
  <c r="AY6" i="65" s="1"/>
  <c r="AX6" i="65"/>
  <c r="AW6" i="65"/>
  <c r="AV6" i="65"/>
  <c r="AP6" i="65" a="1"/>
  <c r="AP6" i="65" s="1"/>
  <c r="AO6" i="65" a="1"/>
  <c r="AO6" i="65" s="1"/>
  <c r="AN6" i="65" a="1"/>
  <c r="AN6" i="65" s="1"/>
  <c r="AM6" i="65" a="1"/>
  <c r="AM6" i="65" s="1"/>
  <c r="AL6" i="65" a="1"/>
  <c r="AL6" i="65" s="1"/>
  <c r="AK6" i="65" a="1"/>
  <c r="AK6" i="65" s="1"/>
  <c r="AJ6" i="65" a="1"/>
  <c r="AJ6" i="65" s="1"/>
  <c r="C74" i="64"/>
  <c r="C73" i="64"/>
  <c r="C72" i="64"/>
  <c r="C71" i="64"/>
  <c r="AZ66" i="64"/>
  <c r="AY66" i="64" a="1"/>
  <c r="AY66" i="64" s="1"/>
  <c r="AX66" i="64"/>
  <c r="AW66" i="64"/>
  <c r="AV66" i="64"/>
  <c r="AP66" i="64" a="1"/>
  <c r="AP66" i="64" s="1"/>
  <c r="AO66" i="64" a="1"/>
  <c r="AO66" i="64" s="1"/>
  <c r="AN66" i="64" a="1"/>
  <c r="AN66" i="64" s="1"/>
  <c r="AM66" i="64" a="1"/>
  <c r="AM66" i="64" s="1"/>
  <c r="AL66" i="64" a="1"/>
  <c r="AL66" i="64" s="1"/>
  <c r="AK66" i="64" a="1"/>
  <c r="AK66" i="64" s="1"/>
  <c r="AJ66" i="64" a="1"/>
  <c r="AJ66" i="64" s="1"/>
  <c r="AZ64" i="64"/>
  <c r="AY64" i="64" a="1"/>
  <c r="AY64" i="64" s="1"/>
  <c r="AX64" i="64"/>
  <c r="AW64" i="64"/>
  <c r="AV64" i="64"/>
  <c r="AP64" i="64" a="1"/>
  <c r="AP64" i="64" s="1"/>
  <c r="AO64" i="64" a="1"/>
  <c r="AO64" i="64" s="1"/>
  <c r="AN64" i="64" a="1"/>
  <c r="AN64" i="64" s="1"/>
  <c r="AM64" i="64" a="1"/>
  <c r="AM64" i="64" s="1"/>
  <c r="AL64" i="64" a="1"/>
  <c r="AL64" i="64" s="1"/>
  <c r="AK64" i="64" a="1"/>
  <c r="AK64" i="64" s="1"/>
  <c r="AJ64" i="64" a="1"/>
  <c r="AJ64" i="64" s="1"/>
  <c r="AZ63" i="64"/>
  <c r="AY63" i="64" a="1"/>
  <c r="AY63" i="64" s="1"/>
  <c r="AX63" i="64"/>
  <c r="AW63" i="64"/>
  <c r="AV63" i="64"/>
  <c r="AP63" i="64" a="1"/>
  <c r="AP63" i="64" s="1"/>
  <c r="AO63" i="64" a="1"/>
  <c r="AO63" i="64" s="1"/>
  <c r="AN63" i="64" a="1"/>
  <c r="AN63" i="64" s="1"/>
  <c r="AM63" i="64" a="1"/>
  <c r="AM63" i="64" s="1"/>
  <c r="AL63" i="64" a="1"/>
  <c r="AL63" i="64" s="1"/>
  <c r="AK63" i="64" a="1"/>
  <c r="AK63" i="64" s="1"/>
  <c r="AJ63" i="64" a="1"/>
  <c r="AJ63" i="64" s="1"/>
  <c r="AZ62" i="64"/>
  <c r="AY62" i="64" a="1"/>
  <c r="AY62" i="64" s="1"/>
  <c r="AX62" i="64"/>
  <c r="AW62" i="64"/>
  <c r="AV62" i="64"/>
  <c r="AP62" i="64" a="1"/>
  <c r="AP62" i="64" s="1"/>
  <c r="AO62" i="64" a="1"/>
  <c r="AO62" i="64" s="1"/>
  <c r="AN62" i="64" a="1"/>
  <c r="AN62" i="64" s="1"/>
  <c r="AM62" i="64" a="1"/>
  <c r="AM62" i="64" s="1"/>
  <c r="AL62" i="64" a="1"/>
  <c r="AL62" i="64" s="1"/>
  <c r="AK62" i="64" a="1"/>
  <c r="AK62" i="64" s="1"/>
  <c r="AJ62" i="64" a="1"/>
  <c r="AJ62" i="64" s="1"/>
  <c r="AZ61" i="64"/>
  <c r="AY61" i="64" a="1"/>
  <c r="AY61" i="64" s="1"/>
  <c r="AX61" i="64"/>
  <c r="AW61" i="64"/>
  <c r="AV61" i="64"/>
  <c r="AP61" i="64" a="1"/>
  <c r="AP61" i="64" s="1"/>
  <c r="AO61" i="64" a="1"/>
  <c r="AO61" i="64" s="1"/>
  <c r="AN61" i="64" a="1"/>
  <c r="AN61" i="64" s="1"/>
  <c r="AM61" i="64" a="1"/>
  <c r="AM61" i="64" s="1"/>
  <c r="AL61" i="64" a="1"/>
  <c r="AL61" i="64" s="1"/>
  <c r="AK61" i="64" a="1"/>
  <c r="AK61" i="64" s="1"/>
  <c r="AJ61" i="64" a="1"/>
  <c r="AJ61" i="64" s="1"/>
  <c r="AZ60" i="64"/>
  <c r="AY60" i="64" a="1"/>
  <c r="AY60" i="64" s="1"/>
  <c r="AX60" i="64"/>
  <c r="AW60" i="64"/>
  <c r="AV60" i="64"/>
  <c r="AP60" i="64" a="1"/>
  <c r="AP60" i="64" s="1"/>
  <c r="AO60" i="64" a="1"/>
  <c r="AO60" i="64" s="1"/>
  <c r="AN60" i="64" a="1"/>
  <c r="AN60" i="64" s="1"/>
  <c r="AM60" i="64" a="1"/>
  <c r="AM60" i="64" s="1"/>
  <c r="AL60" i="64" a="1"/>
  <c r="AL60" i="64" s="1"/>
  <c r="AK60" i="64" a="1"/>
  <c r="AK60" i="64" s="1"/>
  <c r="AJ60" i="64" a="1"/>
  <c r="AJ60" i="64" s="1"/>
  <c r="AZ59" i="64"/>
  <c r="AY59" i="64" a="1"/>
  <c r="AY59" i="64" s="1"/>
  <c r="AX59" i="64"/>
  <c r="AW59" i="64"/>
  <c r="AV59" i="64"/>
  <c r="AP59" i="64" a="1"/>
  <c r="AP59" i="64" s="1"/>
  <c r="AO59" i="64" a="1"/>
  <c r="AO59" i="64" s="1"/>
  <c r="AN59" i="64" a="1"/>
  <c r="AN59" i="64" s="1"/>
  <c r="AM59" i="64" a="1"/>
  <c r="AM59" i="64" s="1"/>
  <c r="AL59" i="64" a="1"/>
  <c r="AL59" i="64" s="1"/>
  <c r="AK59" i="64" a="1"/>
  <c r="AK59" i="64" s="1"/>
  <c r="AJ59" i="64" a="1"/>
  <c r="AJ59" i="64" s="1"/>
  <c r="AZ58" i="64"/>
  <c r="AY58" i="64" a="1"/>
  <c r="AY58" i="64" s="1"/>
  <c r="AX58" i="64"/>
  <c r="AW58" i="64"/>
  <c r="AV58" i="64"/>
  <c r="AP58" i="64" a="1"/>
  <c r="AP58" i="64" s="1"/>
  <c r="AO58" i="64" a="1"/>
  <c r="AO58" i="64" s="1"/>
  <c r="AN58" i="64" a="1"/>
  <c r="AN58" i="64" s="1"/>
  <c r="AM58" i="64" a="1"/>
  <c r="AM58" i="64" s="1"/>
  <c r="AL58" i="64" a="1"/>
  <c r="AL58" i="64" s="1"/>
  <c r="AK58" i="64" a="1"/>
  <c r="AK58" i="64" s="1"/>
  <c r="AJ58" i="64" a="1"/>
  <c r="AJ58" i="64" s="1"/>
  <c r="AZ57" i="64"/>
  <c r="AY57" i="64" a="1"/>
  <c r="AY57" i="64" s="1"/>
  <c r="AX57" i="64"/>
  <c r="AW57" i="64"/>
  <c r="AV57" i="64"/>
  <c r="AP57" i="64" a="1"/>
  <c r="AP57" i="64" s="1"/>
  <c r="AO57" i="64" a="1"/>
  <c r="AO57" i="64" s="1"/>
  <c r="AN57" i="64" a="1"/>
  <c r="AN57" i="64" s="1"/>
  <c r="AM57" i="64" a="1"/>
  <c r="AM57" i="64" s="1"/>
  <c r="AL57" i="64" a="1"/>
  <c r="AL57" i="64" s="1"/>
  <c r="AK57" i="64" a="1"/>
  <c r="AK57" i="64" s="1"/>
  <c r="AJ57" i="64" a="1"/>
  <c r="AJ57" i="64" s="1"/>
  <c r="AZ56" i="64"/>
  <c r="AY56" i="64" a="1"/>
  <c r="AY56" i="64" s="1"/>
  <c r="AX56" i="64"/>
  <c r="AW56" i="64"/>
  <c r="AV56" i="64"/>
  <c r="AP56" i="64" a="1"/>
  <c r="AP56" i="64" s="1"/>
  <c r="AO56" i="64" a="1"/>
  <c r="AO56" i="64" s="1"/>
  <c r="AN56" i="64" a="1"/>
  <c r="AN56" i="64" s="1"/>
  <c r="AM56" i="64" a="1"/>
  <c r="AM56" i="64" s="1"/>
  <c r="AL56" i="64" a="1"/>
  <c r="AL56" i="64" s="1"/>
  <c r="AK56" i="64" a="1"/>
  <c r="AK56" i="64" s="1"/>
  <c r="AJ56" i="64" a="1"/>
  <c r="AJ56" i="64" s="1"/>
  <c r="AZ55" i="64"/>
  <c r="AY55" i="64" a="1"/>
  <c r="AY55" i="64" s="1"/>
  <c r="AX55" i="64"/>
  <c r="AW55" i="64"/>
  <c r="AV55" i="64"/>
  <c r="AP55" i="64" a="1"/>
  <c r="AP55" i="64" s="1"/>
  <c r="AO55" i="64" a="1"/>
  <c r="AO55" i="64" s="1"/>
  <c r="AN55" i="64" a="1"/>
  <c r="AN55" i="64" s="1"/>
  <c r="AM55" i="64" a="1"/>
  <c r="AM55" i="64" s="1"/>
  <c r="AL55" i="64" a="1"/>
  <c r="AL55" i="64" s="1"/>
  <c r="AK55" i="64" a="1"/>
  <c r="AK55" i="64" s="1"/>
  <c r="AJ55" i="64" a="1"/>
  <c r="AJ55" i="64" s="1"/>
  <c r="AZ54" i="64"/>
  <c r="AY54" i="64" a="1"/>
  <c r="AY54" i="64" s="1"/>
  <c r="AX54" i="64"/>
  <c r="AW54" i="64"/>
  <c r="AV54" i="64"/>
  <c r="AP54" i="64" a="1"/>
  <c r="AP54" i="64" s="1"/>
  <c r="AO54" i="64" a="1"/>
  <c r="AO54" i="64" s="1"/>
  <c r="AN54" i="64" a="1"/>
  <c r="AN54" i="64" s="1"/>
  <c r="AM54" i="64" a="1"/>
  <c r="AM54" i="64" s="1"/>
  <c r="AL54" i="64" a="1"/>
  <c r="AL54" i="64" s="1"/>
  <c r="AK54" i="64" a="1"/>
  <c r="AK54" i="64" s="1"/>
  <c r="AJ54" i="64" a="1"/>
  <c r="AJ54" i="64" s="1"/>
  <c r="AZ53" i="64"/>
  <c r="AY53" i="64" a="1"/>
  <c r="AY53" i="64" s="1"/>
  <c r="AX53" i="64"/>
  <c r="AW53" i="64"/>
  <c r="AV53" i="64"/>
  <c r="AP53" i="64" a="1"/>
  <c r="AP53" i="64" s="1"/>
  <c r="AO53" i="64" a="1"/>
  <c r="AO53" i="64" s="1"/>
  <c r="AN53" i="64" a="1"/>
  <c r="AN53" i="64" s="1"/>
  <c r="AM53" i="64" a="1"/>
  <c r="AM53" i="64" s="1"/>
  <c r="AL53" i="64" a="1"/>
  <c r="AL53" i="64" s="1"/>
  <c r="AK53" i="64" a="1"/>
  <c r="AK53" i="64" s="1"/>
  <c r="AJ53" i="64" a="1"/>
  <c r="AJ53" i="64" s="1"/>
  <c r="AZ52" i="64"/>
  <c r="AY52" i="64" a="1"/>
  <c r="AY52" i="64" s="1"/>
  <c r="AX52" i="64"/>
  <c r="AW52" i="64"/>
  <c r="AV52" i="64"/>
  <c r="AP52" i="64" a="1"/>
  <c r="AP52" i="64" s="1"/>
  <c r="AO52" i="64" a="1"/>
  <c r="AO52" i="64" s="1"/>
  <c r="AN52" i="64" a="1"/>
  <c r="AN52" i="64" s="1"/>
  <c r="AM52" i="64" a="1"/>
  <c r="AM52" i="64" s="1"/>
  <c r="AL52" i="64" a="1"/>
  <c r="AL52" i="64" s="1"/>
  <c r="AK52" i="64" a="1"/>
  <c r="AK52" i="64" s="1"/>
  <c r="AJ52" i="64" a="1"/>
  <c r="AJ52" i="64" s="1"/>
  <c r="AZ51" i="64"/>
  <c r="AY51" i="64" a="1"/>
  <c r="AY51" i="64" s="1"/>
  <c r="AX51" i="64"/>
  <c r="AW51" i="64"/>
  <c r="AV51" i="64"/>
  <c r="AP51" i="64" a="1"/>
  <c r="AP51" i="64" s="1"/>
  <c r="AO51" i="64" a="1"/>
  <c r="AO51" i="64" s="1"/>
  <c r="AN51" i="64" a="1"/>
  <c r="AN51" i="64" s="1"/>
  <c r="AM51" i="64" a="1"/>
  <c r="AM51" i="64" s="1"/>
  <c r="AL51" i="64" a="1"/>
  <c r="AL51" i="64" s="1"/>
  <c r="AK51" i="64" a="1"/>
  <c r="AK51" i="64" s="1"/>
  <c r="AJ51" i="64" a="1"/>
  <c r="AJ51" i="64" s="1"/>
  <c r="AZ50" i="64"/>
  <c r="AY50" i="64" a="1"/>
  <c r="AY50" i="64" s="1"/>
  <c r="AX50" i="64"/>
  <c r="AW50" i="64"/>
  <c r="AV50" i="64"/>
  <c r="AP50" i="64" a="1"/>
  <c r="AP50" i="64" s="1"/>
  <c r="AO50" i="64" a="1"/>
  <c r="AO50" i="64" s="1"/>
  <c r="AN50" i="64" a="1"/>
  <c r="AN50" i="64" s="1"/>
  <c r="AM50" i="64" a="1"/>
  <c r="AM50" i="64" s="1"/>
  <c r="AL50" i="64" a="1"/>
  <c r="AL50" i="64" s="1"/>
  <c r="AK50" i="64" a="1"/>
  <c r="AK50" i="64" s="1"/>
  <c r="AJ50" i="64" a="1"/>
  <c r="AJ50" i="64" s="1"/>
  <c r="AZ49" i="64"/>
  <c r="AY49" i="64" a="1"/>
  <c r="AY49" i="64" s="1"/>
  <c r="AX49" i="64"/>
  <c r="AW49" i="64"/>
  <c r="AV49" i="64"/>
  <c r="AP49" i="64" a="1"/>
  <c r="AP49" i="64" s="1"/>
  <c r="AO49" i="64" a="1"/>
  <c r="AO49" i="64" s="1"/>
  <c r="AN49" i="64" a="1"/>
  <c r="AN49" i="64" s="1"/>
  <c r="AM49" i="64" a="1"/>
  <c r="AM49" i="64" s="1"/>
  <c r="AL49" i="64" a="1"/>
  <c r="AL49" i="64" s="1"/>
  <c r="AK49" i="64" a="1"/>
  <c r="AK49" i="64" s="1"/>
  <c r="AJ49" i="64" a="1"/>
  <c r="AJ49" i="64" s="1"/>
  <c r="AZ48" i="64"/>
  <c r="AY48" i="64" a="1"/>
  <c r="AY48" i="64" s="1"/>
  <c r="AX48" i="64"/>
  <c r="AW48" i="64"/>
  <c r="AV48" i="64"/>
  <c r="AP48" i="64" a="1"/>
  <c r="AP48" i="64" s="1"/>
  <c r="AO48" i="64" a="1"/>
  <c r="AO48" i="64" s="1"/>
  <c r="AN48" i="64" a="1"/>
  <c r="AN48" i="64" s="1"/>
  <c r="AM48" i="64" a="1"/>
  <c r="AM48" i="64" s="1"/>
  <c r="AL48" i="64" a="1"/>
  <c r="AL48" i="64" s="1"/>
  <c r="AK48" i="64" a="1"/>
  <c r="AK48" i="64" s="1"/>
  <c r="AJ48" i="64" a="1"/>
  <c r="AJ48" i="64" s="1"/>
  <c r="AZ47" i="64"/>
  <c r="AY47" i="64" a="1"/>
  <c r="AY47" i="64" s="1"/>
  <c r="AX47" i="64"/>
  <c r="AW47" i="64"/>
  <c r="AV47" i="64"/>
  <c r="AP47" i="64" a="1"/>
  <c r="AP47" i="64" s="1"/>
  <c r="AO47" i="64" a="1"/>
  <c r="AO47" i="64" s="1"/>
  <c r="AN47" i="64" a="1"/>
  <c r="AN47" i="64" s="1"/>
  <c r="AM47" i="64" a="1"/>
  <c r="AM47" i="64" s="1"/>
  <c r="AL47" i="64" a="1"/>
  <c r="AL47" i="64" s="1"/>
  <c r="AK47" i="64" a="1"/>
  <c r="AK47" i="64" s="1"/>
  <c r="AJ47" i="64" a="1"/>
  <c r="AJ47" i="64" s="1"/>
  <c r="AZ46" i="64"/>
  <c r="AY46" i="64" a="1"/>
  <c r="AY46" i="64" s="1"/>
  <c r="AX46" i="64"/>
  <c r="AW46" i="64"/>
  <c r="AV46" i="64"/>
  <c r="AP46" i="64" a="1"/>
  <c r="AP46" i="64" s="1"/>
  <c r="AO46" i="64" a="1"/>
  <c r="AO46" i="64" s="1"/>
  <c r="AN46" i="64" a="1"/>
  <c r="AN46" i="64" s="1"/>
  <c r="AM46" i="64" a="1"/>
  <c r="AM46" i="64" s="1"/>
  <c r="AL46" i="64" a="1"/>
  <c r="AL46" i="64" s="1"/>
  <c r="AK46" i="64" a="1"/>
  <c r="AK46" i="64" s="1"/>
  <c r="AJ46" i="64" a="1"/>
  <c r="AJ46" i="64" s="1"/>
  <c r="AZ45" i="64"/>
  <c r="AY45" i="64" a="1"/>
  <c r="AY45" i="64" s="1"/>
  <c r="AX45" i="64"/>
  <c r="AW45" i="64"/>
  <c r="AV45" i="64"/>
  <c r="AP45" i="64" a="1"/>
  <c r="AP45" i="64" s="1"/>
  <c r="AO45" i="64" a="1"/>
  <c r="AO45" i="64" s="1"/>
  <c r="AN45" i="64" a="1"/>
  <c r="AN45" i="64" s="1"/>
  <c r="AM45" i="64" a="1"/>
  <c r="AM45" i="64" s="1"/>
  <c r="AL45" i="64" a="1"/>
  <c r="AL45" i="64" s="1"/>
  <c r="AK45" i="64" a="1"/>
  <c r="AK45" i="64" s="1"/>
  <c r="AJ45" i="64" a="1"/>
  <c r="AJ45" i="64" s="1"/>
  <c r="AZ44" i="64"/>
  <c r="AY44" i="64" a="1"/>
  <c r="AY44" i="64" s="1"/>
  <c r="AX44" i="64"/>
  <c r="AW44" i="64"/>
  <c r="AV44" i="64"/>
  <c r="AP44" i="64" a="1"/>
  <c r="AP44" i="64" s="1"/>
  <c r="AO44" i="64" a="1"/>
  <c r="AO44" i="64" s="1"/>
  <c r="AN44" i="64" a="1"/>
  <c r="AN44" i="64" s="1"/>
  <c r="AM44" i="64" a="1"/>
  <c r="AM44" i="64" s="1"/>
  <c r="AL44" i="64" a="1"/>
  <c r="AL44" i="64" s="1"/>
  <c r="AK44" i="64" a="1"/>
  <c r="AK44" i="64" s="1"/>
  <c r="AJ44" i="64" a="1"/>
  <c r="AJ44" i="64" s="1"/>
  <c r="AZ43" i="64"/>
  <c r="AY43" i="64" a="1"/>
  <c r="AY43" i="64" s="1"/>
  <c r="AX43" i="64"/>
  <c r="AW43" i="64"/>
  <c r="AV43" i="64"/>
  <c r="AP43" i="64" a="1"/>
  <c r="AP43" i="64" s="1"/>
  <c r="AO43" i="64" a="1"/>
  <c r="AO43" i="64" s="1"/>
  <c r="AN43" i="64" a="1"/>
  <c r="AN43" i="64" s="1"/>
  <c r="AM43" i="64" a="1"/>
  <c r="AM43" i="64" s="1"/>
  <c r="AL43" i="64" a="1"/>
  <c r="AL43" i="64" s="1"/>
  <c r="AK43" i="64" a="1"/>
  <c r="AK43" i="64" s="1"/>
  <c r="AJ43" i="64" a="1"/>
  <c r="AJ43" i="64" s="1"/>
  <c r="AZ42" i="64"/>
  <c r="AY42" i="64" a="1"/>
  <c r="AY42" i="64" s="1"/>
  <c r="AX42" i="64"/>
  <c r="AW42" i="64"/>
  <c r="AV42" i="64"/>
  <c r="AP42" i="64" a="1"/>
  <c r="AP42" i="64" s="1"/>
  <c r="AO42" i="64" a="1"/>
  <c r="AO42" i="64" s="1"/>
  <c r="AN42" i="64" a="1"/>
  <c r="AN42" i="64" s="1"/>
  <c r="AM42" i="64" a="1"/>
  <c r="AM42" i="64" s="1"/>
  <c r="AL42" i="64" a="1"/>
  <c r="AL42" i="64" s="1"/>
  <c r="AK42" i="64" a="1"/>
  <c r="AK42" i="64" s="1"/>
  <c r="AJ42" i="64" a="1"/>
  <c r="AJ42" i="64" s="1"/>
  <c r="AZ41" i="64"/>
  <c r="AY41" i="64" a="1"/>
  <c r="AY41" i="64" s="1"/>
  <c r="AX41" i="64"/>
  <c r="AW41" i="64"/>
  <c r="AV41" i="64"/>
  <c r="AP41" i="64" a="1"/>
  <c r="AP41" i="64" s="1"/>
  <c r="AO41" i="64" a="1"/>
  <c r="AO41" i="64" s="1"/>
  <c r="AN41" i="64" a="1"/>
  <c r="AN41" i="64" s="1"/>
  <c r="AM41" i="64" a="1"/>
  <c r="AM41" i="64" s="1"/>
  <c r="AL41" i="64" a="1"/>
  <c r="AL41" i="64" s="1"/>
  <c r="AK41" i="64" a="1"/>
  <c r="AK41" i="64" s="1"/>
  <c r="AJ41" i="64" a="1"/>
  <c r="AJ41" i="64" s="1"/>
  <c r="AZ40" i="64"/>
  <c r="AY40" i="64" a="1"/>
  <c r="AY40" i="64" s="1"/>
  <c r="AX40" i="64"/>
  <c r="AW40" i="64"/>
  <c r="AV40" i="64"/>
  <c r="AP40" i="64" a="1"/>
  <c r="AP40" i="64" s="1"/>
  <c r="AO40" i="64" a="1"/>
  <c r="AO40" i="64" s="1"/>
  <c r="AN40" i="64" a="1"/>
  <c r="AN40" i="64" s="1"/>
  <c r="AM40" i="64" a="1"/>
  <c r="AM40" i="64" s="1"/>
  <c r="AL40" i="64" a="1"/>
  <c r="AL40" i="64" s="1"/>
  <c r="AK40" i="64" a="1"/>
  <c r="AK40" i="64" s="1"/>
  <c r="AJ40" i="64" a="1"/>
  <c r="AJ40" i="64" s="1"/>
  <c r="AZ39" i="64"/>
  <c r="AY39" i="64" a="1"/>
  <c r="AY39" i="64" s="1"/>
  <c r="AX39" i="64"/>
  <c r="AW39" i="64"/>
  <c r="AV39" i="64"/>
  <c r="AP39" i="64" a="1"/>
  <c r="AP39" i="64" s="1"/>
  <c r="AO39" i="64" a="1"/>
  <c r="AO39" i="64" s="1"/>
  <c r="AN39" i="64" a="1"/>
  <c r="AN39" i="64" s="1"/>
  <c r="AM39" i="64" a="1"/>
  <c r="AM39" i="64" s="1"/>
  <c r="AL39" i="64" a="1"/>
  <c r="AL39" i="64" s="1"/>
  <c r="AK39" i="64" a="1"/>
  <c r="AK39" i="64" s="1"/>
  <c r="AJ39" i="64" a="1"/>
  <c r="AJ39" i="64" s="1"/>
  <c r="AZ38" i="64"/>
  <c r="AY38" i="64" a="1"/>
  <c r="AY38" i="64" s="1"/>
  <c r="AX38" i="64"/>
  <c r="AW38" i="64"/>
  <c r="AV38" i="64"/>
  <c r="AP38" i="64" a="1"/>
  <c r="AP38" i="64" s="1"/>
  <c r="AO38" i="64" a="1"/>
  <c r="AO38" i="64" s="1"/>
  <c r="AN38" i="64" a="1"/>
  <c r="AN38" i="64" s="1"/>
  <c r="AM38" i="64" a="1"/>
  <c r="AM38" i="64" s="1"/>
  <c r="AL38" i="64" a="1"/>
  <c r="AL38" i="64" s="1"/>
  <c r="AK38" i="64" a="1"/>
  <c r="AK38" i="64" s="1"/>
  <c r="AJ38" i="64" a="1"/>
  <c r="AJ38" i="64" s="1"/>
  <c r="AZ37" i="64"/>
  <c r="AY37" i="64" a="1"/>
  <c r="AY37" i="64" s="1"/>
  <c r="AX37" i="64"/>
  <c r="AW37" i="64"/>
  <c r="AV37" i="64"/>
  <c r="AP37" i="64" a="1"/>
  <c r="AP37" i="64" s="1"/>
  <c r="AO37" i="64" a="1"/>
  <c r="AO37" i="64" s="1"/>
  <c r="AN37" i="64" a="1"/>
  <c r="AN37" i="64" s="1"/>
  <c r="AM37" i="64" a="1"/>
  <c r="AM37" i="64" s="1"/>
  <c r="AL37" i="64" a="1"/>
  <c r="AL37" i="64" s="1"/>
  <c r="AK37" i="64" a="1"/>
  <c r="AK37" i="64" s="1"/>
  <c r="AJ37" i="64" a="1"/>
  <c r="AJ37" i="64" s="1"/>
  <c r="AZ36" i="64"/>
  <c r="AY36" i="64" a="1"/>
  <c r="AY36" i="64" s="1"/>
  <c r="AX36" i="64"/>
  <c r="AW36" i="64"/>
  <c r="AV36" i="64"/>
  <c r="AP36" i="64" a="1"/>
  <c r="AP36" i="64" s="1"/>
  <c r="AO36" i="64" a="1"/>
  <c r="AO36" i="64" s="1"/>
  <c r="AN36" i="64" a="1"/>
  <c r="AN36" i="64" s="1"/>
  <c r="AM36" i="64" a="1"/>
  <c r="AM36" i="64" s="1"/>
  <c r="AL36" i="64" a="1"/>
  <c r="AL36" i="64" s="1"/>
  <c r="AK36" i="64" a="1"/>
  <c r="AK36" i="64" s="1"/>
  <c r="AJ36" i="64" a="1"/>
  <c r="AJ36" i="64" s="1"/>
  <c r="AZ35" i="64"/>
  <c r="AY35" i="64" a="1"/>
  <c r="AY35" i="64" s="1"/>
  <c r="AX35" i="64"/>
  <c r="AW35" i="64"/>
  <c r="AV35" i="64"/>
  <c r="AP35" i="64" a="1"/>
  <c r="AP35" i="64" s="1"/>
  <c r="AO35" i="64" a="1"/>
  <c r="AO35" i="64" s="1"/>
  <c r="AN35" i="64" a="1"/>
  <c r="AN35" i="64" s="1"/>
  <c r="AM35" i="64" a="1"/>
  <c r="AM35" i="64" s="1"/>
  <c r="AL35" i="64" a="1"/>
  <c r="AL35" i="64" s="1"/>
  <c r="AK35" i="64" a="1"/>
  <c r="AK35" i="64" s="1"/>
  <c r="AJ35" i="64" a="1"/>
  <c r="AJ35" i="64" s="1"/>
  <c r="AZ34" i="64"/>
  <c r="AY34" i="64" a="1"/>
  <c r="AY34" i="64" s="1"/>
  <c r="AX34" i="64"/>
  <c r="AW34" i="64"/>
  <c r="AV34" i="64"/>
  <c r="AP34" i="64" a="1"/>
  <c r="AP34" i="64" s="1"/>
  <c r="AO34" i="64" a="1"/>
  <c r="AO34" i="64" s="1"/>
  <c r="AN34" i="64" a="1"/>
  <c r="AN34" i="64" s="1"/>
  <c r="AM34" i="64" a="1"/>
  <c r="AM34" i="64" s="1"/>
  <c r="AL34" i="64" a="1"/>
  <c r="AL34" i="64" s="1"/>
  <c r="AK34" i="64" a="1"/>
  <c r="AK34" i="64" s="1"/>
  <c r="AJ34" i="64" a="1"/>
  <c r="AJ34" i="64" s="1"/>
  <c r="AZ33" i="64"/>
  <c r="AY33" i="64" a="1"/>
  <c r="AY33" i="64" s="1"/>
  <c r="AX33" i="64"/>
  <c r="AW33" i="64"/>
  <c r="AV33" i="64"/>
  <c r="AP33" i="64" a="1"/>
  <c r="AP33" i="64" s="1"/>
  <c r="AO33" i="64" a="1"/>
  <c r="AO33" i="64" s="1"/>
  <c r="AN33" i="64" a="1"/>
  <c r="AN33" i="64" s="1"/>
  <c r="AM33" i="64" a="1"/>
  <c r="AM33" i="64" s="1"/>
  <c r="AL33" i="64" a="1"/>
  <c r="AL33" i="64" s="1"/>
  <c r="AK33" i="64" a="1"/>
  <c r="AK33" i="64" s="1"/>
  <c r="AJ33" i="64" a="1"/>
  <c r="AJ33" i="64" s="1"/>
  <c r="AZ32" i="64"/>
  <c r="AY32" i="64" a="1"/>
  <c r="AY32" i="64" s="1"/>
  <c r="AX32" i="64"/>
  <c r="AW32" i="64"/>
  <c r="AV32" i="64"/>
  <c r="AP32" i="64" a="1"/>
  <c r="AP32" i="64" s="1"/>
  <c r="AO32" i="64" a="1"/>
  <c r="AO32" i="64" s="1"/>
  <c r="AN32" i="64" a="1"/>
  <c r="AN32" i="64" s="1"/>
  <c r="AM32" i="64" a="1"/>
  <c r="AM32" i="64" s="1"/>
  <c r="AL32" i="64" a="1"/>
  <c r="AL32" i="64" s="1"/>
  <c r="AK32" i="64" a="1"/>
  <c r="AK32" i="64" s="1"/>
  <c r="AJ32" i="64" a="1"/>
  <c r="AJ32" i="64" s="1"/>
  <c r="AZ31" i="64"/>
  <c r="AY31" i="64" a="1"/>
  <c r="AY31" i="64" s="1"/>
  <c r="AX31" i="64"/>
  <c r="AW31" i="64"/>
  <c r="AV31" i="64"/>
  <c r="AP31" i="64" a="1"/>
  <c r="AP31" i="64" s="1"/>
  <c r="AO31" i="64" a="1"/>
  <c r="AO31" i="64" s="1"/>
  <c r="AN31" i="64" a="1"/>
  <c r="AN31" i="64" s="1"/>
  <c r="AM31" i="64" a="1"/>
  <c r="AM31" i="64" s="1"/>
  <c r="AL31" i="64" a="1"/>
  <c r="AL31" i="64" s="1"/>
  <c r="AK31" i="64" a="1"/>
  <c r="AK31" i="64" s="1"/>
  <c r="AJ31" i="64" a="1"/>
  <c r="AJ31" i="64" s="1"/>
  <c r="AZ30" i="64"/>
  <c r="AY30" i="64" a="1"/>
  <c r="AY30" i="64" s="1"/>
  <c r="AX30" i="64"/>
  <c r="AW30" i="64"/>
  <c r="AV30" i="64"/>
  <c r="AP30" i="64" a="1"/>
  <c r="AP30" i="64" s="1"/>
  <c r="AO30" i="64" a="1"/>
  <c r="AO30" i="64" s="1"/>
  <c r="AN30" i="64" a="1"/>
  <c r="AN30" i="64" s="1"/>
  <c r="AM30" i="64" a="1"/>
  <c r="AM30" i="64" s="1"/>
  <c r="AL30" i="64" a="1"/>
  <c r="AL30" i="64" s="1"/>
  <c r="AK30" i="64" a="1"/>
  <c r="AK30" i="64" s="1"/>
  <c r="AJ30" i="64" a="1"/>
  <c r="AJ30" i="64" s="1"/>
  <c r="AZ29" i="64"/>
  <c r="AY29" i="64" a="1"/>
  <c r="AY29" i="64" s="1"/>
  <c r="AX29" i="64"/>
  <c r="AW29" i="64"/>
  <c r="AV29" i="64"/>
  <c r="AP29" i="64" a="1"/>
  <c r="AP29" i="64" s="1"/>
  <c r="AO29" i="64" a="1"/>
  <c r="AO29" i="64" s="1"/>
  <c r="AN29" i="64" a="1"/>
  <c r="AN29" i="64" s="1"/>
  <c r="AM29" i="64" a="1"/>
  <c r="AM29" i="64" s="1"/>
  <c r="AL29" i="64" a="1"/>
  <c r="AL29" i="64" s="1"/>
  <c r="AK29" i="64" a="1"/>
  <c r="AK29" i="64" s="1"/>
  <c r="AJ29" i="64" a="1"/>
  <c r="AJ29" i="64" s="1"/>
  <c r="AZ28" i="64"/>
  <c r="AY28" i="64" a="1"/>
  <c r="AY28" i="64" s="1"/>
  <c r="AX28" i="64"/>
  <c r="AW28" i="64"/>
  <c r="AV28" i="64"/>
  <c r="AP28" i="64" a="1"/>
  <c r="AP28" i="64" s="1"/>
  <c r="AO28" i="64" a="1"/>
  <c r="AO28" i="64" s="1"/>
  <c r="AN28" i="64" a="1"/>
  <c r="AN28" i="64" s="1"/>
  <c r="AM28" i="64" a="1"/>
  <c r="AM28" i="64" s="1"/>
  <c r="AL28" i="64" a="1"/>
  <c r="AL28" i="64" s="1"/>
  <c r="AK28" i="64" a="1"/>
  <c r="AK28" i="64" s="1"/>
  <c r="AJ28" i="64" a="1"/>
  <c r="AJ28" i="64" s="1"/>
  <c r="AZ27" i="64"/>
  <c r="AY27" i="64" a="1"/>
  <c r="AY27" i="64" s="1"/>
  <c r="AX27" i="64"/>
  <c r="AW27" i="64"/>
  <c r="AV27" i="64"/>
  <c r="AP27" i="64" a="1"/>
  <c r="AP27" i="64" s="1"/>
  <c r="AO27" i="64" a="1"/>
  <c r="AO27" i="64" s="1"/>
  <c r="AN27" i="64" a="1"/>
  <c r="AN27" i="64" s="1"/>
  <c r="AM27" i="64" a="1"/>
  <c r="AM27" i="64" s="1"/>
  <c r="AL27" i="64" a="1"/>
  <c r="AL27" i="64" s="1"/>
  <c r="AK27" i="64" a="1"/>
  <c r="AK27" i="64" s="1"/>
  <c r="AJ27" i="64" a="1"/>
  <c r="AJ27" i="64" s="1"/>
  <c r="AZ26" i="64"/>
  <c r="AY26" i="64" a="1"/>
  <c r="AY26" i="64" s="1"/>
  <c r="AX26" i="64"/>
  <c r="AW26" i="64"/>
  <c r="AV26" i="64"/>
  <c r="AP26" i="64" a="1"/>
  <c r="AP26" i="64" s="1"/>
  <c r="AO26" i="64" a="1"/>
  <c r="AO26" i="64" s="1"/>
  <c r="AN26" i="64" a="1"/>
  <c r="AN26" i="64" s="1"/>
  <c r="AM26" i="64" a="1"/>
  <c r="AM26" i="64" s="1"/>
  <c r="AL26" i="64" a="1"/>
  <c r="AL26" i="64" s="1"/>
  <c r="AK26" i="64" a="1"/>
  <c r="AK26" i="64" s="1"/>
  <c r="AJ26" i="64" a="1"/>
  <c r="AJ26" i="64" s="1"/>
  <c r="AZ25" i="64"/>
  <c r="AY25" i="64" a="1"/>
  <c r="AY25" i="64" s="1"/>
  <c r="AX25" i="64"/>
  <c r="AW25" i="64"/>
  <c r="AV25" i="64"/>
  <c r="AP25" i="64" a="1"/>
  <c r="AP25" i="64" s="1"/>
  <c r="AO25" i="64" a="1"/>
  <c r="AO25" i="64" s="1"/>
  <c r="AN25" i="64" a="1"/>
  <c r="AN25" i="64" s="1"/>
  <c r="AM25" i="64" a="1"/>
  <c r="AM25" i="64" s="1"/>
  <c r="AL25" i="64" a="1"/>
  <c r="AL25" i="64" s="1"/>
  <c r="AK25" i="64" a="1"/>
  <c r="AK25" i="64" s="1"/>
  <c r="AJ25" i="64" a="1"/>
  <c r="AJ25" i="64" s="1"/>
  <c r="AZ24" i="64"/>
  <c r="AY24" i="64" a="1"/>
  <c r="AY24" i="64" s="1"/>
  <c r="AX24" i="64"/>
  <c r="AW24" i="64"/>
  <c r="AV24" i="64"/>
  <c r="AP24" i="64" a="1"/>
  <c r="AP24" i="64" s="1"/>
  <c r="AO24" i="64" a="1"/>
  <c r="AO24" i="64" s="1"/>
  <c r="AN24" i="64" a="1"/>
  <c r="AN24" i="64" s="1"/>
  <c r="AM24" i="64" a="1"/>
  <c r="AM24" i="64" s="1"/>
  <c r="AL24" i="64" a="1"/>
  <c r="AL24" i="64" s="1"/>
  <c r="AK24" i="64" a="1"/>
  <c r="AK24" i="64" s="1"/>
  <c r="AJ24" i="64" a="1"/>
  <c r="AJ24" i="64" s="1"/>
  <c r="AZ23" i="64"/>
  <c r="AY23" i="64" a="1"/>
  <c r="AY23" i="64" s="1"/>
  <c r="AX23" i="64"/>
  <c r="AW23" i="64"/>
  <c r="AV23" i="64"/>
  <c r="AP23" i="64" a="1"/>
  <c r="AP23" i="64" s="1"/>
  <c r="AO23" i="64" a="1"/>
  <c r="AO23" i="64" s="1"/>
  <c r="AN23" i="64" a="1"/>
  <c r="AN23" i="64" s="1"/>
  <c r="AM23" i="64" a="1"/>
  <c r="AM23" i="64" s="1"/>
  <c r="AL23" i="64" a="1"/>
  <c r="AL23" i="64" s="1"/>
  <c r="AK23" i="64" a="1"/>
  <c r="AK23" i="64" s="1"/>
  <c r="AJ23" i="64" a="1"/>
  <c r="AJ23" i="64" s="1"/>
  <c r="AZ22" i="64"/>
  <c r="AY22" i="64" a="1"/>
  <c r="AY22" i="64" s="1"/>
  <c r="AX22" i="64"/>
  <c r="AW22" i="64"/>
  <c r="AV22" i="64"/>
  <c r="AP22" i="64" a="1"/>
  <c r="AP22" i="64" s="1"/>
  <c r="AO22" i="64" a="1"/>
  <c r="AO22" i="64" s="1"/>
  <c r="AN22" i="64" a="1"/>
  <c r="AN22" i="64" s="1"/>
  <c r="AM22" i="64" a="1"/>
  <c r="AM22" i="64" s="1"/>
  <c r="AL22" i="64" a="1"/>
  <c r="AL22" i="64" s="1"/>
  <c r="AK22" i="64" a="1"/>
  <c r="AK22" i="64" s="1"/>
  <c r="AJ22" i="64" a="1"/>
  <c r="AJ22" i="64" s="1"/>
  <c r="AZ21" i="64"/>
  <c r="AY21" i="64" a="1"/>
  <c r="AY21" i="64" s="1"/>
  <c r="AX21" i="64"/>
  <c r="AW21" i="64"/>
  <c r="AV21" i="64"/>
  <c r="AP21" i="64" a="1"/>
  <c r="AP21" i="64" s="1"/>
  <c r="AO21" i="64" a="1"/>
  <c r="AO21" i="64" s="1"/>
  <c r="AN21" i="64" a="1"/>
  <c r="AN21" i="64" s="1"/>
  <c r="AM21" i="64" a="1"/>
  <c r="AM21" i="64" s="1"/>
  <c r="AL21" i="64" a="1"/>
  <c r="AL21" i="64" s="1"/>
  <c r="AK21" i="64" a="1"/>
  <c r="AK21" i="64" s="1"/>
  <c r="AJ21" i="64" a="1"/>
  <c r="AJ21" i="64" s="1"/>
  <c r="AZ20" i="64"/>
  <c r="AY20" i="64" a="1"/>
  <c r="AY20" i="64" s="1"/>
  <c r="AX20" i="64"/>
  <c r="AW20" i="64"/>
  <c r="AV20" i="64"/>
  <c r="AP20" i="64" a="1"/>
  <c r="AP20" i="64" s="1"/>
  <c r="AO20" i="64" a="1"/>
  <c r="AO20" i="64" s="1"/>
  <c r="AN20" i="64" a="1"/>
  <c r="AN20" i="64" s="1"/>
  <c r="AM20" i="64" a="1"/>
  <c r="AM20" i="64" s="1"/>
  <c r="AL20" i="64" a="1"/>
  <c r="AL20" i="64" s="1"/>
  <c r="AK20" i="64" a="1"/>
  <c r="AK20" i="64" s="1"/>
  <c r="AJ20" i="64" a="1"/>
  <c r="AJ20" i="64" s="1"/>
  <c r="AZ19" i="64"/>
  <c r="AY19" i="64" a="1"/>
  <c r="AY19" i="64" s="1"/>
  <c r="AX19" i="64"/>
  <c r="AW19" i="64"/>
  <c r="AV19" i="64"/>
  <c r="AP19" i="64" a="1"/>
  <c r="AP19" i="64" s="1"/>
  <c r="AO19" i="64" a="1"/>
  <c r="AO19" i="64" s="1"/>
  <c r="AN19" i="64" a="1"/>
  <c r="AN19" i="64" s="1"/>
  <c r="AM19" i="64" a="1"/>
  <c r="AM19" i="64" s="1"/>
  <c r="AL19" i="64" a="1"/>
  <c r="AL19" i="64" s="1"/>
  <c r="AK19" i="64" a="1"/>
  <c r="AK19" i="64" s="1"/>
  <c r="AJ19" i="64" a="1"/>
  <c r="AJ19" i="64" s="1"/>
  <c r="AZ18" i="64"/>
  <c r="AY18" i="64" a="1"/>
  <c r="AY18" i="64" s="1"/>
  <c r="AX18" i="64"/>
  <c r="AW18" i="64"/>
  <c r="AV18" i="64"/>
  <c r="AP18" i="64" a="1"/>
  <c r="AP18" i="64" s="1"/>
  <c r="AO18" i="64" a="1"/>
  <c r="AO18" i="64" s="1"/>
  <c r="AN18" i="64" a="1"/>
  <c r="AN18" i="64" s="1"/>
  <c r="AM18" i="64" a="1"/>
  <c r="AM18" i="64" s="1"/>
  <c r="AL18" i="64" a="1"/>
  <c r="AL18" i="64" s="1"/>
  <c r="AK18" i="64" a="1"/>
  <c r="AK18" i="64" s="1"/>
  <c r="AJ18" i="64" a="1"/>
  <c r="AJ18" i="64" s="1"/>
  <c r="AZ17" i="64"/>
  <c r="AY17" i="64" a="1"/>
  <c r="AY17" i="64" s="1"/>
  <c r="AX17" i="64"/>
  <c r="AW17" i="64"/>
  <c r="AV17" i="64"/>
  <c r="AP17" i="64" a="1"/>
  <c r="AP17" i="64" s="1"/>
  <c r="AO17" i="64" a="1"/>
  <c r="AO17" i="64" s="1"/>
  <c r="AN17" i="64" a="1"/>
  <c r="AN17" i="64" s="1"/>
  <c r="AM17" i="64" a="1"/>
  <c r="AM17" i="64" s="1"/>
  <c r="AL17" i="64" a="1"/>
  <c r="AL17" i="64" s="1"/>
  <c r="AK17" i="64" a="1"/>
  <c r="AK17" i="64" s="1"/>
  <c r="AJ17" i="64" a="1"/>
  <c r="AJ17" i="64" s="1"/>
  <c r="AZ16" i="64"/>
  <c r="AY16" i="64" a="1"/>
  <c r="AY16" i="64" s="1"/>
  <c r="AX16" i="64"/>
  <c r="AW16" i="64"/>
  <c r="AV16" i="64"/>
  <c r="AP16" i="64" a="1"/>
  <c r="AP16" i="64" s="1"/>
  <c r="AO16" i="64" a="1"/>
  <c r="AO16" i="64" s="1"/>
  <c r="AN16" i="64" a="1"/>
  <c r="AN16" i="64" s="1"/>
  <c r="AM16" i="64" a="1"/>
  <c r="AM16" i="64" s="1"/>
  <c r="AL16" i="64" a="1"/>
  <c r="AL16" i="64" s="1"/>
  <c r="AK16" i="64" a="1"/>
  <c r="AK16" i="64" s="1"/>
  <c r="AJ16" i="64" a="1"/>
  <c r="AJ16" i="64" s="1"/>
  <c r="AZ15" i="64"/>
  <c r="AY15" i="64" a="1"/>
  <c r="AY15" i="64" s="1"/>
  <c r="AX15" i="64"/>
  <c r="AW15" i="64"/>
  <c r="AV15" i="64"/>
  <c r="AP15" i="64" a="1"/>
  <c r="AP15" i="64" s="1"/>
  <c r="AO15" i="64" a="1"/>
  <c r="AO15" i="64" s="1"/>
  <c r="AN15" i="64" a="1"/>
  <c r="AN15" i="64" s="1"/>
  <c r="AM15" i="64" a="1"/>
  <c r="AM15" i="64" s="1"/>
  <c r="AL15" i="64" a="1"/>
  <c r="AL15" i="64" s="1"/>
  <c r="AK15" i="64" a="1"/>
  <c r="AK15" i="64" s="1"/>
  <c r="AJ15" i="64" a="1"/>
  <c r="AJ15" i="64" s="1"/>
  <c r="AZ14" i="64"/>
  <c r="AY14" i="64" a="1"/>
  <c r="AY14" i="64" s="1"/>
  <c r="AX14" i="64"/>
  <c r="AW14" i="64"/>
  <c r="AV14" i="64"/>
  <c r="AP14" i="64" a="1"/>
  <c r="AP14" i="64" s="1"/>
  <c r="AO14" i="64" a="1"/>
  <c r="AO14" i="64" s="1"/>
  <c r="AN14" i="64" a="1"/>
  <c r="AN14" i="64" s="1"/>
  <c r="AM14" i="64" a="1"/>
  <c r="AM14" i="64" s="1"/>
  <c r="AL14" i="64" a="1"/>
  <c r="AL14" i="64" s="1"/>
  <c r="AK14" i="64" a="1"/>
  <c r="AK14" i="64" s="1"/>
  <c r="AJ14" i="64" a="1"/>
  <c r="AJ14" i="64" s="1"/>
  <c r="AZ13" i="64"/>
  <c r="AY13" i="64" a="1"/>
  <c r="AY13" i="64" s="1"/>
  <c r="AX13" i="64"/>
  <c r="AW13" i="64"/>
  <c r="AV13" i="64"/>
  <c r="AP13" i="64" a="1"/>
  <c r="AP13" i="64" s="1"/>
  <c r="AO13" i="64" a="1"/>
  <c r="AO13" i="64" s="1"/>
  <c r="AN13" i="64" a="1"/>
  <c r="AN13" i="64" s="1"/>
  <c r="AM13" i="64" a="1"/>
  <c r="AM13" i="64" s="1"/>
  <c r="AL13" i="64" a="1"/>
  <c r="AL13" i="64" s="1"/>
  <c r="AK13" i="64" a="1"/>
  <c r="AK13" i="64" s="1"/>
  <c r="AJ13" i="64" a="1"/>
  <c r="AJ13" i="64" s="1"/>
  <c r="AZ12" i="64"/>
  <c r="AY12" i="64" a="1"/>
  <c r="AY12" i="64" s="1"/>
  <c r="AX12" i="64"/>
  <c r="AW12" i="64"/>
  <c r="AV12" i="64"/>
  <c r="AP12" i="64" a="1"/>
  <c r="AP12" i="64" s="1"/>
  <c r="AO12" i="64" a="1"/>
  <c r="AO12" i="64" s="1"/>
  <c r="AN12" i="64" a="1"/>
  <c r="AN12" i="64" s="1"/>
  <c r="AM12" i="64" a="1"/>
  <c r="AM12" i="64" s="1"/>
  <c r="AL12" i="64" a="1"/>
  <c r="AL12" i="64" s="1"/>
  <c r="AK12" i="64" a="1"/>
  <c r="AK12" i="64" s="1"/>
  <c r="AJ12" i="64" a="1"/>
  <c r="AJ12" i="64" s="1"/>
  <c r="AZ11" i="64"/>
  <c r="AY11" i="64" a="1"/>
  <c r="AY11" i="64" s="1"/>
  <c r="AX11" i="64"/>
  <c r="AW11" i="64"/>
  <c r="AV11" i="64"/>
  <c r="AP11" i="64" a="1"/>
  <c r="AP11" i="64" s="1"/>
  <c r="AO11" i="64" a="1"/>
  <c r="AO11" i="64" s="1"/>
  <c r="AN11" i="64" a="1"/>
  <c r="AN11" i="64" s="1"/>
  <c r="AM11" i="64" a="1"/>
  <c r="AM11" i="64" s="1"/>
  <c r="AL11" i="64" a="1"/>
  <c r="AL11" i="64" s="1"/>
  <c r="AK11" i="64" a="1"/>
  <c r="AK11" i="64" s="1"/>
  <c r="AJ11" i="64" a="1"/>
  <c r="AJ11" i="64" s="1"/>
  <c r="AZ10" i="64"/>
  <c r="AY10" i="64" a="1"/>
  <c r="AY10" i="64" s="1"/>
  <c r="AX10" i="64"/>
  <c r="AW10" i="64"/>
  <c r="AV10" i="64"/>
  <c r="AP10" i="64" a="1"/>
  <c r="AP10" i="64" s="1"/>
  <c r="AO10" i="64" a="1"/>
  <c r="AO10" i="64" s="1"/>
  <c r="AN10" i="64" a="1"/>
  <c r="AN10" i="64" s="1"/>
  <c r="AM10" i="64" a="1"/>
  <c r="AM10" i="64" s="1"/>
  <c r="AL10" i="64" a="1"/>
  <c r="AL10" i="64" s="1"/>
  <c r="AK10" i="64" a="1"/>
  <c r="AK10" i="64" s="1"/>
  <c r="AJ10" i="64" a="1"/>
  <c r="AJ10" i="64" s="1"/>
  <c r="AZ9" i="64"/>
  <c r="AY9" i="64" a="1"/>
  <c r="AY9" i="64" s="1"/>
  <c r="AX9" i="64"/>
  <c r="AW9" i="64"/>
  <c r="AV9" i="64"/>
  <c r="AP9" i="64" a="1"/>
  <c r="AP9" i="64" s="1"/>
  <c r="AO9" i="64" a="1"/>
  <c r="AO9" i="64" s="1"/>
  <c r="AN9" i="64" a="1"/>
  <c r="AN9" i="64" s="1"/>
  <c r="AM9" i="64" a="1"/>
  <c r="AM9" i="64" s="1"/>
  <c r="AL9" i="64" a="1"/>
  <c r="AL9" i="64" s="1"/>
  <c r="AK9" i="64" a="1"/>
  <c r="AK9" i="64" s="1"/>
  <c r="AJ9" i="64" a="1"/>
  <c r="AJ9" i="64" s="1"/>
  <c r="AZ8" i="64"/>
  <c r="AY8" i="64" a="1"/>
  <c r="AY8" i="64" s="1"/>
  <c r="AX8" i="64"/>
  <c r="AW8" i="64"/>
  <c r="AV8" i="64"/>
  <c r="AP8" i="64" a="1"/>
  <c r="AP8" i="64" s="1"/>
  <c r="AO8" i="64" a="1"/>
  <c r="AO8" i="64" s="1"/>
  <c r="AN8" i="64" a="1"/>
  <c r="AN8" i="64" s="1"/>
  <c r="AM8" i="64" a="1"/>
  <c r="AM8" i="64" s="1"/>
  <c r="AL8" i="64" a="1"/>
  <c r="AL8" i="64" s="1"/>
  <c r="AK8" i="64" a="1"/>
  <c r="AK8" i="64" s="1"/>
  <c r="AJ8" i="64" a="1"/>
  <c r="AJ8" i="64" s="1"/>
  <c r="AZ7" i="64"/>
  <c r="AY7" i="64" a="1"/>
  <c r="AY7" i="64" s="1"/>
  <c r="AX7" i="64"/>
  <c r="AW7" i="64"/>
  <c r="AV7" i="64"/>
  <c r="AP7" i="64" a="1"/>
  <c r="AP7" i="64" s="1"/>
  <c r="AO7" i="64" a="1"/>
  <c r="AO7" i="64" s="1"/>
  <c r="AN7" i="64" a="1"/>
  <c r="AN7" i="64" s="1"/>
  <c r="AM7" i="64" a="1"/>
  <c r="AM7" i="64" s="1"/>
  <c r="AL7" i="64" a="1"/>
  <c r="AL7" i="64" s="1"/>
  <c r="AK7" i="64" a="1"/>
  <c r="AK7" i="64" s="1"/>
  <c r="AJ7" i="64" a="1"/>
  <c r="AJ7" i="64" s="1"/>
  <c r="AZ6" i="64"/>
  <c r="AY6" i="64" a="1"/>
  <c r="AY6" i="64" s="1"/>
  <c r="AX6" i="64"/>
  <c r="AW6" i="64"/>
  <c r="AV6" i="64"/>
  <c r="AP6" i="64" a="1"/>
  <c r="AP6" i="64" s="1"/>
  <c r="AO6" i="64" a="1"/>
  <c r="AO6" i="64" s="1"/>
  <c r="AO67" i="64" s="1"/>
  <c r="AN6" i="64" a="1"/>
  <c r="AN6" i="64" s="1"/>
  <c r="AM6" i="64" a="1"/>
  <c r="AM6" i="64" s="1"/>
  <c r="AL6" i="64" a="1"/>
  <c r="AL6" i="64" s="1"/>
  <c r="AK6" i="64" a="1"/>
  <c r="AK6" i="64" s="1"/>
  <c r="AJ6" i="64" a="1"/>
  <c r="AJ6" i="64" s="1"/>
  <c r="C74" i="61"/>
  <c r="C73" i="61"/>
  <c r="C72" i="61"/>
  <c r="C71" i="61"/>
  <c r="AZ62" i="60"/>
  <c r="AY62" i="60" a="1"/>
  <c r="AY62" i="60" s="1"/>
  <c r="AX62" i="60"/>
  <c r="AW62" i="60"/>
  <c r="AV62" i="60"/>
  <c r="AP62" i="60" a="1"/>
  <c r="AP62" i="60" s="1"/>
  <c r="AO62" i="60" a="1"/>
  <c r="AO62" i="60" s="1"/>
  <c r="AN62" i="60" a="1"/>
  <c r="AN62" i="60" s="1"/>
  <c r="AM62" i="60" a="1"/>
  <c r="AM62" i="60" s="1"/>
  <c r="AL62" i="60" a="1"/>
  <c r="AL62" i="60" s="1"/>
  <c r="AK62" i="60" a="1"/>
  <c r="AK62" i="60" s="1"/>
  <c r="AJ62" i="60" a="1"/>
  <c r="AJ62" i="60" s="1"/>
  <c r="AZ60" i="60"/>
  <c r="AY60" i="60" a="1"/>
  <c r="AY60" i="60" s="1"/>
  <c r="AX60" i="60"/>
  <c r="AW60" i="60"/>
  <c r="AV60" i="60"/>
  <c r="AP60" i="60" a="1"/>
  <c r="AP60" i="60" s="1"/>
  <c r="AO60" i="60" a="1"/>
  <c r="AO60" i="60" s="1"/>
  <c r="AN60" i="60" a="1"/>
  <c r="AN60" i="60" s="1"/>
  <c r="AM60" i="60" a="1"/>
  <c r="AM60" i="60" s="1"/>
  <c r="AL60" i="60" a="1"/>
  <c r="AL60" i="60" s="1"/>
  <c r="AK60" i="60" a="1"/>
  <c r="AK60" i="60" s="1"/>
  <c r="AJ60" i="60" a="1"/>
  <c r="AJ60" i="60" s="1"/>
  <c r="AZ58" i="60"/>
  <c r="AY58" i="60" a="1"/>
  <c r="AY58" i="60" s="1"/>
  <c r="AX58" i="60"/>
  <c r="AW58" i="60"/>
  <c r="AV58" i="60"/>
  <c r="AP58" i="60" a="1"/>
  <c r="AP58" i="60" s="1"/>
  <c r="AO58" i="60" a="1"/>
  <c r="AO58" i="60" s="1"/>
  <c r="AN58" i="60" a="1"/>
  <c r="AN58" i="60" s="1"/>
  <c r="AM58" i="60" a="1"/>
  <c r="AM58" i="60" s="1"/>
  <c r="AL58" i="60" a="1"/>
  <c r="AL58" i="60" s="1"/>
  <c r="AK58" i="60" a="1"/>
  <c r="AK58" i="60" s="1"/>
  <c r="AJ58" i="60" a="1"/>
  <c r="AJ58" i="60" s="1"/>
  <c r="AZ56" i="60"/>
  <c r="AY56" i="60" a="1"/>
  <c r="AY56" i="60" s="1"/>
  <c r="AX56" i="60"/>
  <c r="AW56" i="60"/>
  <c r="AV56" i="60"/>
  <c r="AP56" i="60" a="1"/>
  <c r="AP56" i="60" s="1"/>
  <c r="AO56" i="60" a="1"/>
  <c r="AO56" i="60" s="1"/>
  <c r="AN56" i="60" a="1"/>
  <c r="AN56" i="60" s="1"/>
  <c r="AM56" i="60" a="1"/>
  <c r="AM56" i="60" s="1"/>
  <c r="AL56" i="60" a="1"/>
  <c r="AL56" i="60" s="1"/>
  <c r="AK56" i="60" a="1"/>
  <c r="AK56" i="60" s="1"/>
  <c r="AJ56" i="60" a="1"/>
  <c r="AJ56" i="60" s="1"/>
  <c r="AX68" i="61"/>
  <c r="AW68" i="61" a="1"/>
  <c r="AW68" i="61" s="1"/>
  <c r="AV68" i="61"/>
  <c r="AU68" i="61"/>
  <c r="AT68" i="61"/>
  <c r="AO68" i="61" a="1"/>
  <c r="AO68" i="61" s="1"/>
  <c r="AN68" i="61" a="1"/>
  <c r="AN68" i="61" s="1"/>
  <c r="AM68" i="61" a="1"/>
  <c r="AM68" i="61" s="1"/>
  <c r="AL68" i="61" a="1"/>
  <c r="AL68" i="61" s="1"/>
  <c r="AK68" i="61" a="1"/>
  <c r="AK68" i="61" s="1"/>
  <c r="AJ68" i="61" a="1"/>
  <c r="AJ68" i="61" s="1"/>
  <c r="AI68" i="61" a="1"/>
  <c r="AI68" i="61" s="1"/>
  <c r="AX67" i="61"/>
  <c r="AW67" i="61" a="1"/>
  <c r="AW67" i="61" s="1"/>
  <c r="AV67" i="61"/>
  <c r="AU67" i="61"/>
  <c r="AT67" i="61"/>
  <c r="AO67" i="61" a="1"/>
  <c r="AO67" i="61" s="1"/>
  <c r="AN67" i="61" a="1"/>
  <c r="AN67" i="61" s="1"/>
  <c r="AM67" i="61" a="1"/>
  <c r="AM67" i="61" s="1"/>
  <c r="AL67" i="61" a="1"/>
  <c r="AL67" i="61" s="1"/>
  <c r="AK67" i="61" a="1"/>
  <c r="AK67" i="61" s="1"/>
  <c r="AJ67" i="61" a="1"/>
  <c r="AJ67" i="61" s="1"/>
  <c r="AI67" i="61" a="1"/>
  <c r="AI67" i="61" s="1"/>
  <c r="AX66" i="61"/>
  <c r="AW66" i="61" a="1"/>
  <c r="AW66" i="61" s="1"/>
  <c r="AV66" i="61"/>
  <c r="AU66" i="61"/>
  <c r="AT66" i="61"/>
  <c r="AO66" i="61" a="1"/>
  <c r="AO66" i="61" s="1"/>
  <c r="AN66" i="61" a="1"/>
  <c r="AN66" i="61" s="1"/>
  <c r="AM66" i="61" a="1"/>
  <c r="AM66" i="61" s="1"/>
  <c r="AL66" i="61" a="1"/>
  <c r="AL66" i="61" s="1"/>
  <c r="AK66" i="61" a="1"/>
  <c r="AK66" i="61" s="1"/>
  <c r="AJ66" i="61" a="1"/>
  <c r="AJ66" i="61" s="1"/>
  <c r="AI66" i="61" a="1"/>
  <c r="AI66" i="61" s="1"/>
  <c r="AX65" i="61"/>
  <c r="AW65" i="61" a="1"/>
  <c r="AW65" i="61" s="1"/>
  <c r="AV65" i="61"/>
  <c r="AU65" i="61"/>
  <c r="AT65" i="61"/>
  <c r="AO65" i="61" a="1"/>
  <c r="AO65" i="61" s="1"/>
  <c r="AN65" i="61" a="1"/>
  <c r="AN65" i="61" s="1"/>
  <c r="AM65" i="61" a="1"/>
  <c r="AM65" i="61" s="1"/>
  <c r="AL65" i="61" a="1"/>
  <c r="AL65" i="61" s="1"/>
  <c r="AK65" i="61" a="1"/>
  <c r="AK65" i="61" s="1"/>
  <c r="AJ65" i="61" a="1"/>
  <c r="AJ65" i="61" s="1"/>
  <c r="AI65" i="61" a="1"/>
  <c r="AI65" i="61" s="1"/>
  <c r="AX64" i="61"/>
  <c r="AW64" i="61" a="1"/>
  <c r="AW64" i="61" s="1"/>
  <c r="AV64" i="61"/>
  <c r="AU64" i="61"/>
  <c r="AT64" i="61"/>
  <c r="AO64" i="61" a="1"/>
  <c r="AO64" i="61" s="1"/>
  <c r="AN64" i="61" a="1"/>
  <c r="AN64" i="61" s="1"/>
  <c r="AM64" i="61" a="1"/>
  <c r="AM64" i="61" s="1"/>
  <c r="AL64" i="61" a="1"/>
  <c r="AL64" i="61" s="1"/>
  <c r="AK64" i="61" a="1"/>
  <c r="AK64" i="61" s="1"/>
  <c r="AJ64" i="61" a="1"/>
  <c r="AJ64" i="61" s="1"/>
  <c r="AI64" i="61" a="1"/>
  <c r="AI64" i="61" s="1"/>
  <c r="AX63" i="61"/>
  <c r="AW63" i="61" a="1"/>
  <c r="AW63" i="61" s="1"/>
  <c r="AV63" i="61"/>
  <c r="AU63" i="61"/>
  <c r="AT63" i="61"/>
  <c r="AO63" i="61" a="1"/>
  <c r="AO63" i="61" s="1"/>
  <c r="AN63" i="61" a="1"/>
  <c r="AN63" i="61" s="1"/>
  <c r="AM63" i="61" a="1"/>
  <c r="AM63" i="61" s="1"/>
  <c r="AL63" i="61" a="1"/>
  <c r="AL63" i="61" s="1"/>
  <c r="AK63" i="61" a="1"/>
  <c r="AK63" i="61" s="1"/>
  <c r="AJ63" i="61" a="1"/>
  <c r="AJ63" i="61" s="1"/>
  <c r="AI63" i="61" a="1"/>
  <c r="AI63" i="61" s="1"/>
  <c r="AX62" i="61"/>
  <c r="AW62" i="61" a="1"/>
  <c r="AW62" i="61" s="1"/>
  <c r="AV62" i="61"/>
  <c r="AU62" i="61"/>
  <c r="AT62" i="61"/>
  <c r="AO62" i="61" a="1"/>
  <c r="AO62" i="61" s="1"/>
  <c r="AN62" i="61" a="1"/>
  <c r="AN62" i="61" s="1"/>
  <c r="AM62" i="61" a="1"/>
  <c r="AM62" i="61" s="1"/>
  <c r="AL62" i="61" a="1"/>
  <c r="AL62" i="61" s="1"/>
  <c r="AK62" i="61" a="1"/>
  <c r="AK62" i="61" s="1"/>
  <c r="AJ62" i="61" a="1"/>
  <c r="AJ62" i="61" s="1"/>
  <c r="AI62" i="61" a="1"/>
  <c r="AI62" i="61" s="1"/>
  <c r="AX61" i="61"/>
  <c r="AW61" i="61" a="1"/>
  <c r="AW61" i="61" s="1"/>
  <c r="AV61" i="61"/>
  <c r="AU61" i="61"/>
  <c r="AT61" i="61"/>
  <c r="AO61" i="61" a="1"/>
  <c r="AO61" i="61" s="1"/>
  <c r="AN61" i="61" a="1"/>
  <c r="AN61" i="61" s="1"/>
  <c r="AM61" i="61" a="1"/>
  <c r="AM61" i="61" s="1"/>
  <c r="AL61" i="61" a="1"/>
  <c r="AL61" i="61" s="1"/>
  <c r="AK61" i="61" a="1"/>
  <c r="AK61" i="61" s="1"/>
  <c r="AJ61" i="61" a="1"/>
  <c r="AJ61" i="61" s="1"/>
  <c r="AI61" i="61" a="1"/>
  <c r="AI61" i="61" s="1"/>
  <c r="AX60" i="61"/>
  <c r="AW60" i="61" a="1"/>
  <c r="AW60" i="61" s="1"/>
  <c r="AV60" i="61"/>
  <c r="AU60" i="61"/>
  <c r="AT60" i="61"/>
  <c r="AO60" i="61" a="1"/>
  <c r="AO60" i="61" s="1"/>
  <c r="AN60" i="61" a="1"/>
  <c r="AN60" i="61" s="1"/>
  <c r="AM60" i="61" a="1"/>
  <c r="AM60" i="61" s="1"/>
  <c r="AL60" i="61" a="1"/>
  <c r="AL60" i="61" s="1"/>
  <c r="AK60" i="61" a="1"/>
  <c r="AK60" i="61" s="1"/>
  <c r="AJ60" i="61" a="1"/>
  <c r="AJ60" i="61" s="1"/>
  <c r="AI60" i="61" a="1"/>
  <c r="AI60" i="61" s="1"/>
  <c r="AX59" i="61"/>
  <c r="AW59" i="61" a="1"/>
  <c r="AW59" i="61" s="1"/>
  <c r="AV59" i="61"/>
  <c r="AU59" i="61"/>
  <c r="AT59" i="61"/>
  <c r="AO59" i="61" a="1"/>
  <c r="AO59" i="61" s="1"/>
  <c r="AN59" i="61" a="1"/>
  <c r="AN59" i="61" s="1"/>
  <c r="AM59" i="61" a="1"/>
  <c r="AM59" i="61" s="1"/>
  <c r="AL59" i="61" a="1"/>
  <c r="AL59" i="61" s="1"/>
  <c r="AK59" i="61" a="1"/>
  <c r="AK59" i="61" s="1"/>
  <c r="AJ59" i="61" a="1"/>
  <c r="AJ59" i="61" s="1"/>
  <c r="AI59" i="61" a="1"/>
  <c r="AI59" i="61" s="1"/>
  <c r="AX58" i="61"/>
  <c r="AW58" i="61" a="1"/>
  <c r="AW58" i="61" s="1"/>
  <c r="AV58" i="61"/>
  <c r="AU58" i="61"/>
  <c r="AT58" i="61"/>
  <c r="AO58" i="61" a="1"/>
  <c r="AO58" i="61" s="1"/>
  <c r="AN58" i="61" a="1"/>
  <c r="AN58" i="61" s="1"/>
  <c r="AM58" i="61" a="1"/>
  <c r="AM58" i="61" s="1"/>
  <c r="AL58" i="61" a="1"/>
  <c r="AL58" i="61" s="1"/>
  <c r="AK58" i="61" a="1"/>
  <c r="AK58" i="61" s="1"/>
  <c r="AJ58" i="61" a="1"/>
  <c r="AJ58" i="61" s="1"/>
  <c r="AI58" i="61" a="1"/>
  <c r="AI58" i="61" s="1"/>
  <c r="AX57" i="61"/>
  <c r="AW57" i="61" a="1"/>
  <c r="AW57" i="61" s="1"/>
  <c r="AV57" i="61"/>
  <c r="AU57" i="61"/>
  <c r="AT57" i="61"/>
  <c r="AO57" i="61" a="1"/>
  <c r="AO57" i="61" s="1"/>
  <c r="AN57" i="61" a="1"/>
  <c r="AN57" i="61" s="1"/>
  <c r="AM57" i="61" a="1"/>
  <c r="AM57" i="61" s="1"/>
  <c r="AL57" i="61" a="1"/>
  <c r="AL57" i="61" s="1"/>
  <c r="AK57" i="61" a="1"/>
  <c r="AK57" i="61" s="1"/>
  <c r="AJ57" i="61" a="1"/>
  <c r="AJ57" i="61" s="1"/>
  <c r="AI57" i="61" a="1"/>
  <c r="AI57" i="61" s="1"/>
  <c r="AX56" i="61"/>
  <c r="AW56" i="61" a="1"/>
  <c r="AW56" i="61" s="1"/>
  <c r="AV56" i="61"/>
  <c r="AU56" i="61"/>
  <c r="AT56" i="61"/>
  <c r="AO56" i="61" a="1"/>
  <c r="AO56" i="61" s="1"/>
  <c r="AN56" i="61" a="1"/>
  <c r="AN56" i="61" s="1"/>
  <c r="AM56" i="61" a="1"/>
  <c r="AM56" i="61" s="1"/>
  <c r="AL56" i="61" a="1"/>
  <c r="AL56" i="61" s="1"/>
  <c r="AK56" i="61" a="1"/>
  <c r="AK56" i="61" s="1"/>
  <c r="AJ56" i="61" a="1"/>
  <c r="AJ56" i="61" s="1"/>
  <c r="AI56" i="61" a="1"/>
  <c r="AI56" i="61" s="1"/>
  <c r="AX55" i="61"/>
  <c r="AW55" i="61" a="1"/>
  <c r="AW55" i="61" s="1"/>
  <c r="AV55" i="61"/>
  <c r="AU55" i="61"/>
  <c r="AT55" i="61"/>
  <c r="AO55" i="61" a="1"/>
  <c r="AO55" i="61" s="1"/>
  <c r="AN55" i="61" a="1"/>
  <c r="AN55" i="61" s="1"/>
  <c r="AM55" i="61" a="1"/>
  <c r="AM55" i="61" s="1"/>
  <c r="AL55" i="61" a="1"/>
  <c r="AL55" i="61" s="1"/>
  <c r="AK55" i="61" a="1"/>
  <c r="AK55" i="61" s="1"/>
  <c r="AJ55" i="61" a="1"/>
  <c r="AJ55" i="61" s="1"/>
  <c r="AI55" i="61" a="1"/>
  <c r="AI55" i="61" s="1"/>
  <c r="AX54" i="61"/>
  <c r="AW54" i="61" a="1"/>
  <c r="AW54" i="61" s="1"/>
  <c r="AV54" i="61"/>
  <c r="AU54" i="61"/>
  <c r="AT54" i="61"/>
  <c r="AO54" i="61" a="1"/>
  <c r="AO54" i="61" s="1"/>
  <c r="AN54" i="61" a="1"/>
  <c r="AN54" i="61" s="1"/>
  <c r="AM54" i="61" a="1"/>
  <c r="AM54" i="61" s="1"/>
  <c r="AL54" i="61" a="1"/>
  <c r="AL54" i="61" s="1"/>
  <c r="AK54" i="61" a="1"/>
  <c r="AK54" i="61" s="1"/>
  <c r="AJ54" i="61" a="1"/>
  <c r="AJ54" i="61" s="1"/>
  <c r="AI54" i="61" a="1"/>
  <c r="AI54" i="61" s="1"/>
  <c r="AX53" i="61"/>
  <c r="AW53" i="61" a="1"/>
  <c r="AW53" i="61" s="1"/>
  <c r="AV53" i="61"/>
  <c r="AU53" i="61"/>
  <c r="AT53" i="61"/>
  <c r="AO53" i="61" a="1"/>
  <c r="AO53" i="61" s="1"/>
  <c r="AN53" i="61" a="1"/>
  <c r="AN53" i="61" s="1"/>
  <c r="AM53" i="61" a="1"/>
  <c r="AM53" i="61" s="1"/>
  <c r="AL53" i="61" a="1"/>
  <c r="AL53" i="61" s="1"/>
  <c r="AK53" i="61" a="1"/>
  <c r="AK53" i="61" s="1"/>
  <c r="AJ53" i="61" a="1"/>
  <c r="AJ53" i="61" s="1"/>
  <c r="AI53" i="61" a="1"/>
  <c r="AI53" i="61" s="1"/>
  <c r="AX52" i="61"/>
  <c r="AW52" i="61" a="1"/>
  <c r="AW52" i="61" s="1"/>
  <c r="AV52" i="61"/>
  <c r="AU52" i="61"/>
  <c r="AT52" i="61"/>
  <c r="AO52" i="61" a="1"/>
  <c r="AO52" i="61" s="1"/>
  <c r="AN52" i="61" a="1"/>
  <c r="AN52" i="61" s="1"/>
  <c r="AM52" i="61" a="1"/>
  <c r="AM52" i="61" s="1"/>
  <c r="AL52" i="61" a="1"/>
  <c r="AL52" i="61" s="1"/>
  <c r="AK52" i="61" a="1"/>
  <c r="AK52" i="61" s="1"/>
  <c r="AJ52" i="61" a="1"/>
  <c r="AJ52" i="61" s="1"/>
  <c r="AI52" i="61" a="1"/>
  <c r="AI52" i="61" s="1"/>
  <c r="AX51" i="61"/>
  <c r="AW51" i="61" a="1"/>
  <c r="AW51" i="61" s="1"/>
  <c r="AV51" i="61"/>
  <c r="AU51" i="61"/>
  <c r="AT51" i="61"/>
  <c r="AO51" i="61" a="1"/>
  <c r="AO51" i="61" s="1"/>
  <c r="AN51" i="61" a="1"/>
  <c r="AN51" i="61" s="1"/>
  <c r="AM51" i="61" a="1"/>
  <c r="AM51" i="61" s="1"/>
  <c r="AL51" i="61" a="1"/>
  <c r="AL51" i="61" s="1"/>
  <c r="AK51" i="61" a="1"/>
  <c r="AK51" i="61" s="1"/>
  <c r="AJ51" i="61" a="1"/>
  <c r="AJ51" i="61" s="1"/>
  <c r="AI51" i="61" a="1"/>
  <c r="AI51" i="61" s="1"/>
  <c r="AX50" i="61"/>
  <c r="AW50" i="61" a="1"/>
  <c r="AW50" i="61" s="1"/>
  <c r="AV50" i="61"/>
  <c r="AU50" i="61"/>
  <c r="AT50" i="61"/>
  <c r="AO50" i="61" a="1"/>
  <c r="AO50" i="61" s="1"/>
  <c r="AN50" i="61" a="1"/>
  <c r="AN50" i="61" s="1"/>
  <c r="AM50" i="61" a="1"/>
  <c r="AM50" i="61" s="1"/>
  <c r="AL50" i="61" a="1"/>
  <c r="AL50" i="61" s="1"/>
  <c r="AK50" i="61" a="1"/>
  <c r="AK50" i="61" s="1"/>
  <c r="AJ50" i="61" a="1"/>
  <c r="AJ50" i="61" s="1"/>
  <c r="AI50" i="61" a="1"/>
  <c r="AI50" i="61" s="1"/>
  <c r="AX49" i="61"/>
  <c r="AW49" i="61" a="1"/>
  <c r="AW49" i="61" s="1"/>
  <c r="AV49" i="61"/>
  <c r="AU49" i="61"/>
  <c r="AT49" i="61"/>
  <c r="AO49" i="61" a="1"/>
  <c r="AO49" i="61" s="1"/>
  <c r="AN49" i="61" a="1"/>
  <c r="AN49" i="61" s="1"/>
  <c r="AM49" i="61" a="1"/>
  <c r="AM49" i="61" s="1"/>
  <c r="AL49" i="61" a="1"/>
  <c r="AL49" i="61" s="1"/>
  <c r="AK49" i="61" a="1"/>
  <c r="AK49" i="61" s="1"/>
  <c r="AJ49" i="61" a="1"/>
  <c r="AJ49" i="61" s="1"/>
  <c r="AI49" i="61" a="1"/>
  <c r="AI49" i="61" s="1"/>
  <c r="AX48" i="61"/>
  <c r="AW48" i="61" a="1"/>
  <c r="AW48" i="61" s="1"/>
  <c r="AV48" i="61"/>
  <c r="AU48" i="61"/>
  <c r="AT48" i="61"/>
  <c r="AO48" i="61" a="1"/>
  <c r="AO48" i="61" s="1"/>
  <c r="AN48" i="61" a="1"/>
  <c r="AN48" i="61" s="1"/>
  <c r="AM48" i="61" a="1"/>
  <c r="AM48" i="61" s="1"/>
  <c r="AL48" i="61" a="1"/>
  <c r="AL48" i="61" s="1"/>
  <c r="AK48" i="61" a="1"/>
  <c r="AK48" i="61" s="1"/>
  <c r="AJ48" i="61" a="1"/>
  <c r="AJ48" i="61" s="1"/>
  <c r="AI48" i="61" a="1"/>
  <c r="AI48" i="61" s="1"/>
  <c r="AX47" i="61"/>
  <c r="AW47" i="61" a="1"/>
  <c r="AW47" i="61" s="1"/>
  <c r="AV47" i="61"/>
  <c r="AU47" i="61"/>
  <c r="AT47" i="61"/>
  <c r="AO47" i="61" a="1"/>
  <c r="AO47" i="61" s="1"/>
  <c r="AN47" i="61" a="1"/>
  <c r="AN47" i="61" s="1"/>
  <c r="AM47" i="61" a="1"/>
  <c r="AM47" i="61" s="1"/>
  <c r="AL47" i="61" a="1"/>
  <c r="AL47" i="61" s="1"/>
  <c r="AK47" i="61" a="1"/>
  <c r="AK47" i="61" s="1"/>
  <c r="AJ47" i="61" a="1"/>
  <c r="AJ47" i="61" s="1"/>
  <c r="AI47" i="61" a="1"/>
  <c r="AI47" i="61" s="1"/>
  <c r="AX46" i="61"/>
  <c r="AW46" i="61" a="1"/>
  <c r="AW46" i="61" s="1"/>
  <c r="AV46" i="61"/>
  <c r="AU46" i="61"/>
  <c r="AT46" i="61"/>
  <c r="AO46" i="61" a="1"/>
  <c r="AO46" i="61" s="1"/>
  <c r="AN46" i="61" a="1"/>
  <c r="AN46" i="61" s="1"/>
  <c r="AM46" i="61" a="1"/>
  <c r="AM46" i="61" s="1"/>
  <c r="AL46" i="61" a="1"/>
  <c r="AL46" i="61" s="1"/>
  <c r="AK46" i="61" a="1"/>
  <c r="AK46" i="61" s="1"/>
  <c r="AJ46" i="61" a="1"/>
  <c r="AJ46" i="61" s="1"/>
  <c r="AI46" i="61" a="1"/>
  <c r="AI46" i="61" s="1"/>
  <c r="AX45" i="61"/>
  <c r="AW45" i="61" a="1"/>
  <c r="AW45" i="61" s="1"/>
  <c r="AV45" i="61"/>
  <c r="AU45" i="61"/>
  <c r="AT45" i="61"/>
  <c r="AO45" i="61" a="1"/>
  <c r="AO45" i="61" s="1"/>
  <c r="AN45" i="61" a="1"/>
  <c r="AN45" i="61" s="1"/>
  <c r="AM45" i="61" a="1"/>
  <c r="AM45" i="61" s="1"/>
  <c r="AL45" i="61" a="1"/>
  <c r="AL45" i="61" s="1"/>
  <c r="AK45" i="61" a="1"/>
  <c r="AK45" i="61" s="1"/>
  <c r="AJ45" i="61" a="1"/>
  <c r="AJ45" i="61" s="1"/>
  <c r="AI45" i="61" a="1"/>
  <c r="AI45" i="61" s="1"/>
  <c r="AX44" i="61"/>
  <c r="AW44" i="61" a="1"/>
  <c r="AW44" i="61" s="1"/>
  <c r="AV44" i="61"/>
  <c r="AU44" i="61"/>
  <c r="AT44" i="61"/>
  <c r="AO44" i="61" a="1"/>
  <c r="AO44" i="61" s="1"/>
  <c r="AN44" i="61" a="1"/>
  <c r="AN44" i="61" s="1"/>
  <c r="AM44" i="61" a="1"/>
  <c r="AM44" i="61" s="1"/>
  <c r="AL44" i="61" a="1"/>
  <c r="AL44" i="61" s="1"/>
  <c r="AK44" i="61" a="1"/>
  <c r="AK44" i="61" s="1"/>
  <c r="AJ44" i="61" a="1"/>
  <c r="AJ44" i="61" s="1"/>
  <c r="AI44" i="61" a="1"/>
  <c r="AI44" i="61" s="1"/>
  <c r="AX43" i="61"/>
  <c r="AW43" i="61" a="1"/>
  <c r="AW43" i="61" s="1"/>
  <c r="AV43" i="61"/>
  <c r="AU43" i="61"/>
  <c r="AT43" i="61"/>
  <c r="AO43" i="61" a="1"/>
  <c r="AO43" i="61" s="1"/>
  <c r="AN43" i="61" a="1"/>
  <c r="AN43" i="61" s="1"/>
  <c r="AM43" i="61" a="1"/>
  <c r="AM43" i="61" s="1"/>
  <c r="AL43" i="61" a="1"/>
  <c r="AL43" i="61" s="1"/>
  <c r="AK43" i="61" a="1"/>
  <c r="AK43" i="61" s="1"/>
  <c r="AJ43" i="61" a="1"/>
  <c r="AJ43" i="61" s="1"/>
  <c r="AI43" i="61" a="1"/>
  <c r="AI43" i="61" s="1"/>
  <c r="AX42" i="61"/>
  <c r="AW42" i="61" a="1"/>
  <c r="AW42" i="61" s="1"/>
  <c r="AV42" i="61"/>
  <c r="AU42" i="61"/>
  <c r="AT42" i="61"/>
  <c r="AO42" i="61" a="1"/>
  <c r="AO42" i="61" s="1"/>
  <c r="AN42" i="61" a="1"/>
  <c r="AN42" i="61" s="1"/>
  <c r="AM42" i="61" a="1"/>
  <c r="AM42" i="61" s="1"/>
  <c r="AL42" i="61" a="1"/>
  <c r="AL42" i="61" s="1"/>
  <c r="AK42" i="61" a="1"/>
  <c r="AK42" i="61" s="1"/>
  <c r="AJ42" i="61" a="1"/>
  <c r="AJ42" i="61" s="1"/>
  <c r="AI42" i="61" a="1"/>
  <c r="AI42" i="61" s="1"/>
  <c r="AX41" i="61"/>
  <c r="AW41" i="61" a="1"/>
  <c r="AW41" i="61" s="1"/>
  <c r="AV41" i="61"/>
  <c r="AU41" i="61"/>
  <c r="AT41" i="61"/>
  <c r="AO41" i="61" a="1"/>
  <c r="AO41" i="61" s="1"/>
  <c r="AN41" i="61" a="1"/>
  <c r="AN41" i="61" s="1"/>
  <c r="AM41" i="61" a="1"/>
  <c r="AM41" i="61" s="1"/>
  <c r="AL41" i="61" a="1"/>
  <c r="AL41" i="61" s="1"/>
  <c r="AK41" i="61" a="1"/>
  <c r="AK41" i="61" s="1"/>
  <c r="AJ41" i="61" a="1"/>
  <c r="AJ41" i="61" s="1"/>
  <c r="AI41" i="61" a="1"/>
  <c r="AI41" i="61" s="1"/>
  <c r="AX40" i="61"/>
  <c r="AW40" i="61" a="1"/>
  <c r="AW40" i="61" s="1"/>
  <c r="AV40" i="61"/>
  <c r="AU40" i="61"/>
  <c r="AT40" i="61"/>
  <c r="AO40" i="61" a="1"/>
  <c r="AO40" i="61" s="1"/>
  <c r="AN40" i="61" a="1"/>
  <c r="AN40" i="61" s="1"/>
  <c r="AM40" i="61" a="1"/>
  <c r="AM40" i="61" s="1"/>
  <c r="AL40" i="61" a="1"/>
  <c r="AL40" i="61" s="1"/>
  <c r="AK40" i="61" a="1"/>
  <c r="AK40" i="61" s="1"/>
  <c r="AJ40" i="61" a="1"/>
  <c r="AJ40" i="61" s="1"/>
  <c r="AI40" i="61" a="1"/>
  <c r="AI40" i="61" s="1"/>
  <c r="AX39" i="61"/>
  <c r="AW39" i="61" a="1"/>
  <c r="AW39" i="61" s="1"/>
  <c r="AV39" i="61"/>
  <c r="AU39" i="61"/>
  <c r="AT39" i="61"/>
  <c r="AO39" i="61" a="1"/>
  <c r="AO39" i="61" s="1"/>
  <c r="AN39" i="61" a="1"/>
  <c r="AN39" i="61" s="1"/>
  <c r="AM39" i="61" a="1"/>
  <c r="AM39" i="61" s="1"/>
  <c r="AL39" i="61" a="1"/>
  <c r="AL39" i="61" s="1"/>
  <c r="AK39" i="61" a="1"/>
  <c r="AK39" i="61" s="1"/>
  <c r="AJ39" i="61" a="1"/>
  <c r="AJ39" i="61" s="1"/>
  <c r="AI39" i="61" a="1"/>
  <c r="AI39" i="61" s="1"/>
  <c r="AX38" i="61"/>
  <c r="AW38" i="61" a="1"/>
  <c r="AW38" i="61" s="1"/>
  <c r="AV38" i="61"/>
  <c r="AU38" i="61"/>
  <c r="AT38" i="61"/>
  <c r="AO38" i="61" a="1"/>
  <c r="AO38" i="61" s="1"/>
  <c r="AN38" i="61" a="1"/>
  <c r="AN38" i="61" s="1"/>
  <c r="AM38" i="61" a="1"/>
  <c r="AM38" i="61" s="1"/>
  <c r="AL38" i="61" a="1"/>
  <c r="AL38" i="61" s="1"/>
  <c r="AK38" i="61" a="1"/>
  <c r="AK38" i="61" s="1"/>
  <c r="AJ38" i="61" a="1"/>
  <c r="AJ38" i="61" s="1"/>
  <c r="AI38" i="61" a="1"/>
  <c r="AI38" i="61" s="1"/>
  <c r="AX37" i="61"/>
  <c r="AW37" i="61" a="1"/>
  <c r="AW37" i="61" s="1"/>
  <c r="AV37" i="61"/>
  <c r="AU37" i="61"/>
  <c r="AT37" i="61"/>
  <c r="AO37" i="61" a="1"/>
  <c r="AO37" i="61" s="1"/>
  <c r="AN37" i="61" a="1"/>
  <c r="AN37" i="61" s="1"/>
  <c r="AM37" i="61" a="1"/>
  <c r="AM37" i="61" s="1"/>
  <c r="AL37" i="61" a="1"/>
  <c r="AL37" i="61" s="1"/>
  <c r="AK37" i="61" a="1"/>
  <c r="AK37" i="61" s="1"/>
  <c r="AJ37" i="61" a="1"/>
  <c r="AJ37" i="61" s="1"/>
  <c r="AI37" i="61" a="1"/>
  <c r="AI37" i="61" s="1"/>
  <c r="AX36" i="61"/>
  <c r="AW36" i="61" a="1"/>
  <c r="AW36" i="61" s="1"/>
  <c r="AV36" i="61"/>
  <c r="AU36" i="61"/>
  <c r="AT36" i="61"/>
  <c r="AO36" i="61" a="1"/>
  <c r="AO36" i="61" s="1"/>
  <c r="AN36" i="61" a="1"/>
  <c r="AN36" i="61" s="1"/>
  <c r="AM36" i="61" a="1"/>
  <c r="AM36" i="61" s="1"/>
  <c r="AL36" i="61" a="1"/>
  <c r="AL36" i="61" s="1"/>
  <c r="AK36" i="61" a="1"/>
  <c r="AK36" i="61" s="1"/>
  <c r="AJ36" i="61" a="1"/>
  <c r="AJ36" i="61" s="1"/>
  <c r="AI36" i="61" a="1"/>
  <c r="AI36" i="61" s="1"/>
  <c r="AX35" i="61"/>
  <c r="AW35" i="61" a="1"/>
  <c r="AW35" i="61" s="1"/>
  <c r="AV35" i="61"/>
  <c r="AU35" i="61"/>
  <c r="AT35" i="61"/>
  <c r="AO35" i="61" a="1"/>
  <c r="AO35" i="61" s="1"/>
  <c r="AN35" i="61" a="1"/>
  <c r="AN35" i="61" s="1"/>
  <c r="AM35" i="61" a="1"/>
  <c r="AM35" i="61" s="1"/>
  <c r="AL35" i="61" a="1"/>
  <c r="AL35" i="61" s="1"/>
  <c r="AK35" i="61" a="1"/>
  <c r="AK35" i="61" s="1"/>
  <c r="AJ35" i="61" a="1"/>
  <c r="AJ35" i="61" s="1"/>
  <c r="AI35" i="61" a="1"/>
  <c r="AI35" i="61" s="1"/>
  <c r="AX34" i="61"/>
  <c r="AW34" i="61" a="1"/>
  <c r="AW34" i="61" s="1"/>
  <c r="AV34" i="61"/>
  <c r="AU34" i="61"/>
  <c r="AT34" i="61"/>
  <c r="AO34" i="61" a="1"/>
  <c r="AO34" i="61" s="1"/>
  <c r="AN34" i="61" a="1"/>
  <c r="AN34" i="61" s="1"/>
  <c r="AM34" i="61" a="1"/>
  <c r="AM34" i="61" s="1"/>
  <c r="AL34" i="61" a="1"/>
  <c r="AL34" i="61" s="1"/>
  <c r="AK34" i="61" a="1"/>
  <c r="AK34" i="61" s="1"/>
  <c r="AJ34" i="61" a="1"/>
  <c r="AJ34" i="61" s="1"/>
  <c r="AI34" i="61" a="1"/>
  <c r="AI34" i="61" s="1"/>
  <c r="AX33" i="61"/>
  <c r="AW33" i="61" a="1"/>
  <c r="AW33" i="61" s="1"/>
  <c r="AV33" i="61"/>
  <c r="AU33" i="61"/>
  <c r="AT33" i="61"/>
  <c r="AO33" i="61" a="1"/>
  <c r="AO33" i="61" s="1"/>
  <c r="AN33" i="61" a="1"/>
  <c r="AN33" i="61" s="1"/>
  <c r="AM33" i="61" a="1"/>
  <c r="AM33" i="61" s="1"/>
  <c r="AL33" i="61" a="1"/>
  <c r="AL33" i="61" s="1"/>
  <c r="AK33" i="61" a="1"/>
  <c r="AK33" i="61" s="1"/>
  <c r="AJ33" i="61" a="1"/>
  <c r="AJ33" i="61" s="1"/>
  <c r="AI33" i="61" a="1"/>
  <c r="AI33" i="61" s="1"/>
  <c r="AX32" i="61"/>
  <c r="AW32" i="61" a="1"/>
  <c r="AW32" i="61" s="1"/>
  <c r="AV32" i="61"/>
  <c r="AU32" i="61"/>
  <c r="AT32" i="61"/>
  <c r="AO32" i="61" a="1"/>
  <c r="AO32" i="61" s="1"/>
  <c r="AN32" i="61" a="1"/>
  <c r="AN32" i="61" s="1"/>
  <c r="AM32" i="61" a="1"/>
  <c r="AM32" i="61" s="1"/>
  <c r="AL32" i="61" a="1"/>
  <c r="AL32" i="61" s="1"/>
  <c r="AK32" i="61" a="1"/>
  <c r="AK32" i="61" s="1"/>
  <c r="AJ32" i="61" a="1"/>
  <c r="AJ32" i="61" s="1"/>
  <c r="AI32" i="61" a="1"/>
  <c r="AI32" i="61" s="1"/>
  <c r="AX31" i="61"/>
  <c r="AW31" i="61" a="1"/>
  <c r="AW31" i="61" s="1"/>
  <c r="AV31" i="61"/>
  <c r="AU31" i="61"/>
  <c r="AT31" i="61"/>
  <c r="AO31" i="61" a="1"/>
  <c r="AO31" i="61" s="1"/>
  <c r="AN31" i="61" a="1"/>
  <c r="AN31" i="61" s="1"/>
  <c r="AM31" i="61" a="1"/>
  <c r="AM31" i="61" s="1"/>
  <c r="AL31" i="61" a="1"/>
  <c r="AL31" i="61" s="1"/>
  <c r="AK31" i="61" a="1"/>
  <c r="AK31" i="61" s="1"/>
  <c r="AJ31" i="61" a="1"/>
  <c r="AJ31" i="61" s="1"/>
  <c r="AI31" i="61" a="1"/>
  <c r="AI31" i="61" s="1"/>
  <c r="AX30" i="61"/>
  <c r="AW30" i="61" a="1"/>
  <c r="AW30" i="61" s="1"/>
  <c r="AV30" i="61"/>
  <c r="AU30" i="61"/>
  <c r="AT30" i="61"/>
  <c r="AO30" i="61" a="1"/>
  <c r="AO30" i="61" s="1"/>
  <c r="AN30" i="61" a="1"/>
  <c r="AN30" i="61" s="1"/>
  <c r="AM30" i="61" a="1"/>
  <c r="AM30" i="61" s="1"/>
  <c r="AL30" i="61" a="1"/>
  <c r="AL30" i="61" s="1"/>
  <c r="AK30" i="61" a="1"/>
  <c r="AK30" i="61" s="1"/>
  <c r="AJ30" i="61" a="1"/>
  <c r="AJ30" i="61" s="1"/>
  <c r="AI30" i="61" a="1"/>
  <c r="AI30" i="61" s="1"/>
  <c r="AX29" i="61"/>
  <c r="AW29" i="61" a="1"/>
  <c r="AW29" i="61" s="1"/>
  <c r="AV29" i="61"/>
  <c r="AU29" i="61"/>
  <c r="AT29" i="61"/>
  <c r="AO29" i="61" a="1"/>
  <c r="AO29" i="61" s="1"/>
  <c r="AN29" i="61" a="1"/>
  <c r="AN29" i="61" s="1"/>
  <c r="AM29" i="61" a="1"/>
  <c r="AM29" i="61" s="1"/>
  <c r="AL29" i="61" a="1"/>
  <c r="AL29" i="61" s="1"/>
  <c r="AK29" i="61" a="1"/>
  <c r="AK29" i="61" s="1"/>
  <c r="AJ29" i="61" a="1"/>
  <c r="AJ29" i="61" s="1"/>
  <c r="AI29" i="61" a="1"/>
  <c r="AI29" i="61" s="1"/>
  <c r="AX28" i="61"/>
  <c r="AW28" i="61" a="1"/>
  <c r="AW28" i="61" s="1"/>
  <c r="AV28" i="61"/>
  <c r="AU28" i="61"/>
  <c r="AT28" i="61"/>
  <c r="AO28" i="61" a="1"/>
  <c r="AO28" i="61" s="1"/>
  <c r="AN28" i="61" a="1"/>
  <c r="AN28" i="61" s="1"/>
  <c r="AM28" i="61" a="1"/>
  <c r="AM28" i="61" s="1"/>
  <c r="AL28" i="61" a="1"/>
  <c r="AL28" i="61" s="1"/>
  <c r="AK28" i="61" a="1"/>
  <c r="AK28" i="61" s="1"/>
  <c r="AJ28" i="61" a="1"/>
  <c r="AJ28" i="61" s="1"/>
  <c r="AI28" i="61" a="1"/>
  <c r="AI28" i="61" s="1"/>
  <c r="AX27" i="61"/>
  <c r="AW27" i="61" a="1"/>
  <c r="AW27" i="61" s="1"/>
  <c r="AV27" i="61"/>
  <c r="AU27" i="61"/>
  <c r="AT27" i="61"/>
  <c r="AO27" i="61" a="1"/>
  <c r="AO27" i="61" s="1"/>
  <c r="AN27" i="61" a="1"/>
  <c r="AN27" i="61" s="1"/>
  <c r="AM27" i="61" a="1"/>
  <c r="AM27" i="61" s="1"/>
  <c r="AL27" i="61" a="1"/>
  <c r="AL27" i="61" s="1"/>
  <c r="AK27" i="61" a="1"/>
  <c r="AK27" i="61" s="1"/>
  <c r="AJ27" i="61" a="1"/>
  <c r="AJ27" i="61" s="1"/>
  <c r="AI27" i="61" a="1"/>
  <c r="AI27" i="61" s="1"/>
  <c r="AX26" i="61"/>
  <c r="AW26" i="61" a="1"/>
  <c r="AW26" i="61" s="1"/>
  <c r="AV26" i="61"/>
  <c r="AU26" i="61"/>
  <c r="AT26" i="61"/>
  <c r="AO26" i="61" a="1"/>
  <c r="AO26" i="61" s="1"/>
  <c r="AN26" i="61" a="1"/>
  <c r="AN26" i="61" s="1"/>
  <c r="AM26" i="61" a="1"/>
  <c r="AM26" i="61" s="1"/>
  <c r="AL26" i="61" a="1"/>
  <c r="AL26" i="61" s="1"/>
  <c r="AK26" i="61" a="1"/>
  <c r="AK26" i="61" s="1"/>
  <c r="AJ26" i="61" a="1"/>
  <c r="AJ26" i="61" s="1"/>
  <c r="AI26" i="61" a="1"/>
  <c r="AI26" i="61" s="1"/>
  <c r="AX25" i="61"/>
  <c r="AW25" i="61" a="1"/>
  <c r="AW25" i="61" s="1"/>
  <c r="AV25" i="61"/>
  <c r="AU25" i="61"/>
  <c r="AT25" i="61"/>
  <c r="AO25" i="61" a="1"/>
  <c r="AO25" i="61" s="1"/>
  <c r="AN25" i="61" a="1"/>
  <c r="AN25" i="61" s="1"/>
  <c r="AM25" i="61" a="1"/>
  <c r="AM25" i="61" s="1"/>
  <c r="AL25" i="61" a="1"/>
  <c r="AL25" i="61" s="1"/>
  <c r="AK25" i="61" a="1"/>
  <c r="AK25" i="61" s="1"/>
  <c r="AJ25" i="61" a="1"/>
  <c r="AJ25" i="61" s="1"/>
  <c r="AI25" i="61" a="1"/>
  <c r="AI25" i="61" s="1"/>
  <c r="AX24" i="61"/>
  <c r="AW24" i="61" a="1"/>
  <c r="AW24" i="61" s="1"/>
  <c r="AV24" i="61"/>
  <c r="AU24" i="61"/>
  <c r="AT24" i="61"/>
  <c r="AO24" i="61" a="1"/>
  <c r="AO24" i="61" s="1"/>
  <c r="AN24" i="61" a="1"/>
  <c r="AN24" i="61" s="1"/>
  <c r="AM24" i="61" a="1"/>
  <c r="AM24" i="61" s="1"/>
  <c r="AL24" i="61" a="1"/>
  <c r="AL24" i="61" s="1"/>
  <c r="AK24" i="61" a="1"/>
  <c r="AK24" i="61" s="1"/>
  <c r="AJ24" i="61" a="1"/>
  <c r="AJ24" i="61" s="1"/>
  <c r="AI24" i="61" a="1"/>
  <c r="AI24" i="61" s="1"/>
  <c r="AX23" i="61"/>
  <c r="AW23" i="61" a="1"/>
  <c r="AW23" i="61" s="1"/>
  <c r="AV23" i="61"/>
  <c r="AU23" i="61"/>
  <c r="AT23" i="61"/>
  <c r="AO23" i="61" a="1"/>
  <c r="AO23" i="61" s="1"/>
  <c r="AN23" i="61" a="1"/>
  <c r="AN23" i="61" s="1"/>
  <c r="AM23" i="61" a="1"/>
  <c r="AM23" i="61" s="1"/>
  <c r="AL23" i="61" a="1"/>
  <c r="AL23" i="61" s="1"/>
  <c r="AK23" i="61" a="1"/>
  <c r="AK23" i="61" s="1"/>
  <c r="AJ23" i="61" a="1"/>
  <c r="AJ23" i="61" s="1"/>
  <c r="AI23" i="61" a="1"/>
  <c r="AI23" i="61" s="1"/>
  <c r="AX22" i="61"/>
  <c r="AW22" i="61" a="1"/>
  <c r="AW22" i="61" s="1"/>
  <c r="AV22" i="61"/>
  <c r="AU22" i="61"/>
  <c r="AT22" i="61"/>
  <c r="AO22" i="61" a="1"/>
  <c r="AO22" i="61" s="1"/>
  <c r="AN22" i="61" a="1"/>
  <c r="AN22" i="61" s="1"/>
  <c r="AM22" i="61" a="1"/>
  <c r="AM22" i="61" s="1"/>
  <c r="AL22" i="61" a="1"/>
  <c r="AL22" i="61" s="1"/>
  <c r="AK22" i="61" a="1"/>
  <c r="AK22" i="61" s="1"/>
  <c r="AJ22" i="61" a="1"/>
  <c r="AJ22" i="61" s="1"/>
  <c r="AI22" i="61" a="1"/>
  <c r="AI22" i="61" s="1"/>
  <c r="AX21" i="61"/>
  <c r="AW21" i="61" a="1"/>
  <c r="AW21" i="61" s="1"/>
  <c r="AV21" i="61"/>
  <c r="AU21" i="61"/>
  <c r="AT21" i="61"/>
  <c r="AO21" i="61" a="1"/>
  <c r="AO21" i="61" s="1"/>
  <c r="AN21" i="61" a="1"/>
  <c r="AN21" i="61" s="1"/>
  <c r="AM21" i="61" a="1"/>
  <c r="AM21" i="61" s="1"/>
  <c r="AL21" i="61" a="1"/>
  <c r="AL21" i="61" s="1"/>
  <c r="AK21" i="61" a="1"/>
  <c r="AK21" i="61" s="1"/>
  <c r="AJ21" i="61" a="1"/>
  <c r="AJ21" i="61" s="1"/>
  <c r="AI21" i="61" a="1"/>
  <c r="AI21" i="61" s="1"/>
  <c r="AX20" i="61"/>
  <c r="AW20" i="61" a="1"/>
  <c r="AW20" i="61" s="1"/>
  <c r="AV20" i="61"/>
  <c r="AU20" i="61"/>
  <c r="AT20" i="61"/>
  <c r="AO20" i="61" a="1"/>
  <c r="AO20" i="61" s="1"/>
  <c r="AN20" i="61" a="1"/>
  <c r="AN20" i="61" s="1"/>
  <c r="AM20" i="61" a="1"/>
  <c r="AM20" i="61" s="1"/>
  <c r="AL20" i="61" a="1"/>
  <c r="AL20" i="61" s="1"/>
  <c r="AK20" i="61" a="1"/>
  <c r="AK20" i="61" s="1"/>
  <c r="AJ20" i="61" a="1"/>
  <c r="AJ20" i="61" s="1"/>
  <c r="AI20" i="61" a="1"/>
  <c r="AI20" i="61" s="1"/>
  <c r="AX19" i="61"/>
  <c r="AW19" i="61" a="1"/>
  <c r="AW19" i="61" s="1"/>
  <c r="AV19" i="61"/>
  <c r="AU19" i="61"/>
  <c r="AT19" i="61"/>
  <c r="AO19" i="61" a="1"/>
  <c r="AO19" i="61" s="1"/>
  <c r="AN19" i="61" a="1"/>
  <c r="AN19" i="61" s="1"/>
  <c r="AM19" i="61" a="1"/>
  <c r="AM19" i="61" s="1"/>
  <c r="AL19" i="61" a="1"/>
  <c r="AL19" i="61" s="1"/>
  <c r="AK19" i="61" a="1"/>
  <c r="AK19" i="61" s="1"/>
  <c r="AJ19" i="61" a="1"/>
  <c r="AJ19" i="61" s="1"/>
  <c r="AI19" i="61" a="1"/>
  <c r="AI19" i="61" s="1"/>
  <c r="AX18" i="61"/>
  <c r="AW18" i="61" a="1"/>
  <c r="AW18" i="61" s="1"/>
  <c r="AV18" i="61"/>
  <c r="AU18" i="61"/>
  <c r="AT18" i="61"/>
  <c r="AO18" i="61" a="1"/>
  <c r="AO18" i="61" s="1"/>
  <c r="AN18" i="61" a="1"/>
  <c r="AN18" i="61" s="1"/>
  <c r="AM18" i="61" a="1"/>
  <c r="AM18" i="61" s="1"/>
  <c r="AL18" i="61" a="1"/>
  <c r="AL18" i="61" s="1"/>
  <c r="AK18" i="61" a="1"/>
  <c r="AK18" i="61" s="1"/>
  <c r="AJ18" i="61" a="1"/>
  <c r="AJ18" i="61" s="1"/>
  <c r="AI18" i="61" a="1"/>
  <c r="AI18" i="61" s="1"/>
  <c r="AX17" i="61"/>
  <c r="AW17" i="61" a="1"/>
  <c r="AW17" i="61" s="1"/>
  <c r="AV17" i="61"/>
  <c r="AU17" i="61"/>
  <c r="AT17" i="61"/>
  <c r="AO17" i="61" a="1"/>
  <c r="AO17" i="61" s="1"/>
  <c r="AN17" i="61" a="1"/>
  <c r="AN17" i="61" s="1"/>
  <c r="AM17" i="61" a="1"/>
  <c r="AM17" i="61" s="1"/>
  <c r="AL17" i="61" a="1"/>
  <c r="AL17" i="61" s="1"/>
  <c r="AK17" i="61" a="1"/>
  <c r="AK17" i="61" s="1"/>
  <c r="AJ17" i="61" a="1"/>
  <c r="AJ17" i="61" s="1"/>
  <c r="AI17" i="61" a="1"/>
  <c r="AI17" i="61" s="1"/>
  <c r="AX16" i="61"/>
  <c r="AW16" i="61" a="1"/>
  <c r="AW16" i="61" s="1"/>
  <c r="AV16" i="61"/>
  <c r="AU16" i="61"/>
  <c r="AT16" i="61"/>
  <c r="AO16" i="61" a="1"/>
  <c r="AO16" i="61" s="1"/>
  <c r="AN16" i="61" a="1"/>
  <c r="AN16" i="61" s="1"/>
  <c r="AM16" i="61" a="1"/>
  <c r="AM16" i="61" s="1"/>
  <c r="AL16" i="61" a="1"/>
  <c r="AL16" i="61" s="1"/>
  <c r="AK16" i="61" a="1"/>
  <c r="AK16" i="61" s="1"/>
  <c r="AJ16" i="61" a="1"/>
  <c r="AJ16" i="61" s="1"/>
  <c r="AI16" i="61" a="1"/>
  <c r="AI16" i="61" s="1"/>
  <c r="AX15" i="61"/>
  <c r="AW15" i="61" a="1"/>
  <c r="AW15" i="61" s="1"/>
  <c r="AV15" i="61"/>
  <c r="AU15" i="61"/>
  <c r="AT15" i="61"/>
  <c r="AO15" i="61" a="1"/>
  <c r="AO15" i="61" s="1"/>
  <c r="AN15" i="61" a="1"/>
  <c r="AN15" i="61" s="1"/>
  <c r="AM15" i="61" a="1"/>
  <c r="AM15" i="61" s="1"/>
  <c r="AL15" i="61" a="1"/>
  <c r="AL15" i="61" s="1"/>
  <c r="AK15" i="61" a="1"/>
  <c r="AK15" i="61" s="1"/>
  <c r="AJ15" i="61" a="1"/>
  <c r="AJ15" i="61" s="1"/>
  <c r="AI15" i="61" a="1"/>
  <c r="AI15" i="61" s="1"/>
  <c r="AX14" i="61"/>
  <c r="AW14" i="61" a="1"/>
  <c r="AW14" i="61" s="1"/>
  <c r="AV14" i="61"/>
  <c r="AU14" i="61"/>
  <c r="AT14" i="61"/>
  <c r="AO14" i="61" a="1"/>
  <c r="AO14" i="61" s="1"/>
  <c r="AN14" i="61" a="1"/>
  <c r="AN14" i="61" s="1"/>
  <c r="AM14" i="61" a="1"/>
  <c r="AM14" i="61" s="1"/>
  <c r="AL14" i="61" a="1"/>
  <c r="AL14" i="61" s="1"/>
  <c r="AK14" i="61" a="1"/>
  <c r="AK14" i="61" s="1"/>
  <c r="AJ14" i="61" a="1"/>
  <c r="AJ14" i="61" s="1"/>
  <c r="AI14" i="61" a="1"/>
  <c r="AI14" i="61" s="1"/>
  <c r="AX13" i="61"/>
  <c r="AW13" i="61" a="1"/>
  <c r="AW13" i="61" s="1"/>
  <c r="AV13" i="61"/>
  <c r="AU13" i="61"/>
  <c r="AT13" i="61"/>
  <c r="AO13" i="61" a="1"/>
  <c r="AO13" i="61" s="1"/>
  <c r="AN13" i="61" a="1"/>
  <c r="AN13" i="61" s="1"/>
  <c r="AM13" i="61" a="1"/>
  <c r="AM13" i="61" s="1"/>
  <c r="AL13" i="61" a="1"/>
  <c r="AL13" i="61" s="1"/>
  <c r="AK13" i="61" a="1"/>
  <c r="AK13" i="61" s="1"/>
  <c r="AJ13" i="61" a="1"/>
  <c r="AJ13" i="61" s="1"/>
  <c r="AI13" i="61" a="1"/>
  <c r="AI13" i="61" s="1"/>
  <c r="AX12" i="61"/>
  <c r="AX69" i="61" s="1"/>
  <c r="AW12" i="61" a="1"/>
  <c r="AW12" i="61" s="1"/>
  <c r="AW69" i="61" s="1"/>
  <c r="AV12" i="61"/>
  <c r="AV69" i="61" s="1"/>
  <c r="AU12" i="61"/>
  <c r="AU69" i="61" s="1"/>
  <c r="AT12" i="61"/>
  <c r="AT69" i="61" s="1"/>
  <c r="AO12" i="61" a="1"/>
  <c r="AO12" i="61" s="1"/>
  <c r="AN12" i="61" a="1"/>
  <c r="AN12" i="61" s="1"/>
  <c r="AM12" i="61" a="1"/>
  <c r="AM12" i="61" s="1"/>
  <c r="AL12" i="61" a="1"/>
  <c r="AL12" i="61" s="1"/>
  <c r="AK12" i="61" a="1"/>
  <c r="AK12" i="61" s="1"/>
  <c r="AJ12" i="61" a="1"/>
  <c r="AJ12" i="61" s="1"/>
  <c r="AI12" i="61" a="1"/>
  <c r="AI12" i="61" s="1"/>
  <c r="AX11" i="61"/>
  <c r="AW11" i="61" a="1"/>
  <c r="AW11" i="61" s="1"/>
  <c r="AV11" i="61"/>
  <c r="AU11" i="61"/>
  <c r="AT11" i="61"/>
  <c r="AO11" i="61" a="1"/>
  <c r="AO11" i="61" s="1"/>
  <c r="AN11" i="61" a="1"/>
  <c r="AN11" i="61" s="1"/>
  <c r="AM11" i="61" a="1"/>
  <c r="AM11" i="61" s="1"/>
  <c r="AL11" i="61" a="1"/>
  <c r="AL11" i="61" s="1"/>
  <c r="AK11" i="61" a="1"/>
  <c r="AK11" i="61" s="1"/>
  <c r="AJ11" i="61" a="1"/>
  <c r="AJ11" i="61" s="1"/>
  <c r="AI11" i="61" a="1"/>
  <c r="AI11" i="61" s="1"/>
  <c r="AX10" i="61"/>
  <c r="AW10" i="61" a="1"/>
  <c r="AW10" i="61" s="1"/>
  <c r="AV10" i="61"/>
  <c r="AU10" i="61"/>
  <c r="AT10" i="61"/>
  <c r="AO10" i="61" a="1"/>
  <c r="AO10" i="61" s="1"/>
  <c r="AN10" i="61" a="1"/>
  <c r="AN10" i="61" s="1"/>
  <c r="AM10" i="61" a="1"/>
  <c r="AM10" i="61" s="1"/>
  <c r="AL10" i="61" a="1"/>
  <c r="AL10" i="61" s="1"/>
  <c r="AK10" i="61" a="1"/>
  <c r="AK10" i="61" s="1"/>
  <c r="AJ10" i="61" a="1"/>
  <c r="AJ10" i="61" s="1"/>
  <c r="AI10" i="61" a="1"/>
  <c r="AI10" i="61" s="1"/>
  <c r="AX9" i="61"/>
  <c r="AW9" i="61" a="1"/>
  <c r="AW9" i="61" s="1"/>
  <c r="AV9" i="61"/>
  <c r="AU9" i="61"/>
  <c r="AT9" i="61"/>
  <c r="AO9" i="61" a="1"/>
  <c r="AO9" i="61" s="1"/>
  <c r="AN9" i="61" a="1"/>
  <c r="AN9" i="61" s="1"/>
  <c r="AM9" i="61" a="1"/>
  <c r="AM9" i="61" s="1"/>
  <c r="AL9" i="61" a="1"/>
  <c r="AL9" i="61" s="1"/>
  <c r="AK9" i="61" a="1"/>
  <c r="AK9" i="61" s="1"/>
  <c r="AJ9" i="61" a="1"/>
  <c r="AJ9" i="61" s="1"/>
  <c r="AI9" i="61" a="1"/>
  <c r="AI9" i="61" s="1"/>
  <c r="AX8" i="61"/>
  <c r="AW8" i="61" a="1"/>
  <c r="AW8" i="61" s="1"/>
  <c r="AV8" i="61"/>
  <c r="AU8" i="61"/>
  <c r="AT8" i="61"/>
  <c r="AO8" i="61" a="1"/>
  <c r="AO8" i="61" s="1"/>
  <c r="AN8" i="61" a="1"/>
  <c r="AN8" i="61" s="1"/>
  <c r="AM8" i="61" a="1"/>
  <c r="AM8" i="61" s="1"/>
  <c r="AL8" i="61" a="1"/>
  <c r="AL8" i="61" s="1"/>
  <c r="AK8" i="61" a="1"/>
  <c r="AK8" i="61" s="1"/>
  <c r="AJ8" i="61" a="1"/>
  <c r="AJ8" i="61" s="1"/>
  <c r="AI8" i="61" a="1"/>
  <c r="AI8" i="61" s="1"/>
  <c r="AX7" i="61"/>
  <c r="AW7" i="61" a="1"/>
  <c r="AW7" i="61" s="1"/>
  <c r="AV7" i="61"/>
  <c r="AU7" i="61"/>
  <c r="AT7" i="61"/>
  <c r="AO7" i="61" a="1"/>
  <c r="AO7" i="61" s="1"/>
  <c r="AN7" i="61" a="1"/>
  <c r="AN7" i="61" s="1"/>
  <c r="AM7" i="61" a="1"/>
  <c r="AM7" i="61" s="1"/>
  <c r="AL7" i="61" a="1"/>
  <c r="AL7" i="61" s="1"/>
  <c r="AK7" i="61" a="1"/>
  <c r="AK7" i="61" s="1"/>
  <c r="AJ7" i="61" a="1"/>
  <c r="AJ7" i="61" s="1"/>
  <c r="AI7" i="61" a="1"/>
  <c r="AI7" i="61" s="1"/>
  <c r="AX6" i="61"/>
  <c r="AW6" i="61" a="1"/>
  <c r="AW6" i="61" s="1"/>
  <c r="AV6" i="61"/>
  <c r="AU6" i="61"/>
  <c r="AT6" i="61"/>
  <c r="AO6" i="61" a="1"/>
  <c r="AO6" i="61" s="1"/>
  <c r="AN6" i="61" a="1"/>
  <c r="AN6" i="61" s="1"/>
  <c r="AM6" i="61" a="1"/>
  <c r="AM6" i="61" s="1"/>
  <c r="AL6" i="61" a="1"/>
  <c r="AL6" i="61" s="1"/>
  <c r="AK6" i="61" a="1"/>
  <c r="AK6" i="61" s="1"/>
  <c r="AJ6" i="61" a="1"/>
  <c r="AJ6" i="61" s="1"/>
  <c r="AI6" i="61" a="1"/>
  <c r="AI6" i="61" s="1"/>
  <c r="C68" i="60"/>
  <c r="C67" i="60"/>
  <c r="C66" i="60"/>
  <c r="C65" i="60"/>
  <c r="AZ61" i="60"/>
  <c r="AY61" i="60" a="1"/>
  <c r="AY61" i="60" s="1"/>
  <c r="AX61" i="60"/>
  <c r="AW61" i="60"/>
  <c r="AV61" i="60"/>
  <c r="AP61" i="60" a="1"/>
  <c r="AP61" i="60" s="1"/>
  <c r="AO61" i="60" a="1"/>
  <c r="AO61" i="60" s="1"/>
  <c r="AN61" i="60" a="1"/>
  <c r="AN61" i="60" s="1"/>
  <c r="AM61" i="60" a="1"/>
  <c r="AM61" i="60" s="1"/>
  <c r="AL61" i="60" a="1"/>
  <c r="AL61" i="60" s="1"/>
  <c r="AK61" i="60" a="1"/>
  <c r="AK61" i="60" s="1"/>
  <c r="AJ61" i="60" a="1"/>
  <c r="AJ61" i="60" s="1"/>
  <c r="AZ59" i="60"/>
  <c r="AY59" i="60" a="1"/>
  <c r="AY59" i="60" s="1"/>
  <c r="AX59" i="60"/>
  <c r="AW59" i="60"/>
  <c r="AV59" i="60"/>
  <c r="AP59" i="60" a="1"/>
  <c r="AP59" i="60" s="1"/>
  <c r="AO59" i="60" a="1"/>
  <c r="AO59" i="60" s="1"/>
  <c r="AN59" i="60" a="1"/>
  <c r="AN59" i="60" s="1"/>
  <c r="AM59" i="60" a="1"/>
  <c r="AM59" i="60" s="1"/>
  <c r="AL59" i="60" a="1"/>
  <c r="AL59" i="60" s="1"/>
  <c r="AK59" i="60" a="1"/>
  <c r="AK59" i="60" s="1"/>
  <c r="AJ59" i="60" a="1"/>
  <c r="AJ59" i="60" s="1"/>
  <c r="AZ57" i="60"/>
  <c r="AY57" i="60" a="1"/>
  <c r="AY57" i="60" s="1"/>
  <c r="AX57" i="60"/>
  <c r="AW57" i="60"/>
  <c r="AV57" i="60"/>
  <c r="AP57" i="60" a="1"/>
  <c r="AP57" i="60" s="1"/>
  <c r="AO57" i="60" a="1"/>
  <c r="AO57" i="60" s="1"/>
  <c r="AN57" i="60" a="1"/>
  <c r="AN57" i="60" s="1"/>
  <c r="AM57" i="60" a="1"/>
  <c r="AM57" i="60" s="1"/>
  <c r="AL57" i="60" a="1"/>
  <c r="AL57" i="60" s="1"/>
  <c r="AK57" i="60" a="1"/>
  <c r="AK57" i="60" s="1"/>
  <c r="AJ57" i="60" a="1"/>
  <c r="AJ57" i="60" s="1"/>
  <c r="AZ55" i="60"/>
  <c r="AY55" i="60" a="1"/>
  <c r="AY55" i="60" s="1"/>
  <c r="AX55" i="60"/>
  <c r="AW55" i="60"/>
  <c r="AV55" i="60"/>
  <c r="AP55" i="60" a="1"/>
  <c r="AP55" i="60" s="1"/>
  <c r="AO55" i="60" a="1"/>
  <c r="AO55" i="60" s="1"/>
  <c r="AN55" i="60" a="1"/>
  <c r="AN55" i="60" s="1"/>
  <c r="AM55" i="60" a="1"/>
  <c r="AM55" i="60" s="1"/>
  <c r="AL55" i="60" a="1"/>
  <c r="AL55" i="60" s="1"/>
  <c r="AK55" i="60" a="1"/>
  <c r="AK55" i="60" s="1"/>
  <c r="AJ55" i="60" a="1"/>
  <c r="AJ55" i="60" s="1"/>
  <c r="AZ54" i="60"/>
  <c r="AY54" i="60" a="1"/>
  <c r="AY54" i="60" s="1"/>
  <c r="AX54" i="60"/>
  <c r="AW54" i="60"/>
  <c r="AV54" i="60"/>
  <c r="AP54" i="60" a="1"/>
  <c r="AP54" i="60" s="1"/>
  <c r="AO54" i="60" a="1"/>
  <c r="AO54" i="60" s="1"/>
  <c r="AN54" i="60" a="1"/>
  <c r="AN54" i="60" s="1"/>
  <c r="AM54" i="60" a="1"/>
  <c r="AM54" i="60" s="1"/>
  <c r="AL54" i="60" a="1"/>
  <c r="AL54" i="60" s="1"/>
  <c r="AK54" i="60" a="1"/>
  <c r="AK54" i="60" s="1"/>
  <c r="AJ54" i="60" a="1"/>
  <c r="AJ54" i="60" s="1"/>
  <c r="AZ53" i="60"/>
  <c r="AY53" i="60" a="1"/>
  <c r="AY53" i="60" s="1"/>
  <c r="AX53" i="60"/>
  <c r="AW53" i="60"/>
  <c r="AV53" i="60"/>
  <c r="AP53" i="60" a="1"/>
  <c r="AP53" i="60" s="1"/>
  <c r="AO53" i="60" a="1"/>
  <c r="AO53" i="60" s="1"/>
  <c r="AN53" i="60" a="1"/>
  <c r="AN53" i="60" s="1"/>
  <c r="AM53" i="60" a="1"/>
  <c r="AM53" i="60" s="1"/>
  <c r="AL53" i="60" a="1"/>
  <c r="AL53" i="60" s="1"/>
  <c r="AK53" i="60" a="1"/>
  <c r="AK53" i="60" s="1"/>
  <c r="AJ53" i="60" a="1"/>
  <c r="AJ53" i="60" s="1"/>
  <c r="AZ52" i="60"/>
  <c r="AY52" i="60" a="1"/>
  <c r="AY52" i="60" s="1"/>
  <c r="AX52" i="60"/>
  <c r="AW52" i="60"/>
  <c r="AV52" i="60"/>
  <c r="AP52" i="60" a="1"/>
  <c r="AP52" i="60" s="1"/>
  <c r="AO52" i="60" a="1"/>
  <c r="AO52" i="60" s="1"/>
  <c r="AN52" i="60" a="1"/>
  <c r="AN52" i="60" s="1"/>
  <c r="AM52" i="60" a="1"/>
  <c r="AM52" i="60" s="1"/>
  <c r="AL52" i="60" a="1"/>
  <c r="AL52" i="60" s="1"/>
  <c r="AK52" i="60" a="1"/>
  <c r="AK52" i="60" s="1"/>
  <c r="AJ52" i="60" a="1"/>
  <c r="AJ52" i="60" s="1"/>
  <c r="AZ51" i="60"/>
  <c r="AY51" i="60" a="1"/>
  <c r="AY51" i="60" s="1"/>
  <c r="AX51" i="60"/>
  <c r="AW51" i="60"/>
  <c r="AV51" i="60"/>
  <c r="AP51" i="60" a="1"/>
  <c r="AP51" i="60" s="1"/>
  <c r="AO51" i="60" a="1"/>
  <c r="AO51" i="60" s="1"/>
  <c r="AN51" i="60" a="1"/>
  <c r="AN51" i="60" s="1"/>
  <c r="AM51" i="60" a="1"/>
  <c r="AM51" i="60" s="1"/>
  <c r="AL51" i="60" a="1"/>
  <c r="AL51" i="60" s="1"/>
  <c r="AK51" i="60" a="1"/>
  <c r="AK51" i="60" s="1"/>
  <c r="AJ51" i="60" a="1"/>
  <c r="AJ51" i="60" s="1"/>
  <c r="AZ50" i="60"/>
  <c r="AY50" i="60" a="1"/>
  <c r="AY50" i="60" s="1"/>
  <c r="AX50" i="60"/>
  <c r="AW50" i="60"/>
  <c r="AV50" i="60"/>
  <c r="AP50" i="60" a="1"/>
  <c r="AP50" i="60" s="1"/>
  <c r="AO50" i="60" a="1"/>
  <c r="AO50" i="60" s="1"/>
  <c r="AN50" i="60" a="1"/>
  <c r="AN50" i="60" s="1"/>
  <c r="AM50" i="60" a="1"/>
  <c r="AM50" i="60" s="1"/>
  <c r="AL50" i="60" a="1"/>
  <c r="AL50" i="60" s="1"/>
  <c r="AK50" i="60" a="1"/>
  <c r="AK50" i="60" s="1"/>
  <c r="AJ50" i="60" a="1"/>
  <c r="AJ50" i="60" s="1"/>
  <c r="AZ49" i="60"/>
  <c r="AY49" i="60" a="1"/>
  <c r="AY49" i="60" s="1"/>
  <c r="AX49" i="60"/>
  <c r="AW49" i="60"/>
  <c r="AV49" i="60"/>
  <c r="AP49" i="60" a="1"/>
  <c r="AP49" i="60" s="1"/>
  <c r="AO49" i="60" a="1"/>
  <c r="AO49" i="60" s="1"/>
  <c r="AN49" i="60" a="1"/>
  <c r="AN49" i="60" s="1"/>
  <c r="AM49" i="60" a="1"/>
  <c r="AM49" i="60" s="1"/>
  <c r="AL49" i="60" a="1"/>
  <c r="AL49" i="60" s="1"/>
  <c r="AK49" i="60" a="1"/>
  <c r="AK49" i="60" s="1"/>
  <c r="AJ49" i="60" a="1"/>
  <c r="AJ49" i="60" s="1"/>
  <c r="AZ48" i="60"/>
  <c r="AY48" i="60" a="1"/>
  <c r="AY48" i="60" s="1"/>
  <c r="AX48" i="60"/>
  <c r="AW48" i="60"/>
  <c r="AV48" i="60"/>
  <c r="AP48" i="60" a="1"/>
  <c r="AP48" i="60" s="1"/>
  <c r="AO48" i="60" a="1"/>
  <c r="AO48" i="60" s="1"/>
  <c r="AN48" i="60" a="1"/>
  <c r="AN48" i="60" s="1"/>
  <c r="AM48" i="60" a="1"/>
  <c r="AM48" i="60" s="1"/>
  <c r="AL48" i="60" a="1"/>
  <c r="AL48" i="60" s="1"/>
  <c r="AK48" i="60" a="1"/>
  <c r="AK48" i="60" s="1"/>
  <c r="AJ48" i="60" a="1"/>
  <c r="AJ48" i="60" s="1"/>
  <c r="AZ47" i="60"/>
  <c r="AY47" i="60" a="1"/>
  <c r="AY47" i="60" s="1"/>
  <c r="AX47" i="60"/>
  <c r="AW47" i="60"/>
  <c r="AV47" i="60"/>
  <c r="AP47" i="60" a="1"/>
  <c r="AP47" i="60" s="1"/>
  <c r="AO47" i="60" a="1"/>
  <c r="AO47" i="60" s="1"/>
  <c r="AN47" i="60" a="1"/>
  <c r="AN47" i="60" s="1"/>
  <c r="AM47" i="60" a="1"/>
  <c r="AM47" i="60" s="1"/>
  <c r="AL47" i="60" a="1"/>
  <c r="AL47" i="60" s="1"/>
  <c r="AK47" i="60" a="1"/>
  <c r="AK47" i="60" s="1"/>
  <c r="AJ47" i="60" a="1"/>
  <c r="AJ47" i="60" s="1"/>
  <c r="AZ46" i="60"/>
  <c r="AY46" i="60" a="1"/>
  <c r="AY46" i="60" s="1"/>
  <c r="AX46" i="60"/>
  <c r="AW46" i="60"/>
  <c r="AV46" i="60"/>
  <c r="AP46" i="60" a="1"/>
  <c r="AP46" i="60" s="1"/>
  <c r="AO46" i="60" a="1"/>
  <c r="AO46" i="60" s="1"/>
  <c r="AN46" i="60" a="1"/>
  <c r="AN46" i="60" s="1"/>
  <c r="AM46" i="60" a="1"/>
  <c r="AM46" i="60" s="1"/>
  <c r="AL46" i="60" a="1"/>
  <c r="AL46" i="60" s="1"/>
  <c r="AK46" i="60" a="1"/>
  <c r="AK46" i="60" s="1"/>
  <c r="AJ46" i="60" a="1"/>
  <c r="AJ46" i="60" s="1"/>
  <c r="AZ45" i="60"/>
  <c r="AY45" i="60" a="1"/>
  <c r="AY45" i="60" s="1"/>
  <c r="AX45" i="60"/>
  <c r="AW45" i="60"/>
  <c r="AV45" i="60"/>
  <c r="AP45" i="60" a="1"/>
  <c r="AP45" i="60" s="1"/>
  <c r="AO45" i="60" a="1"/>
  <c r="AO45" i="60" s="1"/>
  <c r="AN45" i="60" a="1"/>
  <c r="AN45" i="60" s="1"/>
  <c r="AM45" i="60" a="1"/>
  <c r="AM45" i="60" s="1"/>
  <c r="AL45" i="60" a="1"/>
  <c r="AL45" i="60" s="1"/>
  <c r="AK45" i="60" a="1"/>
  <c r="AK45" i="60" s="1"/>
  <c r="AJ45" i="60" a="1"/>
  <c r="AJ45" i="60" s="1"/>
  <c r="AZ44" i="60"/>
  <c r="AY44" i="60" a="1"/>
  <c r="AY44" i="60" s="1"/>
  <c r="AX44" i="60"/>
  <c r="AW44" i="60"/>
  <c r="AV44" i="60"/>
  <c r="AP44" i="60" a="1"/>
  <c r="AP44" i="60" s="1"/>
  <c r="AO44" i="60" a="1"/>
  <c r="AO44" i="60" s="1"/>
  <c r="AN44" i="60" a="1"/>
  <c r="AN44" i="60" s="1"/>
  <c r="AM44" i="60" a="1"/>
  <c r="AM44" i="60" s="1"/>
  <c r="AL44" i="60" a="1"/>
  <c r="AL44" i="60" s="1"/>
  <c r="AK44" i="60" a="1"/>
  <c r="AK44" i="60" s="1"/>
  <c r="AJ44" i="60" a="1"/>
  <c r="AJ44" i="60" s="1"/>
  <c r="AZ43" i="60"/>
  <c r="AY43" i="60" a="1"/>
  <c r="AY43" i="60" s="1"/>
  <c r="AX43" i="60"/>
  <c r="AW43" i="60"/>
  <c r="AV43" i="60"/>
  <c r="AP43" i="60" a="1"/>
  <c r="AP43" i="60" s="1"/>
  <c r="AO43" i="60" a="1"/>
  <c r="AO43" i="60" s="1"/>
  <c r="AN43" i="60" a="1"/>
  <c r="AN43" i="60" s="1"/>
  <c r="AM43" i="60" a="1"/>
  <c r="AM43" i="60" s="1"/>
  <c r="AL43" i="60" a="1"/>
  <c r="AL43" i="60" s="1"/>
  <c r="AK43" i="60" a="1"/>
  <c r="AK43" i="60" s="1"/>
  <c r="AJ43" i="60" a="1"/>
  <c r="AJ43" i="60" s="1"/>
  <c r="AZ42" i="60"/>
  <c r="AY42" i="60" a="1"/>
  <c r="AY42" i="60" s="1"/>
  <c r="AX42" i="60"/>
  <c r="AW42" i="60"/>
  <c r="AV42" i="60"/>
  <c r="AP42" i="60" a="1"/>
  <c r="AP42" i="60" s="1"/>
  <c r="AO42" i="60" a="1"/>
  <c r="AO42" i="60" s="1"/>
  <c r="AN42" i="60" a="1"/>
  <c r="AN42" i="60" s="1"/>
  <c r="AM42" i="60" a="1"/>
  <c r="AM42" i="60" s="1"/>
  <c r="AL42" i="60" a="1"/>
  <c r="AL42" i="60" s="1"/>
  <c r="AK42" i="60" a="1"/>
  <c r="AK42" i="60" s="1"/>
  <c r="AJ42" i="60" a="1"/>
  <c r="AJ42" i="60" s="1"/>
  <c r="AZ41" i="60"/>
  <c r="AY41" i="60" a="1"/>
  <c r="AY41" i="60" s="1"/>
  <c r="AX41" i="60"/>
  <c r="AW41" i="60"/>
  <c r="AV41" i="60"/>
  <c r="AP41" i="60" a="1"/>
  <c r="AP41" i="60" s="1"/>
  <c r="AO41" i="60" a="1"/>
  <c r="AO41" i="60" s="1"/>
  <c r="AN41" i="60" a="1"/>
  <c r="AN41" i="60" s="1"/>
  <c r="AM41" i="60" a="1"/>
  <c r="AM41" i="60" s="1"/>
  <c r="AL41" i="60" a="1"/>
  <c r="AL41" i="60" s="1"/>
  <c r="AK41" i="60" a="1"/>
  <c r="AK41" i="60" s="1"/>
  <c r="AJ41" i="60" a="1"/>
  <c r="AJ41" i="60" s="1"/>
  <c r="AZ40" i="60"/>
  <c r="AY40" i="60" a="1"/>
  <c r="AY40" i="60" s="1"/>
  <c r="AX40" i="60"/>
  <c r="AW40" i="60"/>
  <c r="AV40" i="60"/>
  <c r="AP40" i="60" a="1"/>
  <c r="AP40" i="60" s="1"/>
  <c r="AO40" i="60" a="1"/>
  <c r="AO40" i="60" s="1"/>
  <c r="AN40" i="60" a="1"/>
  <c r="AN40" i="60" s="1"/>
  <c r="AM40" i="60" a="1"/>
  <c r="AM40" i="60" s="1"/>
  <c r="AL40" i="60" a="1"/>
  <c r="AL40" i="60" s="1"/>
  <c r="AK40" i="60" a="1"/>
  <c r="AK40" i="60" s="1"/>
  <c r="AJ40" i="60" a="1"/>
  <c r="AJ40" i="60" s="1"/>
  <c r="AZ39" i="60"/>
  <c r="AY39" i="60" a="1"/>
  <c r="AY39" i="60" s="1"/>
  <c r="AX39" i="60"/>
  <c r="AW39" i="60"/>
  <c r="AV39" i="60"/>
  <c r="AP39" i="60" a="1"/>
  <c r="AP39" i="60" s="1"/>
  <c r="AO39" i="60" a="1"/>
  <c r="AO39" i="60" s="1"/>
  <c r="AN39" i="60" a="1"/>
  <c r="AN39" i="60" s="1"/>
  <c r="AM39" i="60" a="1"/>
  <c r="AM39" i="60" s="1"/>
  <c r="AL39" i="60" a="1"/>
  <c r="AL39" i="60" s="1"/>
  <c r="AK39" i="60" a="1"/>
  <c r="AK39" i="60" s="1"/>
  <c r="AJ39" i="60" a="1"/>
  <c r="AJ39" i="60" s="1"/>
  <c r="AZ38" i="60"/>
  <c r="AY38" i="60" a="1"/>
  <c r="AY38" i="60" s="1"/>
  <c r="AX38" i="60"/>
  <c r="AW38" i="60"/>
  <c r="AV38" i="60"/>
  <c r="AP38" i="60" a="1"/>
  <c r="AP38" i="60" s="1"/>
  <c r="AO38" i="60" a="1"/>
  <c r="AO38" i="60" s="1"/>
  <c r="AN38" i="60" a="1"/>
  <c r="AN38" i="60" s="1"/>
  <c r="AM38" i="60" a="1"/>
  <c r="AM38" i="60" s="1"/>
  <c r="AL38" i="60" a="1"/>
  <c r="AL38" i="60" s="1"/>
  <c r="AK38" i="60" a="1"/>
  <c r="AK38" i="60" s="1"/>
  <c r="AJ38" i="60" a="1"/>
  <c r="AJ38" i="60" s="1"/>
  <c r="AZ37" i="60"/>
  <c r="AY37" i="60" a="1"/>
  <c r="AY37" i="60" s="1"/>
  <c r="AX37" i="60"/>
  <c r="AW37" i="60"/>
  <c r="AV37" i="60"/>
  <c r="AP37" i="60" a="1"/>
  <c r="AP37" i="60" s="1"/>
  <c r="AO37" i="60" a="1"/>
  <c r="AO37" i="60" s="1"/>
  <c r="AN37" i="60" a="1"/>
  <c r="AN37" i="60" s="1"/>
  <c r="AM37" i="60" a="1"/>
  <c r="AM37" i="60" s="1"/>
  <c r="AL37" i="60" a="1"/>
  <c r="AL37" i="60" s="1"/>
  <c r="AK37" i="60" a="1"/>
  <c r="AK37" i="60" s="1"/>
  <c r="AJ37" i="60" a="1"/>
  <c r="AJ37" i="60" s="1"/>
  <c r="AZ36" i="60"/>
  <c r="AY36" i="60" a="1"/>
  <c r="AY36" i="60" s="1"/>
  <c r="AX36" i="60"/>
  <c r="AW36" i="60"/>
  <c r="AV36" i="60"/>
  <c r="AP36" i="60" a="1"/>
  <c r="AP36" i="60" s="1"/>
  <c r="AO36" i="60" a="1"/>
  <c r="AO36" i="60" s="1"/>
  <c r="AN36" i="60" a="1"/>
  <c r="AN36" i="60" s="1"/>
  <c r="AM36" i="60" a="1"/>
  <c r="AM36" i="60" s="1"/>
  <c r="AL36" i="60" a="1"/>
  <c r="AL36" i="60" s="1"/>
  <c r="AK36" i="60" a="1"/>
  <c r="AK36" i="60" s="1"/>
  <c r="AJ36" i="60" a="1"/>
  <c r="AJ36" i="60" s="1"/>
  <c r="AZ35" i="60"/>
  <c r="AY35" i="60" a="1"/>
  <c r="AY35" i="60" s="1"/>
  <c r="AX35" i="60"/>
  <c r="AW35" i="60"/>
  <c r="AV35" i="60"/>
  <c r="AP35" i="60" a="1"/>
  <c r="AP35" i="60" s="1"/>
  <c r="AO35" i="60" a="1"/>
  <c r="AO35" i="60" s="1"/>
  <c r="AN35" i="60" a="1"/>
  <c r="AN35" i="60" s="1"/>
  <c r="AM35" i="60" a="1"/>
  <c r="AM35" i="60" s="1"/>
  <c r="AL35" i="60" a="1"/>
  <c r="AL35" i="60" s="1"/>
  <c r="AK35" i="60" a="1"/>
  <c r="AK35" i="60" s="1"/>
  <c r="AJ35" i="60" a="1"/>
  <c r="AJ35" i="60" s="1"/>
  <c r="AZ34" i="60"/>
  <c r="AY34" i="60" a="1"/>
  <c r="AY34" i="60" s="1"/>
  <c r="AX34" i="60"/>
  <c r="AW34" i="60"/>
  <c r="AV34" i="60"/>
  <c r="AP34" i="60" a="1"/>
  <c r="AP34" i="60" s="1"/>
  <c r="AO34" i="60" a="1"/>
  <c r="AO34" i="60" s="1"/>
  <c r="AN34" i="60" a="1"/>
  <c r="AN34" i="60" s="1"/>
  <c r="AM34" i="60" a="1"/>
  <c r="AM34" i="60" s="1"/>
  <c r="AL34" i="60" a="1"/>
  <c r="AL34" i="60" s="1"/>
  <c r="AK34" i="60" a="1"/>
  <c r="AK34" i="60" s="1"/>
  <c r="AJ34" i="60" a="1"/>
  <c r="AJ34" i="60" s="1"/>
  <c r="AZ33" i="60"/>
  <c r="AY33" i="60" a="1"/>
  <c r="AY33" i="60" s="1"/>
  <c r="AX33" i="60"/>
  <c r="AW33" i="60"/>
  <c r="AV33" i="60"/>
  <c r="AP33" i="60" a="1"/>
  <c r="AP33" i="60" s="1"/>
  <c r="AO33" i="60" a="1"/>
  <c r="AO33" i="60" s="1"/>
  <c r="AN33" i="60" a="1"/>
  <c r="AN33" i="60" s="1"/>
  <c r="AM33" i="60" a="1"/>
  <c r="AM33" i="60" s="1"/>
  <c r="AL33" i="60" a="1"/>
  <c r="AL33" i="60" s="1"/>
  <c r="AK33" i="60" a="1"/>
  <c r="AK33" i="60" s="1"/>
  <c r="AJ33" i="60" a="1"/>
  <c r="AJ33" i="60" s="1"/>
  <c r="AZ32" i="60"/>
  <c r="AY32" i="60" a="1"/>
  <c r="AY32" i="60" s="1"/>
  <c r="AX32" i="60"/>
  <c r="AW32" i="60"/>
  <c r="AV32" i="60"/>
  <c r="AP32" i="60" a="1"/>
  <c r="AP32" i="60" s="1"/>
  <c r="AO32" i="60" a="1"/>
  <c r="AO32" i="60" s="1"/>
  <c r="AN32" i="60" a="1"/>
  <c r="AN32" i="60" s="1"/>
  <c r="AM32" i="60" a="1"/>
  <c r="AM32" i="60" s="1"/>
  <c r="AL32" i="60" a="1"/>
  <c r="AL32" i="60" s="1"/>
  <c r="AK32" i="60" a="1"/>
  <c r="AK32" i="60" s="1"/>
  <c r="AJ32" i="60" a="1"/>
  <c r="AJ32" i="60" s="1"/>
  <c r="AZ31" i="60"/>
  <c r="AY31" i="60" a="1"/>
  <c r="AY31" i="60" s="1"/>
  <c r="AX31" i="60"/>
  <c r="AW31" i="60"/>
  <c r="AV31" i="60"/>
  <c r="AP31" i="60" a="1"/>
  <c r="AP31" i="60" s="1"/>
  <c r="AO31" i="60" a="1"/>
  <c r="AO31" i="60" s="1"/>
  <c r="AN31" i="60" a="1"/>
  <c r="AN31" i="60" s="1"/>
  <c r="AM31" i="60" a="1"/>
  <c r="AM31" i="60" s="1"/>
  <c r="AL31" i="60" a="1"/>
  <c r="AL31" i="60" s="1"/>
  <c r="AK31" i="60" a="1"/>
  <c r="AK31" i="60" s="1"/>
  <c r="AJ31" i="60" a="1"/>
  <c r="AJ31" i="60" s="1"/>
  <c r="AZ30" i="60"/>
  <c r="AY30" i="60" a="1"/>
  <c r="AY30" i="60" s="1"/>
  <c r="AX30" i="60"/>
  <c r="AW30" i="60"/>
  <c r="AV30" i="60"/>
  <c r="AP30" i="60" a="1"/>
  <c r="AP30" i="60" s="1"/>
  <c r="AO30" i="60" a="1"/>
  <c r="AO30" i="60" s="1"/>
  <c r="AN30" i="60" a="1"/>
  <c r="AN30" i="60" s="1"/>
  <c r="AM30" i="60" a="1"/>
  <c r="AM30" i="60" s="1"/>
  <c r="AL30" i="60" a="1"/>
  <c r="AL30" i="60" s="1"/>
  <c r="AK30" i="60" a="1"/>
  <c r="AK30" i="60" s="1"/>
  <c r="AJ30" i="60" a="1"/>
  <c r="AJ30" i="60" s="1"/>
  <c r="AZ29" i="60"/>
  <c r="AY29" i="60" a="1"/>
  <c r="AY29" i="60" s="1"/>
  <c r="AX29" i="60"/>
  <c r="AW29" i="60"/>
  <c r="AV29" i="60"/>
  <c r="AP29" i="60" a="1"/>
  <c r="AP29" i="60" s="1"/>
  <c r="AO29" i="60" a="1"/>
  <c r="AO29" i="60" s="1"/>
  <c r="AN29" i="60" a="1"/>
  <c r="AN29" i="60" s="1"/>
  <c r="AM29" i="60" a="1"/>
  <c r="AM29" i="60" s="1"/>
  <c r="AL29" i="60" a="1"/>
  <c r="AL29" i="60" s="1"/>
  <c r="AK29" i="60" a="1"/>
  <c r="AK29" i="60" s="1"/>
  <c r="AJ29" i="60" a="1"/>
  <c r="AJ29" i="60" s="1"/>
  <c r="AZ28" i="60"/>
  <c r="AY28" i="60" a="1"/>
  <c r="AY28" i="60" s="1"/>
  <c r="AX28" i="60"/>
  <c r="AW28" i="60"/>
  <c r="AV28" i="60"/>
  <c r="AP28" i="60" a="1"/>
  <c r="AP28" i="60" s="1"/>
  <c r="AO28" i="60" a="1"/>
  <c r="AO28" i="60" s="1"/>
  <c r="AN28" i="60" a="1"/>
  <c r="AN28" i="60" s="1"/>
  <c r="AM28" i="60" a="1"/>
  <c r="AM28" i="60" s="1"/>
  <c r="AL28" i="60" a="1"/>
  <c r="AL28" i="60" s="1"/>
  <c r="AK28" i="60" a="1"/>
  <c r="AK28" i="60" s="1"/>
  <c r="AJ28" i="60" a="1"/>
  <c r="AJ28" i="60" s="1"/>
  <c r="AZ27" i="60"/>
  <c r="AY27" i="60" a="1"/>
  <c r="AY27" i="60" s="1"/>
  <c r="AX27" i="60"/>
  <c r="AW27" i="60"/>
  <c r="AV27" i="60"/>
  <c r="AP27" i="60" a="1"/>
  <c r="AP27" i="60" s="1"/>
  <c r="AO27" i="60" a="1"/>
  <c r="AO27" i="60" s="1"/>
  <c r="AN27" i="60" a="1"/>
  <c r="AN27" i="60" s="1"/>
  <c r="AM27" i="60" a="1"/>
  <c r="AM27" i="60" s="1"/>
  <c r="AL27" i="60" a="1"/>
  <c r="AL27" i="60" s="1"/>
  <c r="AK27" i="60" a="1"/>
  <c r="AK27" i="60" s="1"/>
  <c r="AJ27" i="60" a="1"/>
  <c r="AJ27" i="60" s="1"/>
  <c r="AZ26" i="60"/>
  <c r="AY26" i="60" a="1"/>
  <c r="AY26" i="60" s="1"/>
  <c r="AX26" i="60"/>
  <c r="AW26" i="60"/>
  <c r="AV26" i="60"/>
  <c r="AP26" i="60" a="1"/>
  <c r="AP26" i="60" s="1"/>
  <c r="AO26" i="60" a="1"/>
  <c r="AO26" i="60" s="1"/>
  <c r="AN26" i="60" a="1"/>
  <c r="AN26" i="60" s="1"/>
  <c r="AM26" i="60" a="1"/>
  <c r="AM26" i="60" s="1"/>
  <c r="AL26" i="60" a="1"/>
  <c r="AL26" i="60" s="1"/>
  <c r="AK26" i="60" a="1"/>
  <c r="AK26" i="60" s="1"/>
  <c r="AJ26" i="60" a="1"/>
  <c r="AJ26" i="60" s="1"/>
  <c r="AZ25" i="60"/>
  <c r="AY25" i="60" a="1"/>
  <c r="AY25" i="60" s="1"/>
  <c r="AX25" i="60"/>
  <c r="AW25" i="60"/>
  <c r="AV25" i="60"/>
  <c r="AP25" i="60" a="1"/>
  <c r="AP25" i="60" s="1"/>
  <c r="AO25" i="60" a="1"/>
  <c r="AO25" i="60" s="1"/>
  <c r="AN25" i="60" a="1"/>
  <c r="AN25" i="60" s="1"/>
  <c r="AM25" i="60" a="1"/>
  <c r="AM25" i="60" s="1"/>
  <c r="AL25" i="60" a="1"/>
  <c r="AL25" i="60" s="1"/>
  <c r="AK25" i="60" a="1"/>
  <c r="AK25" i="60" s="1"/>
  <c r="AJ25" i="60" a="1"/>
  <c r="AJ25" i="60" s="1"/>
  <c r="AZ24" i="60"/>
  <c r="AY24" i="60" a="1"/>
  <c r="AY24" i="60" s="1"/>
  <c r="AX24" i="60"/>
  <c r="AW24" i="60"/>
  <c r="AV24" i="60"/>
  <c r="AP24" i="60" a="1"/>
  <c r="AP24" i="60" s="1"/>
  <c r="AO24" i="60" a="1"/>
  <c r="AO24" i="60" s="1"/>
  <c r="AN24" i="60" a="1"/>
  <c r="AN24" i="60" s="1"/>
  <c r="AM24" i="60" a="1"/>
  <c r="AM24" i="60" s="1"/>
  <c r="AL24" i="60" a="1"/>
  <c r="AL24" i="60" s="1"/>
  <c r="AK24" i="60" a="1"/>
  <c r="AK24" i="60" s="1"/>
  <c r="AJ24" i="60" a="1"/>
  <c r="AJ24" i="60" s="1"/>
  <c r="AZ23" i="60"/>
  <c r="AY23" i="60" a="1"/>
  <c r="AY23" i="60" s="1"/>
  <c r="AX23" i="60"/>
  <c r="AW23" i="60"/>
  <c r="AV23" i="60"/>
  <c r="AP23" i="60" a="1"/>
  <c r="AP23" i="60" s="1"/>
  <c r="AO23" i="60" a="1"/>
  <c r="AO23" i="60" s="1"/>
  <c r="AN23" i="60" a="1"/>
  <c r="AN23" i="60" s="1"/>
  <c r="AM23" i="60" a="1"/>
  <c r="AM23" i="60" s="1"/>
  <c r="AL23" i="60" a="1"/>
  <c r="AL23" i="60" s="1"/>
  <c r="AK23" i="60" a="1"/>
  <c r="AK23" i="60" s="1"/>
  <c r="AJ23" i="60" a="1"/>
  <c r="AJ23" i="60" s="1"/>
  <c r="AZ22" i="60"/>
  <c r="AY22" i="60" a="1"/>
  <c r="AY22" i="60" s="1"/>
  <c r="AX22" i="60"/>
  <c r="AW22" i="60"/>
  <c r="AV22" i="60"/>
  <c r="AP22" i="60" a="1"/>
  <c r="AP22" i="60" s="1"/>
  <c r="AO22" i="60" a="1"/>
  <c r="AO22" i="60" s="1"/>
  <c r="AN22" i="60" a="1"/>
  <c r="AN22" i="60" s="1"/>
  <c r="AM22" i="60" a="1"/>
  <c r="AM22" i="60" s="1"/>
  <c r="AL22" i="60" a="1"/>
  <c r="AL22" i="60" s="1"/>
  <c r="AK22" i="60" a="1"/>
  <c r="AK22" i="60" s="1"/>
  <c r="AJ22" i="60" a="1"/>
  <c r="AJ22" i="60" s="1"/>
  <c r="AZ21" i="60"/>
  <c r="AY21" i="60" a="1"/>
  <c r="AY21" i="60" s="1"/>
  <c r="AX21" i="60"/>
  <c r="AW21" i="60"/>
  <c r="AV21" i="60"/>
  <c r="AP21" i="60" a="1"/>
  <c r="AP21" i="60" s="1"/>
  <c r="AO21" i="60" a="1"/>
  <c r="AO21" i="60" s="1"/>
  <c r="AN21" i="60" a="1"/>
  <c r="AN21" i="60" s="1"/>
  <c r="AM21" i="60" a="1"/>
  <c r="AM21" i="60" s="1"/>
  <c r="AL21" i="60" a="1"/>
  <c r="AL21" i="60" s="1"/>
  <c r="AK21" i="60" a="1"/>
  <c r="AK21" i="60" s="1"/>
  <c r="AJ21" i="60" a="1"/>
  <c r="AJ21" i="60" s="1"/>
  <c r="AZ20" i="60"/>
  <c r="AY20" i="60" a="1"/>
  <c r="AY20" i="60" s="1"/>
  <c r="AX20" i="60"/>
  <c r="AW20" i="60"/>
  <c r="AV20" i="60"/>
  <c r="AP20" i="60" a="1"/>
  <c r="AP20" i="60" s="1"/>
  <c r="AO20" i="60" a="1"/>
  <c r="AO20" i="60" s="1"/>
  <c r="AN20" i="60" a="1"/>
  <c r="AN20" i="60" s="1"/>
  <c r="AM20" i="60" a="1"/>
  <c r="AM20" i="60" s="1"/>
  <c r="AL20" i="60" a="1"/>
  <c r="AL20" i="60" s="1"/>
  <c r="AK20" i="60" a="1"/>
  <c r="AK20" i="60" s="1"/>
  <c r="AJ20" i="60" a="1"/>
  <c r="AJ20" i="60" s="1"/>
  <c r="AZ19" i="60"/>
  <c r="AY19" i="60" a="1"/>
  <c r="AY19" i="60" s="1"/>
  <c r="AX19" i="60"/>
  <c r="AW19" i="60"/>
  <c r="AV19" i="60"/>
  <c r="AP19" i="60" a="1"/>
  <c r="AP19" i="60" s="1"/>
  <c r="AO19" i="60" a="1"/>
  <c r="AO19" i="60" s="1"/>
  <c r="AN19" i="60" a="1"/>
  <c r="AN19" i="60" s="1"/>
  <c r="AM19" i="60" a="1"/>
  <c r="AM19" i="60" s="1"/>
  <c r="AL19" i="60" a="1"/>
  <c r="AL19" i="60" s="1"/>
  <c r="AK19" i="60" a="1"/>
  <c r="AK19" i="60" s="1"/>
  <c r="AJ19" i="60" a="1"/>
  <c r="AJ19" i="60" s="1"/>
  <c r="AZ18" i="60"/>
  <c r="AY18" i="60" a="1"/>
  <c r="AY18" i="60" s="1"/>
  <c r="AX18" i="60"/>
  <c r="AW18" i="60"/>
  <c r="AV18" i="60"/>
  <c r="AP18" i="60" a="1"/>
  <c r="AP18" i="60" s="1"/>
  <c r="AO18" i="60" a="1"/>
  <c r="AO18" i="60" s="1"/>
  <c r="AN18" i="60" a="1"/>
  <c r="AN18" i="60" s="1"/>
  <c r="AM18" i="60" a="1"/>
  <c r="AM18" i="60" s="1"/>
  <c r="AL18" i="60" a="1"/>
  <c r="AL18" i="60" s="1"/>
  <c r="AK18" i="60" a="1"/>
  <c r="AK18" i="60" s="1"/>
  <c r="AJ18" i="60" a="1"/>
  <c r="AJ18" i="60" s="1"/>
  <c r="AZ17" i="60"/>
  <c r="AY17" i="60" a="1"/>
  <c r="AY17" i="60" s="1"/>
  <c r="AX17" i="60"/>
  <c r="AW17" i="60"/>
  <c r="AV17" i="60"/>
  <c r="AP17" i="60" a="1"/>
  <c r="AP17" i="60" s="1"/>
  <c r="AO17" i="60" a="1"/>
  <c r="AO17" i="60" s="1"/>
  <c r="AN17" i="60" a="1"/>
  <c r="AN17" i="60" s="1"/>
  <c r="AM17" i="60" a="1"/>
  <c r="AM17" i="60" s="1"/>
  <c r="AL17" i="60" a="1"/>
  <c r="AL17" i="60" s="1"/>
  <c r="AK17" i="60" a="1"/>
  <c r="AK17" i="60" s="1"/>
  <c r="AJ17" i="60" a="1"/>
  <c r="AJ17" i="60" s="1"/>
  <c r="AZ16" i="60"/>
  <c r="AY16" i="60" a="1"/>
  <c r="AY16" i="60" s="1"/>
  <c r="AX16" i="60"/>
  <c r="AW16" i="60"/>
  <c r="AV16" i="60"/>
  <c r="AP16" i="60" a="1"/>
  <c r="AP16" i="60" s="1"/>
  <c r="AO16" i="60" a="1"/>
  <c r="AO16" i="60" s="1"/>
  <c r="AN16" i="60" a="1"/>
  <c r="AN16" i="60" s="1"/>
  <c r="AM16" i="60" a="1"/>
  <c r="AM16" i="60" s="1"/>
  <c r="AL16" i="60" a="1"/>
  <c r="AL16" i="60" s="1"/>
  <c r="AK16" i="60" a="1"/>
  <c r="AK16" i="60" s="1"/>
  <c r="AJ16" i="60" a="1"/>
  <c r="AJ16" i="60" s="1"/>
  <c r="AZ15" i="60"/>
  <c r="AY15" i="60" a="1"/>
  <c r="AY15" i="60" s="1"/>
  <c r="AX15" i="60"/>
  <c r="AW15" i="60"/>
  <c r="AV15" i="60"/>
  <c r="AP15" i="60" a="1"/>
  <c r="AP15" i="60" s="1"/>
  <c r="AO15" i="60" a="1"/>
  <c r="AO15" i="60" s="1"/>
  <c r="AN15" i="60" a="1"/>
  <c r="AN15" i="60" s="1"/>
  <c r="AM15" i="60" a="1"/>
  <c r="AM15" i="60" s="1"/>
  <c r="AL15" i="60" a="1"/>
  <c r="AL15" i="60" s="1"/>
  <c r="AK15" i="60" a="1"/>
  <c r="AK15" i="60" s="1"/>
  <c r="AJ15" i="60" a="1"/>
  <c r="AJ15" i="60" s="1"/>
  <c r="AZ14" i="60"/>
  <c r="AY14" i="60" a="1"/>
  <c r="AY14" i="60" s="1"/>
  <c r="AX14" i="60"/>
  <c r="AW14" i="60"/>
  <c r="AV14" i="60"/>
  <c r="AP14" i="60" a="1"/>
  <c r="AP14" i="60" s="1"/>
  <c r="AO14" i="60" a="1"/>
  <c r="AO14" i="60" s="1"/>
  <c r="AN14" i="60" a="1"/>
  <c r="AN14" i="60" s="1"/>
  <c r="AM14" i="60" a="1"/>
  <c r="AM14" i="60" s="1"/>
  <c r="AL14" i="60" a="1"/>
  <c r="AL14" i="60" s="1"/>
  <c r="AK14" i="60" a="1"/>
  <c r="AK14" i="60" s="1"/>
  <c r="AJ14" i="60" a="1"/>
  <c r="AJ14" i="60" s="1"/>
  <c r="AZ13" i="60"/>
  <c r="AY13" i="60" a="1"/>
  <c r="AY13" i="60" s="1"/>
  <c r="AX13" i="60"/>
  <c r="AW13" i="60"/>
  <c r="AV13" i="60"/>
  <c r="AP13" i="60" a="1"/>
  <c r="AP13" i="60" s="1"/>
  <c r="AO13" i="60" a="1"/>
  <c r="AO13" i="60" s="1"/>
  <c r="AN13" i="60" a="1"/>
  <c r="AN13" i="60" s="1"/>
  <c r="AM13" i="60" a="1"/>
  <c r="AM13" i="60" s="1"/>
  <c r="AL13" i="60" a="1"/>
  <c r="AL13" i="60" s="1"/>
  <c r="AK13" i="60" a="1"/>
  <c r="AK13" i="60" s="1"/>
  <c r="AJ13" i="60" a="1"/>
  <c r="AJ13" i="60" s="1"/>
  <c r="AZ12" i="60"/>
  <c r="AY12" i="60" a="1"/>
  <c r="AY12" i="60" s="1"/>
  <c r="AX12" i="60"/>
  <c r="AW12" i="60"/>
  <c r="AV12" i="60"/>
  <c r="AP12" i="60" a="1"/>
  <c r="AP12" i="60" s="1"/>
  <c r="AO12" i="60" a="1"/>
  <c r="AO12" i="60" s="1"/>
  <c r="AN12" i="60" a="1"/>
  <c r="AN12" i="60" s="1"/>
  <c r="AM12" i="60" a="1"/>
  <c r="AM12" i="60" s="1"/>
  <c r="AL12" i="60" a="1"/>
  <c r="AL12" i="60" s="1"/>
  <c r="AK12" i="60" a="1"/>
  <c r="AK12" i="60" s="1"/>
  <c r="AJ12" i="60" a="1"/>
  <c r="AJ12" i="60" s="1"/>
  <c r="AZ11" i="60"/>
  <c r="AY11" i="60" a="1"/>
  <c r="AY11" i="60" s="1"/>
  <c r="AX11" i="60"/>
  <c r="AW11" i="60"/>
  <c r="AV11" i="60"/>
  <c r="AP11" i="60" a="1"/>
  <c r="AP11" i="60" s="1"/>
  <c r="AO11" i="60" a="1"/>
  <c r="AO11" i="60" s="1"/>
  <c r="AN11" i="60" a="1"/>
  <c r="AN11" i="60" s="1"/>
  <c r="AM11" i="60" a="1"/>
  <c r="AM11" i="60" s="1"/>
  <c r="AL11" i="60" a="1"/>
  <c r="AL11" i="60" s="1"/>
  <c r="AK11" i="60" a="1"/>
  <c r="AK11" i="60" s="1"/>
  <c r="AJ11" i="60" a="1"/>
  <c r="AJ11" i="60" s="1"/>
  <c r="AZ10" i="60"/>
  <c r="AY10" i="60" a="1"/>
  <c r="AY10" i="60" s="1"/>
  <c r="AX10" i="60"/>
  <c r="AW10" i="60"/>
  <c r="AV10" i="60"/>
  <c r="AP10" i="60" a="1"/>
  <c r="AP10" i="60" s="1"/>
  <c r="AO10" i="60" a="1"/>
  <c r="AO10" i="60" s="1"/>
  <c r="AN10" i="60" a="1"/>
  <c r="AN10" i="60" s="1"/>
  <c r="AM10" i="60" a="1"/>
  <c r="AM10" i="60" s="1"/>
  <c r="AL10" i="60" a="1"/>
  <c r="AL10" i="60" s="1"/>
  <c r="AK10" i="60" a="1"/>
  <c r="AK10" i="60" s="1"/>
  <c r="AJ10" i="60" a="1"/>
  <c r="AJ10" i="60" s="1"/>
  <c r="AZ9" i="60"/>
  <c r="AY9" i="60" a="1"/>
  <c r="AY9" i="60" s="1"/>
  <c r="AX9" i="60"/>
  <c r="AW9" i="60"/>
  <c r="AV9" i="60"/>
  <c r="AP9" i="60" a="1"/>
  <c r="AP9" i="60" s="1"/>
  <c r="AO9" i="60" a="1"/>
  <c r="AO9" i="60" s="1"/>
  <c r="AN9" i="60" a="1"/>
  <c r="AN9" i="60" s="1"/>
  <c r="AM9" i="60" a="1"/>
  <c r="AM9" i="60" s="1"/>
  <c r="AL9" i="60" a="1"/>
  <c r="AL9" i="60" s="1"/>
  <c r="AK9" i="60" a="1"/>
  <c r="AK9" i="60" s="1"/>
  <c r="AJ9" i="60" a="1"/>
  <c r="AJ9" i="60" s="1"/>
  <c r="AZ8" i="60"/>
  <c r="AY8" i="60" a="1"/>
  <c r="AY8" i="60" s="1"/>
  <c r="AX8" i="60"/>
  <c r="AW8" i="60"/>
  <c r="AV8" i="60"/>
  <c r="AP8" i="60" a="1"/>
  <c r="AP8" i="60" s="1"/>
  <c r="AO8" i="60" a="1"/>
  <c r="AO8" i="60" s="1"/>
  <c r="AN8" i="60" a="1"/>
  <c r="AN8" i="60" s="1"/>
  <c r="AM8" i="60" a="1"/>
  <c r="AM8" i="60" s="1"/>
  <c r="AL8" i="60" a="1"/>
  <c r="AL8" i="60" s="1"/>
  <c r="AK8" i="60" a="1"/>
  <c r="AK8" i="60" s="1"/>
  <c r="AJ8" i="60" a="1"/>
  <c r="AJ8" i="60" s="1"/>
  <c r="AZ7" i="60"/>
  <c r="AY7" i="60" a="1"/>
  <c r="AY7" i="60" s="1"/>
  <c r="AX7" i="60"/>
  <c r="AW7" i="60"/>
  <c r="AV7" i="60"/>
  <c r="AP7" i="60" a="1"/>
  <c r="AP7" i="60" s="1"/>
  <c r="AO7" i="60" a="1"/>
  <c r="AO7" i="60" s="1"/>
  <c r="AN7" i="60" a="1"/>
  <c r="AN7" i="60" s="1"/>
  <c r="AM7" i="60" a="1"/>
  <c r="AM7" i="60" s="1"/>
  <c r="AL7" i="60" a="1"/>
  <c r="AL7" i="60" s="1"/>
  <c r="AK7" i="60" a="1"/>
  <c r="AK7" i="60" s="1"/>
  <c r="AJ7" i="60" a="1"/>
  <c r="AJ7" i="60" s="1"/>
  <c r="AZ6" i="60"/>
  <c r="AY6" i="60" a="1"/>
  <c r="AY6" i="60" s="1"/>
  <c r="AX6" i="60"/>
  <c r="AW6" i="60"/>
  <c r="AV6" i="60"/>
  <c r="AP6" i="60" a="1"/>
  <c r="AP6" i="60" s="1"/>
  <c r="AO6" i="60" a="1"/>
  <c r="AO6" i="60" s="1"/>
  <c r="AN6" i="60" a="1"/>
  <c r="AN6" i="60" s="1"/>
  <c r="AM6" i="60" a="1"/>
  <c r="AM6" i="60" s="1"/>
  <c r="AL6" i="60" a="1"/>
  <c r="AL6" i="60" s="1"/>
  <c r="AK6" i="60" a="1"/>
  <c r="AK6" i="60" s="1"/>
  <c r="AJ6" i="60" a="1"/>
  <c r="AJ6" i="60" s="1"/>
  <c r="A31" i="47"/>
  <c r="AI7" i="49" a="1"/>
  <c r="AI7" i="49"/>
  <c r="AJ7" i="49" a="1"/>
  <c r="AJ7" i="49"/>
  <c r="AK7" i="49" a="1"/>
  <c r="AK7" i="49"/>
  <c r="AL7" i="49" a="1"/>
  <c r="AL7" i="49"/>
  <c r="AM7" i="49" a="1"/>
  <c r="AM7" i="49"/>
  <c r="AN7" i="49" a="1"/>
  <c r="AN7" i="49"/>
  <c r="AO7" i="49" a="1"/>
  <c r="AO7" i="49"/>
  <c r="AT7" i="49"/>
  <c r="AU7" i="49"/>
  <c r="AV7" i="49"/>
  <c r="AW7" i="49" a="1"/>
  <c r="AW7" i="49"/>
  <c r="AX7" i="49"/>
  <c r="AY7" i="49"/>
  <c r="AI8" i="49" a="1"/>
  <c r="AI8" i="49"/>
  <c r="AJ8" i="49" a="1"/>
  <c r="AJ8" i="49"/>
  <c r="AK8" i="49" a="1"/>
  <c r="AK8" i="49"/>
  <c r="AL8" i="49" a="1"/>
  <c r="AL8" i="49"/>
  <c r="AM8" i="49" a="1"/>
  <c r="AM8" i="49"/>
  <c r="AN8" i="49" a="1"/>
  <c r="AN8" i="49"/>
  <c r="AO8" i="49" a="1"/>
  <c r="AO8" i="49"/>
  <c r="AT8" i="49"/>
  <c r="AU8" i="49"/>
  <c r="AV8" i="49"/>
  <c r="AW8" i="49" a="1"/>
  <c r="AW8" i="49"/>
  <c r="AX8" i="49"/>
  <c r="AY8" i="49"/>
  <c r="AI9" i="49" a="1"/>
  <c r="AI9" i="49"/>
  <c r="AJ9" i="49" a="1"/>
  <c r="AJ9" i="49"/>
  <c r="AK9" i="49" a="1"/>
  <c r="AK9" i="49"/>
  <c r="AL9" i="49" a="1"/>
  <c r="AL9" i="49"/>
  <c r="AM9" i="49" a="1"/>
  <c r="AM9" i="49"/>
  <c r="AN9" i="49" a="1"/>
  <c r="AN9" i="49"/>
  <c r="AO9" i="49" a="1"/>
  <c r="AO9" i="49"/>
  <c r="AT9" i="49"/>
  <c r="AU9" i="49"/>
  <c r="AV9" i="49"/>
  <c r="AW9" i="49" a="1"/>
  <c r="AW9" i="49"/>
  <c r="AX9" i="49"/>
  <c r="AY9" i="49"/>
  <c r="AI10" i="49" a="1"/>
  <c r="AI10" i="49"/>
  <c r="AJ10" i="49" a="1"/>
  <c r="AJ10" i="49"/>
  <c r="AK10" i="49" a="1"/>
  <c r="AK10" i="49"/>
  <c r="AL10" i="49" a="1"/>
  <c r="AL10" i="49"/>
  <c r="AM10" i="49" a="1"/>
  <c r="AM10" i="49"/>
  <c r="AN10" i="49" a="1"/>
  <c r="AN10" i="49"/>
  <c r="AO10" i="49" a="1"/>
  <c r="AO10" i="49"/>
  <c r="AT10" i="49"/>
  <c r="AU10" i="49"/>
  <c r="AV10" i="49"/>
  <c r="AW10" i="49" a="1"/>
  <c r="AW10" i="49"/>
  <c r="AX10" i="49"/>
  <c r="AY10" i="49"/>
  <c r="AI11" i="49" a="1"/>
  <c r="AI11" i="49"/>
  <c r="AJ11" i="49" a="1"/>
  <c r="AJ11" i="49"/>
  <c r="AK11" i="49" a="1"/>
  <c r="AK11" i="49"/>
  <c r="AL11" i="49" a="1"/>
  <c r="AL11" i="49"/>
  <c r="AM11" i="49" a="1"/>
  <c r="AM11" i="49"/>
  <c r="AN11" i="49" a="1"/>
  <c r="AN11" i="49"/>
  <c r="AO11" i="49" a="1"/>
  <c r="AO11" i="49"/>
  <c r="AT11" i="49"/>
  <c r="AU11" i="49"/>
  <c r="AV11" i="49"/>
  <c r="AW11" i="49" a="1"/>
  <c r="AW11" i="49"/>
  <c r="AX11" i="49"/>
  <c r="AY11" i="49"/>
  <c r="AI12" i="49" a="1"/>
  <c r="AI12" i="49"/>
  <c r="AJ12" i="49" a="1"/>
  <c r="AJ12" i="49"/>
  <c r="AK12" i="49" a="1"/>
  <c r="AK12" i="49"/>
  <c r="AL12" i="49" a="1"/>
  <c r="AL12" i="49"/>
  <c r="AM12" i="49" a="1"/>
  <c r="AM12" i="49"/>
  <c r="AN12" i="49" a="1"/>
  <c r="AN12" i="49"/>
  <c r="AO12" i="49" a="1"/>
  <c r="AO12" i="49"/>
  <c r="AT12" i="49"/>
  <c r="AU12" i="49"/>
  <c r="AV12" i="49"/>
  <c r="AW12" i="49" a="1"/>
  <c r="AW12" i="49"/>
  <c r="AX12" i="49"/>
  <c r="AY12" i="49"/>
  <c r="AI13" i="49" a="1"/>
  <c r="AI13" i="49"/>
  <c r="AJ13" i="49" a="1"/>
  <c r="AJ13" i="49"/>
  <c r="AK13" i="49" a="1"/>
  <c r="AK13" i="49"/>
  <c r="AL13" i="49" a="1"/>
  <c r="AL13" i="49"/>
  <c r="AM13" i="49" a="1"/>
  <c r="AM13" i="49"/>
  <c r="AN13" i="49" a="1"/>
  <c r="AN13" i="49"/>
  <c r="AO13" i="49" a="1"/>
  <c r="AO13" i="49"/>
  <c r="AT13" i="49"/>
  <c r="AU13" i="49"/>
  <c r="AV13" i="49"/>
  <c r="AW13" i="49" a="1"/>
  <c r="AW13" i="49"/>
  <c r="AX13" i="49"/>
  <c r="AY13" i="49"/>
  <c r="AI14" i="49" a="1"/>
  <c r="AI14" i="49"/>
  <c r="AJ14" i="49" a="1"/>
  <c r="AJ14" i="49"/>
  <c r="AK14" i="49" a="1"/>
  <c r="AK14" i="49"/>
  <c r="AL14" i="49" a="1"/>
  <c r="AL14" i="49"/>
  <c r="AM14" i="49" a="1"/>
  <c r="AM14" i="49"/>
  <c r="AN14" i="49" a="1"/>
  <c r="AN14" i="49"/>
  <c r="AO14" i="49" a="1"/>
  <c r="AO14" i="49"/>
  <c r="AT14" i="49"/>
  <c r="AU14" i="49"/>
  <c r="AV14" i="49"/>
  <c r="AW14" i="49" a="1"/>
  <c r="AW14" i="49"/>
  <c r="AX14" i="49"/>
  <c r="AY14" i="49"/>
  <c r="AI15" i="49" a="1"/>
  <c r="AI15" i="49"/>
  <c r="AJ15" i="49" a="1"/>
  <c r="AJ15" i="49"/>
  <c r="AK15" i="49" a="1"/>
  <c r="AK15" i="49"/>
  <c r="AL15" i="49" a="1"/>
  <c r="AL15" i="49"/>
  <c r="AM15" i="49" a="1"/>
  <c r="AM15" i="49"/>
  <c r="AN15" i="49" a="1"/>
  <c r="AN15" i="49"/>
  <c r="AO15" i="49" a="1"/>
  <c r="AO15" i="49"/>
  <c r="AT15" i="49"/>
  <c r="AU15" i="49"/>
  <c r="AV15" i="49"/>
  <c r="AW15" i="49" a="1"/>
  <c r="AW15" i="49"/>
  <c r="AX15" i="49"/>
  <c r="AY15" i="49"/>
  <c r="AI16" i="49" a="1"/>
  <c r="AI16" i="49"/>
  <c r="AJ16" i="49" a="1"/>
  <c r="AJ16" i="49"/>
  <c r="AK16" i="49" a="1"/>
  <c r="AK16" i="49"/>
  <c r="AL16" i="49" a="1"/>
  <c r="AL16" i="49"/>
  <c r="AM16" i="49" a="1"/>
  <c r="AM16" i="49"/>
  <c r="AN16" i="49" a="1"/>
  <c r="AN16" i="49"/>
  <c r="AO16" i="49" a="1"/>
  <c r="AO16" i="49"/>
  <c r="AT16" i="49"/>
  <c r="AU16" i="49"/>
  <c r="AV16" i="49"/>
  <c r="AW16" i="49" a="1"/>
  <c r="AW16" i="49"/>
  <c r="AX16" i="49"/>
  <c r="AY16" i="49"/>
  <c r="AI17" i="49" a="1"/>
  <c r="AI17" i="49"/>
  <c r="AJ17" i="49" a="1"/>
  <c r="AJ17" i="49"/>
  <c r="AK17" i="49" a="1"/>
  <c r="AK17" i="49"/>
  <c r="AL17" i="49" a="1"/>
  <c r="AL17" i="49"/>
  <c r="AM17" i="49" a="1"/>
  <c r="AM17" i="49"/>
  <c r="AN17" i="49" a="1"/>
  <c r="AN17" i="49"/>
  <c r="AO17" i="49" a="1"/>
  <c r="AO17" i="49"/>
  <c r="AT17" i="49"/>
  <c r="AU17" i="49"/>
  <c r="AV17" i="49"/>
  <c r="AW17" i="49" a="1"/>
  <c r="AW17" i="49"/>
  <c r="AX17" i="49"/>
  <c r="AY17" i="49"/>
  <c r="AI18" i="49" a="1"/>
  <c r="AI18" i="49"/>
  <c r="AJ18" i="49" a="1"/>
  <c r="AJ18" i="49"/>
  <c r="AK18" i="49" a="1"/>
  <c r="AK18" i="49"/>
  <c r="AL18" i="49" a="1"/>
  <c r="AL18" i="49"/>
  <c r="AM18" i="49" a="1"/>
  <c r="AM18" i="49"/>
  <c r="AN18" i="49" a="1"/>
  <c r="AN18" i="49"/>
  <c r="AO18" i="49" a="1"/>
  <c r="AO18" i="49"/>
  <c r="AT18" i="49"/>
  <c r="AU18" i="49"/>
  <c r="AV18" i="49"/>
  <c r="AW18" i="49" a="1"/>
  <c r="AW18" i="49"/>
  <c r="AX18" i="49"/>
  <c r="AY18" i="49"/>
  <c r="AI19" i="49" a="1"/>
  <c r="AI19" i="49"/>
  <c r="AJ19" i="49" a="1"/>
  <c r="AJ19" i="49"/>
  <c r="AK19" i="49" a="1"/>
  <c r="AK19" i="49"/>
  <c r="AL19" i="49" a="1"/>
  <c r="AL19" i="49"/>
  <c r="AM19" i="49" a="1"/>
  <c r="AM19" i="49"/>
  <c r="AN19" i="49" a="1"/>
  <c r="AN19" i="49"/>
  <c r="AO19" i="49" a="1"/>
  <c r="AO19" i="49"/>
  <c r="AT19" i="49"/>
  <c r="AU19" i="49"/>
  <c r="AV19" i="49"/>
  <c r="AW19" i="49" a="1"/>
  <c r="AW19" i="49"/>
  <c r="AX19" i="49"/>
  <c r="AY19" i="49"/>
  <c r="AI20" i="49" a="1"/>
  <c r="AI20" i="49"/>
  <c r="AJ20" i="49" a="1"/>
  <c r="AJ20" i="49"/>
  <c r="AK20" i="49" a="1"/>
  <c r="AK20" i="49"/>
  <c r="AL20" i="49" a="1"/>
  <c r="AL20" i="49"/>
  <c r="AM20" i="49" a="1"/>
  <c r="AM20" i="49"/>
  <c r="AN20" i="49" a="1"/>
  <c r="AN20" i="49"/>
  <c r="AO20" i="49" a="1"/>
  <c r="AO20" i="49"/>
  <c r="AT20" i="49"/>
  <c r="AU20" i="49"/>
  <c r="AV20" i="49"/>
  <c r="AW20" i="49" a="1"/>
  <c r="AW20" i="49"/>
  <c r="AX20" i="49"/>
  <c r="AY20" i="49"/>
  <c r="AI21" i="49" a="1"/>
  <c r="AI21" i="49"/>
  <c r="AJ21" i="49" a="1"/>
  <c r="AJ21" i="49"/>
  <c r="AK21" i="49" a="1"/>
  <c r="AK21" i="49"/>
  <c r="AL21" i="49" a="1"/>
  <c r="AL21" i="49"/>
  <c r="AM21" i="49" a="1"/>
  <c r="AM21" i="49"/>
  <c r="AN21" i="49" a="1"/>
  <c r="AN21" i="49"/>
  <c r="AO21" i="49" a="1"/>
  <c r="AO21" i="49"/>
  <c r="AT21" i="49"/>
  <c r="AU21" i="49"/>
  <c r="AV21" i="49"/>
  <c r="AW21" i="49" a="1"/>
  <c r="AW21" i="49"/>
  <c r="AX21" i="49"/>
  <c r="AY21" i="49"/>
  <c r="AI22" i="49" a="1"/>
  <c r="AI22" i="49"/>
  <c r="AJ22" i="49" a="1"/>
  <c r="AJ22" i="49"/>
  <c r="AK22" i="49" a="1"/>
  <c r="AK22" i="49"/>
  <c r="AL22" i="49" a="1"/>
  <c r="AL22" i="49"/>
  <c r="AM22" i="49" a="1"/>
  <c r="AM22" i="49"/>
  <c r="AN22" i="49" a="1"/>
  <c r="AN22" i="49"/>
  <c r="AO22" i="49" a="1"/>
  <c r="AO22" i="49"/>
  <c r="AT22" i="49"/>
  <c r="AU22" i="49"/>
  <c r="AV22" i="49"/>
  <c r="AW22" i="49" a="1"/>
  <c r="AW22" i="49"/>
  <c r="AX22" i="49"/>
  <c r="AY22" i="49"/>
  <c r="AI23" i="49" a="1"/>
  <c r="AI23" i="49"/>
  <c r="AJ23" i="49" a="1"/>
  <c r="AJ23" i="49"/>
  <c r="AK23" i="49" a="1"/>
  <c r="AK23" i="49"/>
  <c r="AL23" i="49" a="1"/>
  <c r="AL23" i="49"/>
  <c r="AM23" i="49" a="1"/>
  <c r="AM23" i="49"/>
  <c r="AN23" i="49" a="1"/>
  <c r="AN23" i="49"/>
  <c r="AO23" i="49" a="1"/>
  <c r="AO23" i="49"/>
  <c r="AT23" i="49"/>
  <c r="AU23" i="49"/>
  <c r="AV23" i="49"/>
  <c r="AW23" i="49" a="1"/>
  <c r="AW23" i="49"/>
  <c r="AX23" i="49"/>
  <c r="AY23" i="49"/>
  <c r="AI24" i="49" a="1"/>
  <c r="AI24" i="49"/>
  <c r="AJ24" i="49" a="1"/>
  <c r="AJ24" i="49"/>
  <c r="AK24" i="49" a="1"/>
  <c r="AK24" i="49"/>
  <c r="AL24" i="49" a="1"/>
  <c r="AL24" i="49"/>
  <c r="AM24" i="49" a="1"/>
  <c r="AM24" i="49"/>
  <c r="AN24" i="49" a="1"/>
  <c r="AN24" i="49"/>
  <c r="AO24" i="49" a="1"/>
  <c r="AO24" i="49"/>
  <c r="AT24" i="49"/>
  <c r="AU24" i="49"/>
  <c r="AV24" i="49"/>
  <c r="AW24" i="49" a="1"/>
  <c r="AW24" i="49"/>
  <c r="AX24" i="49"/>
  <c r="AY24" i="49"/>
  <c r="AI25" i="49" a="1"/>
  <c r="AI25" i="49"/>
  <c r="AJ25" i="49" a="1"/>
  <c r="AJ25" i="49"/>
  <c r="AK25" i="49" a="1"/>
  <c r="AK25" i="49"/>
  <c r="AL25" i="49" a="1"/>
  <c r="AL25" i="49"/>
  <c r="AM25" i="49" a="1"/>
  <c r="AM25" i="49"/>
  <c r="AN25" i="49" a="1"/>
  <c r="AN25" i="49"/>
  <c r="AO25" i="49" a="1"/>
  <c r="AO25" i="49"/>
  <c r="AT25" i="49"/>
  <c r="AU25" i="49"/>
  <c r="AV25" i="49"/>
  <c r="AW25" i="49" a="1"/>
  <c r="AW25" i="49"/>
  <c r="AX25" i="49"/>
  <c r="AY25" i="49"/>
  <c r="AI26" i="49" a="1"/>
  <c r="AI26" i="49"/>
  <c r="AJ26" i="49" a="1"/>
  <c r="AJ26" i="49"/>
  <c r="AK26" i="49" a="1"/>
  <c r="AK26" i="49"/>
  <c r="AL26" i="49" a="1"/>
  <c r="AL26" i="49"/>
  <c r="AM26" i="49" a="1"/>
  <c r="AM26" i="49"/>
  <c r="AN26" i="49" a="1"/>
  <c r="AN26" i="49"/>
  <c r="AO26" i="49" a="1"/>
  <c r="AO26" i="49"/>
  <c r="AT26" i="49"/>
  <c r="AU26" i="49"/>
  <c r="AV26" i="49"/>
  <c r="AW26" i="49" a="1"/>
  <c r="AW26" i="49"/>
  <c r="AX26" i="49"/>
  <c r="AY26" i="49"/>
  <c r="AI27" i="49" a="1"/>
  <c r="AI27" i="49"/>
  <c r="AJ27" i="49" a="1"/>
  <c r="AJ27" i="49"/>
  <c r="AK27" i="49" a="1"/>
  <c r="AK27" i="49"/>
  <c r="AL27" i="49" a="1"/>
  <c r="AL27" i="49"/>
  <c r="AM27" i="49" a="1"/>
  <c r="AM27" i="49"/>
  <c r="AN27" i="49" a="1"/>
  <c r="AN27" i="49"/>
  <c r="AO27" i="49" a="1"/>
  <c r="AO27" i="49"/>
  <c r="AT27" i="49"/>
  <c r="AU27" i="49"/>
  <c r="AV27" i="49"/>
  <c r="AW27" i="49" a="1"/>
  <c r="AW27" i="49"/>
  <c r="AX27" i="49"/>
  <c r="AY27" i="49"/>
  <c r="AI28" i="49" a="1"/>
  <c r="AI28" i="49"/>
  <c r="AJ28" i="49" a="1"/>
  <c r="AJ28" i="49"/>
  <c r="AK28" i="49" a="1"/>
  <c r="AK28" i="49"/>
  <c r="AL28" i="49" a="1"/>
  <c r="AL28" i="49"/>
  <c r="AM28" i="49" a="1"/>
  <c r="AM28" i="49"/>
  <c r="AN28" i="49" a="1"/>
  <c r="AN28" i="49"/>
  <c r="AO28" i="49" a="1"/>
  <c r="AO28" i="49"/>
  <c r="AT28" i="49"/>
  <c r="AU28" i="49"/>
  <c r="AV28" i="49"/>
  <c r="AW28" i="49" a="1"/>
  <c r="AW28" i="49"/>
  <c r="AX28" i="49"/>
  <c r="AY28" i="49"/>
  <c r="AI29" i="49" a="1"/>
  <c r="AI29" i="49"/>
  <c r="AJ29" i="49" a="1"/>
  <c r="AJ29" i="49"/>
  <c r="AK29" i="49" a="1"/>
  <c r="AK29" i="49"/>
  <c r="AL29" i="49" a="1"/>
  <c r="AL29" i="49"/>
  <c r="AM29" i="49" a="1"/>
  <c r="AM29" i="49"/>
  <c r="AN29" i="49" a="1"/>
  <c r="AN29" i="49"/>
  <c r="AO29" i="49" a="1"/>
  <c r="AO29" i="49"/>
  <c r="AT29" i="49"/>
  <c r="AU29" i="49"/>
  <c r="AV29" i="49"/>
  <c r="AW29" i="49" a="1"/>
  <c r="AW29" i="49"/>
  <c r="AX29" i="49"/>
  <c r="AY29" i="49"/>
  <c r="AI30" i="49" a="1"/>
  <c r="AI30" i="49"/>
  <c r="AJ30" i="49" a="1"/>
  <c r="AJ30" i="49"/>
  <c r="AK30" i="49" a="1"/>
  <c r="AK30" i="49"/>
  <c r="AL30" i="49" a="1"/>
  <c r="AL30" i="49"/>
  <c r="AM30" i="49" a="1"/>
  <c r="AM30" i="49"/>
  <c r="AN30" i="49" a="1"/>
  <c r="AN30" i="49"/>
  <c r="AO30" i="49" a="1"/>
  <c r="AO30" i="49"/>
  <c r="AT30" i="49"/>
  <c r="AU30" i="49"/>
  <c r="AV30" i="49"/>
  <c r="AW30" i="49" a="1"/>
  <c r="AW30" i="49"/>
  <c r="AX30" i="49"/>
  <c r="AY30" i="49"/>
  <c r="AI31" i="49" a="1"/>
  <c r="AI31" i="49"/>
  <c r="AJ31" i="49" a="1"/>
  <c r="AJ31" i="49"/>
  <c r="AK31" i="49" a="1"/>
  <c r="AK31" i="49"/>
  <c r="AL31" i="49" a="1"/>
  <c r="AL31" i="49"/>
  <c r="AM31" i="49" a="1"/>
  <c r="AM31" i="49"/>
  <c r="AN31" i="49" a="1"/>
  <c r="AN31" i="49"/>
  <c r="AO31" i="49" a="1"/>
  <c r="AO31" i="49"/>
  <c r="AT31" i="49"/>
  <c r="AU31" i="49"/>
  <c r="AV31" i="49"/>
  <c r="AW31" i="49" a="1"/>
  <c r="AW31" i="49"/>
  <c r="AX31" i="49"/>
  <c r="AY31" i="49"/>
  <c r="AI32" i="49" a="1"/>
  <c r="AI32" i="49"/>
  <c r="AJ32" i="49" a="1"/>
  <c r="AJ32" i="49"/>
  <c r="AK32" i="49" a="1"/>
  <c r="AK32" i="49"/>
  <c r="AL32" i="49" a="1"/>
  <c r="AL32" i="49"/>
  <c r="AM32" i="49" a="1"/>
  <c r="AM32" i="49"/>
  <c r="AN32" i="49" a="1"/>
  <c r="AN32" i="49"/>
  <c r="AO32" i="49" a="1"/>
  <c r="AO32" i="49"/>
  <c r="AT32" i="49"/>
  <c r="AU32" i="49"/>
  <c r="AV32" i="49"/>
  <c r="AW32" i="49" a="1"/>
  <c r="AW32" i="49"/>
  <c r="AX32" i="49"/>
  <c r="AY32" i="49"/>
  <c r="AI33" i="49" a="1"/>
  <c r="AI33" i="49"/>
  <c r="AJ33" i="49" a="1"/>
  <c r="AJ33" i="49"/>
  <c r="AK33" i="49" a="1"/>
  <c r="AK33" i="49"/>
  <c r="AL33" i="49" a="1"/>
  <c r="AL33" i="49"/>
  <c r="AM33" i="49" a="1"/>
  <c r="AM33" i="49"/>
  <c r="AN33" i="49" a="1"/>
  <c r="AN33" i="49"/>
  <c r="AO33" i="49" a="1"/>
  <c r="AO33" i="49"/>
  <c r="AT33" i="49"/>
  <c r="AU33" i="49"/>
  <c r="AV33" i="49"/>
  <c r="AW33" i="49" a="1"/>
  <c r="AW33" i="49"/>
  <c r="AX33" i="49"/>
  <c r="AY33" i="49"/>
  <c r="AI34" i="49" a="1"/>
  <c r="AI34" i="49"/>
  <c r="AJ34" i="49" a="1"/>
  <c r="AJ34" i="49"/>
  <c r="AK34" i="49" a="1"/>
  <c r="AK34" i="49"/>
  <c r="AL34" i="49" a="1"/>
  <c r="AL34" i="49"/>
  <c r="AM34" i="49" a="1"/>
  <c r="AM34" i="49"/>
  <c r="AN34" i="49" a="1"/>
  <c r="AN34" i="49"/>
  <c r="AO34" i="49" a="1"/>
  <c r="AO34" i="49"/>
  <c r="AT34" i="49"/>
  <c r="AU34" i="49"/>
  <c r="AV34" i="49"/>
  <c r="AW34" i="49" a="1"/>
  <c r="AW34" i="49"/>
  <c r="AX34" i="49"/>
  <c r="AY34" i="49"/>
  <c r="AI35" i="49" a="1"/>
  <c r="AI35" i="49"/>
  <c r="AJ35" i="49" a="1"/>
  <c r="AJ35" i="49"/>
  <c r="AK35" i="49" a="1"/>
  <c r="AK35" i="49"/>
  <c r="AL35" i="49" a="1"/>
  <c r="AL35" i="49"/>
  <c r="AM35" i="49" a="1"/>
  <c r="AM35" i="49"/>
  <c r="AN35" i="49" a="1"/>
  <c r="AN35" i="49"/>
  <c r="AO35" i="49" a="1"/>
  <c r="AO35" i="49"/>
  <c r="AT35" i="49"/>
  <c r="AU35" i="49"/>
  <c r="AV35" i="49"/>
  <c r="AW35" i="49" a="1"/>
  <c r="AW35" i="49"/>
  <c r="AX35" i="49"/>
  <c r="AY35" i="49"/>
  <c r="AI36" i="49" a="1"/>
  <c r="AI36" i="49"/>
  <c r="AJ36" i="49" a="1"/>
  <c r="AJ36" i="49"/>
  <c r="AK36" i="49" a="1"/>
  <c r="AK36" i="49"/>
  <c r="AL36" i="49" a="1"/>
  <c r="AL36" i="49"/>
  <c r="AM36" i="49" a="1"/>
  <c r="AM36" i="49"/>
  <c r="AN36" i="49" a="1"/>
  <c r="AN36" i="49"/>
  <c r="AO36" i="49" a="1"/>
  <c r="AO36" i="49"/>
  <c r="AT36" i="49"/>
  <c r="AU36" i="49"/>
  <c r="AV36" i="49"/>
  <c r="AW36" i="49" a="1"/>
  <c r="AW36" i="49"/>
  <c r="AX36" i="49"/>
  <c r="AY36" i="49"/>
  <c r="AI37" i="49" a="1"/>
  <c r="AI37" i="49"/>
  <c r="AJ37" i="49" a="1"/>
  <c r="AJ37" i="49"/>
  <c r="AK37" i="49" a="1"/>
  <c r="AK37" i="49"/>
  <c r="AL37" i="49" a="1"/>
  <c r="AL37" i="49"/>
  <c r="AM37" i="49" a="1"/>
  <c r="AM37" i="49"/>
  <c r="AN37" i="49" a="1"/>
  <c r="AN37" i="49"/>
  <c r="AO37" i="49" a="1"/>
  <c r="AO37" i="49"/>
  <c r="AT37" i="49"/>
  <c r="AU37" i="49"/>
  <c r="AV37" i="49"/>
  <c r="AW37" i="49" a="1"/>
  <c r="AW37" i="49"/>
  <c r="AX37" i="49"/>
  <c r="AY37" i="49"/>
  <c r="AI38" i="49" a="1"/>
  <c r="AI38" i="49"/>
  <c r="AJ38" i="49" a="1"/>
  <c r="AJ38" i="49"/>
  <c r="AK38" i="49" a="1"/>
  <c r="AK38" i="49"/>
  <c r="AL38" i="49" a="1"/>
  <c r="AL38" i="49"/>
  <c r="AM38" i="49" a="1"/>
  <c r="AM38" i="49"/>
  <c r="AN38" i="49" a="1"/>
  <c r="AN38" i="49"/>
  <c r="AO38" i="49" a="1"/>
  <c r="AO38" i="49"/>
  <c r="AT38" i="49"/>
  <c r="AU38" i="49"/>
  <c r="AV38" i="49"/>
  <c r="AW38" i="49" a="1"/>
  <c r="AW38" i="49"/>
  <c r="AX38" i="49"/>
  <c r="AY38" i="49"/>
  <c r="AI39" i="49" a="1"/>
  <c r="AI39" i="49"/>
  <c r="AJ39" i="49" a="1"/>
  <c r="AJ39" i="49"/>
  <c r="AK39" i="49" a="1"/>
  <c r="AK39" i="49"/>
  <c r="AL39" i="49" a="1"/>
  <c r="AL39" i="49"/>
  <c r="AM39" i="49" a="1"/>
  <c r="AM39" i="49"/>
  <c r="AN39" i="49" a="1"/>
  <c r="AN39" i="49"/>
  <c r="AO39" i="49" a="1"/>
  <c r="AO39" i="49"/>
  <c r="AT39" i="49"/>
  <c r="AU39" i="49"/>
  <c r="AV39" i="49"/>
  <c r="AW39" i="49" a="1"/>
  <c r="AW39" i="49"/>
  <c r="AX39" i="49"/>
  <c r="AY39" i="49"/>
  <c r="AI40" i="49" a="1"/>
  <c r="AI40" i="49"/>
  <c r="AJ40" i="49" a="1"/>
  <c r="AJ40" i="49"/>
  <c r="AK40" i="49" a="1"/>
  <c r="AK40" i="49"/>
  <c r="AL40" i="49" a="1"/>
  <c r="AL40" i="49"/>
  <c r="AM40" i="49" a="1"/>
  <c r="AM40" i="49"/>
  <c r="AN40" i="49" a="1"/>
  <c r="AN40" i="49"/>
  <c r="AO40" i="49" a="1"/>
  <c r="AO40" i="49"/>
  <c r="AT40" i="49"/>
  <c r="AU40" i="49"/>
  <c r="AV40" i="49"/>
  <c r="AW40" i="49" a="1"/>
  <c r="AW40" i="49"/>
  <c r="AX40" i="49"/>
  <c r="AY40" i="49"/>
  <c r="AI41" i="49" a="1"/>
  <c r="AI41" i="49"/>
  <c r="AJ41" i="49" a="1"/>
  <c r="AJ41" i="49"/>
  <c r="AK41" i="49" a="1"/>
  <c r="AK41" i="49"/>
  <c r="AL41" i="49" a="1"/>
  <c r="AL41" i="49"/>
  <c r="AM41" i="49" a="1"/>
  <c r="AM41" i="49"/>
  <c r="AN41" i="49" a="1"/>
  <c r="AN41" i="49"/>
  <c r="AO41" i="49" a="1"/>
  <c r="AO41" i="49"/>
  <c r="AT41" i="49"/>
  <c r="AU41" i="49"/>
  <c r="AV41" i="49"/>
  <c r="AW41" i="49" a="1"/>
  <c r="AW41" i="49"/>
  <c r="AX41" i="49"/>
  <c r="AY41" i="49"/>
  <c r="AI42" i="49" a="1"/>
  <c r="AI42" i="49"/>
  <c r="AJ42" i="49" a="1"/>
  <c r="AJ42" i="49"/>
  <c r="AK42" i="49" a="1"/>
  <c r="AK42" i="49"/>
  <c r="AL42" i="49" a="1"/>
  <c r="AL42" i="49"/>
  <c r="AM42" i="49" a="1"/>
  <c r="AM42" i="49"/>
  <c r="AN42" i="49" a="1"/>
  <c r="AN42" i="49"/>
  <c r="AO42" i="49" a="1"/>
  <c r="AO42" i="49"/>
  <c r="AT42" i="49"/>
  <c r="AU42" i="49"/>
  <c r="AV42" i="49"/>
  <c r="AW42" i="49" a="1"/>
  <c r="AW42" i="49"/>
  <c r="AX42" i="49"/>
  <c r="AY42" i="49"/>
  <c r="AI43" i="49" a="1"/>
  <c r="AI43" i="49"/>
  <c r="AJ43" i="49" a="1"/>
  <c r="AJ43" i="49"/>
  <c r="AK43" i="49" a="1"/>
  <c r="AK43" i="49"/>
  <c r="AL43" i="49" a="1"/>
  <c r="AL43" i="49"/>
  <c r="AM43" i="49" a="1"/>
  <c r="AM43" i="49"/>
  <c r="AN43" i="49" a="1"/>
  <c r="AN43" i="49"/>
  <c r="AO43" i="49" a="1"/>
  <c r="AO43" i="49"/>
  <c r="AT43" i="49"/>
  <c r="AU43" i="49"/>
  <c r="AV43" i="49"/>
  <c r="AW43" i="49" a="1"/>
  <c r="AW43" i="49"/>
  <c r="AX43" i="49"/>
  <c r="AY43" i="49"/>
  <c r="AI44" i="49" a="1"/>
  <c r="AI44" i="49"/>
  <c r="AJ44" i="49" a="1"/>
  <c r="AJ44" i="49"/>
  <c r="AK44" i="49" a="1"/>
  <c r="AK44" i="49"/>
  <c r="AL44" i="49" a="1"/>
  <c r="AL44" i="49"/>
  <c r="AM44" i="49" a="1"/>
  <c r="AM44" i="49"/>
  <c r="AN44" i="49" a="1"/>
  <c r="AN44" i="49"/>
  <c r="AO44" i="49" a="1"/>
  <c r="AO44" i="49"/>
  <c r="AT44" i="49"/>
  <c r="AU44" i="49"/>
  <c r="AV44" i="49"/>
  <c r="AW44" i="49" a="1"/>
  <c r="AW44" i="49"/>
  <c r="AX44" i="49"/>
  <c r="AY44" i="49"/>
  <c r="AI45" i="49" a="1"/>
  <c r="AI45" i="49"/>
  <c r="AJ45" i="49" a="1"/>
  <c r="AJ45" i="49"/>
  <c r="AK45" i="49" a="1"/>
  <c r="AK45" i="49"/>
  <c r="AL45" i="49" a="1"/>
  <c r="AL45" i="49"/>
  <c r="AM45" i="49" a="1"/>
  <c r="AM45" i="49"/>
  <c r="AN45" i="49" a="1"/>
  <c r="AN45" i="49"/>
  <c r="AO45" i="49" a="1"/>
  <c r="AO45" i="49"/>
  <c r="AT45" i="49"/>
  <c r="AU45" i="49"/>
  <c r="AV45" i="49"/>
  <c r="AW45" i="49" a="1"/>
  <c r="AW45" i="49"/>
  <c r="AX45" i="49"/>
  <c r="AY45" i="49"/>
  <c r="AI46" i="49" a="1"/>
  <c r="AI46" i="49"/>
  <c r="AJ46" i="49" a="1"/>
  <c r="AJ46" i="49"/>
  <c r="AK46" i="49" a="1"/>
  <c r="AK46" i="49"/>
  <c r="AL46" i="49" a="1"/>
  <c r="AL46" i="49"/>
  <c r="AM46" i="49" a="1"/>
  <c r="AM46" i="49"/>
  <c r="AN46" i="49" a="1"/>
  <c r="AN46" i="49"/>
  <c r="AO46" i="49" a="1"/>
  <c r="AO46" i="49"/>
  <c r="AT46" i="49"/>
  <c r="AU46" i="49"/>
  <c r="AV46" i="49"/>
  <c r="AW46" i="49" a="1"/>
  <c r="AW46" i="49"/>
  <c r="AX46" i="49"/>
  <c r="AY46" i="49"/>
  <c r="AI47" i="49" a="1"/>
  <c r="AI47" i="49"/>
  <c r="AJ47" i="49" a="1"/>
  <c r="AJ47" i="49"/>
  <c r="AK47" i="49" a="1"/>
  <c r="AK47" i="49"/>
  <c r="AL47" i="49" a="1"/>
  <c r="AL47" i="49"/>
  <c r="AM47" i="49" a="1"/>
  <c r="AM47" i="49"/>
  <c r="AN47" i="49" a="1"/>
  <c r="AN47" i="49"/>
  <c r="AO47" i="49" a="1"/>
  <c r="AO47" i="49"/>
  <c r="AT47" i="49"/>
  <c r="AU47" i="49"/>
  <c r="AV47" i="49"/>
  <c r="AW47" i="49" a="1"/>
  <c r="AW47" i="49"/>
  <c r="AX47" i="49"/>
  <c r="AY47" i="49"/>
  <c r="AI48" i="49" a="1"/>
  <c r="AI48" i="49"/>
  <c r="AJ48" i="49" a="1"/>
  <c r="AJ48" i="49"/>
  <c r="AK48" i="49" a="1"/>
  <c r="AK48" i="49"/>
  <c r="AL48" i="49" a="1"/>
  <c r="AL48" i="49"/>
  <c r="AM48" i="49" a="1"/>
  <c r="AM48" i="49"/>
  <c r="AN48" i="49" a="1"/>
  <c r="AN48" i="49"/>
  <c r="AO48" i="49" a="1"/>
  <c r="AO48" i="49"/>
  <c r="AT48" i="49"/>
  <c r="AU48" i="49"/>
  <c r="AV48" i="49"/>
  <c r="AW48" i="49" a="1"/>
  <c r="AW48" i="49"/>
  <c r="AX48" i="49"/>
  <c r="AY48" i="49"/>
  <c r="AI49" i="49" a="1"/>
  <c r="AI49" i="49"/>
  <c r="AJ49" i="49" a="1"/>
  <c r="AJ49" i="49"/>
  <c r="AK49" i="49" a="1"/>
  <c r="AK49" i="49"/>
  <c r="AL49" i="49" a="1"/>
  <c r="AL49" i="49"/>
  <c r="AM49" i="49" a="1"/>
  <c r="AM49" i="49"/>
  <c r="AN49" i="49" a="1"/>
  <c r="AN49" i="49"/>
  <c r="AO49" i="49" a="1"/>
  <c r="AO49" i="49"/>
  <c r="AT49" i="49"/>
  <c r="AU49" i="49"/>
  <c r="AV49" i="49"/>
  <c r="AW49" i="49" a="1"/>
  <c r="AW49" i="49"/>
  <c r="AX49" i="49"/>
  <c r="AY49" i="49"/>
  <c r="AI50" i="49" a="1"/>
  <c r="AI50" i="49"/>
  <c r="AJ50" i="49" a="1"/>
  <c r="AJ50" i="49"/>
  <c r="AK50" i="49" a="1"/>
  <c r="AK50" i="49"/>
  <c r="AL50" i="49" a="1"/>
  <c r="AL50" i="49"/>
  <c r="AM50" i="49" a="1"/>
  <c r="AM50" i="49"/>
  <c r="AN50" i="49" a="1"/>
  <c r="AN50" i="49"/>
  <c r="AO50" i="49" a="1"/>
  <c r="AO50" i="49"/>
  <c r="AT50" i="49"/>
  <c r="AU50" i="49"/>
  <c r="AV50" i="49"/>
  <c r="AW50" i="49" a="1"/>
  <c r="AW50" i="49"/>
  <c r="AX50" i="49"/>
  <c r="AY50" i="49"/>
  <c r="AI51" i="49" a="1"/>
  <c r="AI51" i="49"/>
  <c r="AJ51" i="49" a="1"/>
  <c r="AJ51" i="49"/>
  <c r="AK51" i="49" a="1"/>
  <c r="AK51" i="49"/>
  <c r="AL51" i="49" a="1"/>
  <c r="AL51" i="49"/>
  <c r="AM51" i="49" a="1"/>
  <c r="AM51" i="49"/>
  <c r="AN51" i="49" a="1"/>
  <c r="AN51" i="49"/>
  <c r="AO51" i="49" a="1"/>
  <c r="AO51" i="49"/>
  <c r="AT51" i="49"/>
  <c r="AU51" i="49"/>
  <c r="AV51" i="49"/>
  <c r="AW51" i="49" a="1"/>
  <c r="AW51" i="49"/>
  <c r="AX51" i="49"/>
  <c r="AY51" i="49"/>
  <c r="AI52" i="49" a="1"/>
  <c r="AI52" i="49"/>
  <c r="AJ52" i="49" a="1"/>
  <c r="AJ52" i="49"/>
  <c r="AK52" i="49" a="1"/>
  <c r="AK52" i="49"/>
  <c r="AL52" i="49" a="1"/>
  <c r="AL52" i="49"/>
  <c r="AM52" i="49" a="1"/>
  <c r="AM52" i="49"/>
  <c r="AN52" i="49" a="1"/>
  <c r="AN52" i="49"/>
  <c r="AO52" i="49" a="1"/>
  <c r="AO52" i="49"/>
  <c r="AT52" i="49"/>
  <c r="AU52" i="49"/>
  <c r="AV52" i="49"/>
  <c r="AW52" i="49" a="1"/>
  <c r="AW52" i="49"/>
  <c r="AX52" i="49"/>
  <c r="AY52" i="49"/>
  <c r="AI53" i="49" a="1"/>
  <c r="AI53" i="49"/>
  <c r="AJ53" i="49" a="1"/>
  <c r="AJ53" i="49"/>
  <c r="AK53" i="49" a="1"/>
  <c r="AK53" i="49"/>
  <c r="AL53" i="49" a="1"/>
  <c r="AL53" i="49"/>
  <c r="AM53" i="49" a="1"/>
  <c r="AM53" i="49"/>
  <c r="AN53" i="49" a="1"/>
  <c r="AN53" i="49"/>
  <c r="AO53" i="49" a="1"/>
  <c r="AO53" i="49"/>
  <c r="AT53" i="49"/>
  <c r="AU53" i="49"/>
  <c r="AV53" i="49"/>
  <c r="AW53" i="49" a="1"/>
  <c r="AW53" i="49"/>
  <c r="AX53" i="49"/>
  <c r="AY53" i="49"/>
  <c r="AI54" i="49" a="1"/>
  <c r="AI54" i="49"/>
  <c r="AJ54" i="49" a="1"/>
  <c r="AJ54" i="49"/>
  <c r="AK54" i="49" a="1"/>
  <c r="AK54" i="49"/>
  <c r="AL54" i="49" a="1"/>
  <c r="AL54" i="49"/>
  <c r="AM54" i="49" a="1"/>
  <c r="AM54" i="49"/>
  <c r="AN54" i="49" a="1"/>
  <c r="AN54" i="49"/>
  <c r="AO54" i="49" a="1"/>
  <c r="AO54" i="49"/>
  <c r="AT54" i="49"/>
  <c r="AU54" i="49"/>
  <c r="AV54" i="49"/>
  <c r="AW54" i="49" a="1"/>
  <c r="AW54" i="49"/>
  <c r="AX54" i="49"/>
  <c r="AY54" i="49"/>
  <c r="AI55" i="49" a="1"/>
  <c r="AI55" i="49"/>
  <c r="AJ55" i="49" a="1"/>
  <c r="AJ55" i="49"/>
  <c r="AK55" i="49" a="1"/>
  <c r="AK55" i="49"/>
  <c r="AL55" i="49" a="1"/>
  <c r="AL55" i="49"/>
  <c r="AM55" i="49" a="1"/>
  <c r="AM55" i="49"/>
  <c r="AN55" i="49" a="1"/>
  <c r="AN55" i="49"/>
  <c r="AO55" i="49" a="1"/>
  <c r="AO55" i="49"/>
  <c r="AT55" i="49"/>
  <c r="AU55" i="49"/>
  <c r="AV55" i="49"/>
  <c r="AW55" i="49" a="1"/>
  <c r="AW55" i="49"/>
  <c r="AX55" i="49"/>
  <c r="AY55" i="49"/>
  <c r="C68" i="49"/>
  <c r="C67" i="49"/>
  <c r="C65" i="49"/>
  <c r="C66" i="49"/>
  <c r="AX62" i="49"/>
  <c r="AW62" i="49" a="1"/>
  <c r="AW62" i="49" s="1"/>
  <c r="AV62" i="49"/>
  <c r="AU62" i="49"/>
  <c r="AT62" i="49"/>
  <c r="AO62" i="49" a="1"/>
  <c r="AO62" i="49" s="1"/>
  <c r="AN62" i="49" a="1"/>
  <c r="AN62" i="49" s="1"/>
  <c r="AM62" i="49" a="1"/>
  <c r="AM62" i="49" s="1"/>
  <c r="AL62" i="49" a="1"/>
  <c r="AL62" i="49" s="1"/>
  <c r="AK62" i="49" a="1"/>
  <c r="AK62" i="49" s="1"/>
  <c r="AJ62" i="49" a="1"/>
  <c r="AJ62" i="49" s="1"/>
  <c r="AI62" i="49" a="1"/>
  <c r="AI62" i="49" s="1"/>
  <c r="AX61" i="49"/>
  <c r="AW61" i="49" a="1"/>
  <c r="AW61" i="49" s="1"/>
  <c r="AV61" i="49"/>
  <c r="AU61" i="49"/>
  <c r="AT61" i="49"/>
  <c r="AO61" i="49" a="1"/>
  <c r="AO61" i="49" s="1"/>
  <c r="AN61" i="49" a="1"/>
  <c r="AN61" i="49" s="1"/>
  <c r="AM61" i="49" a="1"/>
  <c r="AM61" i="49" s="1"/>
  <c r="AL61" i="49" a="1"/>
  <c r="AL61" i="49" s="1"/>
  <c r="AK61" i="49" a="1"/>
  <c r="AK61" i="49" s="1"/>
  <c r="AJ61" i="49" a="1"/>
  <c r="AJ61" i="49" s="1"/>
  <c r="AI61" i="49" a="1"/>
  <c r="AI61" i="49" s="1"/>
  <c r="AX60" i="49"/>
  <c r="AW60" i="49" a="1"/>
  <c r="AW60" i="49" s="1"/>
  <c r="AV60" i="49"/>
  <c r="AU60" i="49"/>
  <c r="AT60" i="49"/>
  <c r="AO60" i="49" a="1"/>
  <c r="AO60" i="49" s="1"/>
  <c r="AN60" i="49" a="1"/>
  <c r="AN60" i="49" s="1"/>
  <c r="AM60" i="49" a="1"/>
  <c r="AM60" i="49" s="1"/>
  <c r="AL60" i="49" a="1"/>
  <c r="AL60" i="49" s="1"/>
  <c r="AK60" i="49" a="1"/>
  <c r="AK60" i="49" s="1"/>
  <c r="AJ60" i="49" a="1"/>
  <c r="AJ60" i="49" s="1"/>
  <c r="AI60" i="49" a="1"/>
  <c r="AI60" i="49" s="1"/>
  <c r="AX59" i="49"/>
  <c r="AW59" i="49" a="1"/>
  <c r="AW59" i="49" s="1"/>
  <c r="AV59" i="49"/>
  <c r="AU59" i="49"/>
  <c r="AT59" i="49"/>
  <c r="AO59" i="49" a="1"/>
  <c r="AO59" i="49" s="1"/>
  <c r="AN59" i="49" a="1"/>
  <c r="AN59" i="49" s="1"/>
  <c r="AM59" i="49" a="1"/>
  <c r="AM59" i="49" s="1"/>
  <c r="AL59" i="49" a="1"/>
  <c r="AL59" i="49" s="1"/>
  <c r="AK59" i="49" a="1"/>
  <c r="AK59" i="49" s="1"/>
  <c r="AJ59" i="49" a="1"/>
  <c r="AJ59" i="49" s="1"/>
  <c r="AI59" i="49" a="1"/>
  <c r="AI59" i="49" s="1"/>
  <c r="C62" i="57"/>
  <c r="C61" i="57"/>
  <c r="C60" i="57"/>
  <c r="C59" i="57"/>
  <c r="AW12" i="57" a="1"/>
  <c r="AW12" i="57"/>
  <c r="AO12" i="57" a="1"/>
  <c r="AO12" i="57"/>
  <c r="AN12" i="57" a="1"/>
  <c r="AN12" i="57"/>
  <c r="AM12" i="57" a="1"/>
  <c r="AM12" i="57"/>
  <c r="AL12" i="57" a="1"/>
  <c r="AL12" i="57"/>
  <c r="AK12" i="57" a="1"/>
  <c r="AK12" i="57"/>
  <c r="AJ12" i="57" a="1"/>
  <c r="AJ12" i="57"/>
  <c r="AI12" i="57" a="1"/>
  <c r="AI12" i="57"/>
  <c r="AW11" i="57" a="1"/>
  <c r="AW11" i="57"/>
  <c r="AO11" i="57" a="1"/>
  <c r="AO11" i="57"/>
  <c r="AN11" i="57" a="1"/>
  <c r="AN11" i="57"/>
  <c r="AM11" i="57" a="1"/>
  <c r="AM11" i="57"/>
  <c r="AL11" i="57" a="1"/>
  <c r="AL11" i="57"/>
  <c r="AK11" i="57" a="1"/>
  <c r="AK11" i="57"/>
  <c r="AJ11" i="57" a="1"/>
  <c r="AJ11" i="57"/>
  <c r="AI11" i="57" a="1"/>
  <c r="AI11" i="57"/>
  <c r="AW10" i="57" a="1"/>
  <c r="AW10" i="57"/>
  <c r="AO10" i="57" a="1"/>
  <c r="AO10" i="57"/>
  <c r="AN10" i="57" a="1"/>
  <c r="AN10" i="57"/>
  <c r="AM10" i="57" a="1"/>
  <c r="AM10" i="57"/>
  <c r="AL10" i="57" a="1"/>
  <c r="AL10" i="57"/>
  <c r="AK10" i="57" a="1"/>
  <c r="AK10" i="57"/>
  <c r="AJ10" i="57" a="1"/>
  <c r="AJ10" i="57"/>
  <c r="AI10" i="57" a="1"/>
  <c r="AI10" i="57"/>
  <c r="AW9" i="57" a="1"/>
  <c r="AW9" i="57"/>
  <c r="AO9" i="57" a="1"/>
  <c r="AO9" i="57"/>
  <c r="AN9" i="57" a="1"/>
  <c r="AN9" i="57"/>
  <c r="AM9" i="57" a="1"/>
  <c r="AM9" i="57"/>
  <c r="AL9" i="57" a="1"/>
  <c r="AL9" i="57"/>
  <c r="AK9" i="57" a="1"/>
  <c r="AK9" i="57"/>
  <c r="AJ9" i="57" a="1"/>
  <c r="AJ9" i="57"/>
  <c r="AI9" i="57" a="1"/>
  <c r="AI9" i="57"/>
  <c r="AW8" i="57" a="1"/>
  <c r="AW8" i="57"/>
  <c r="AO8" i="57" a="1"/>
  <c r="AO8" i="57"/>
  <c r="AN8" i="57" a="1"/>
  <c r="AN8" i="57"/>
  <c r="AM8" i="57" a="1"/>
  <c r="AM8" i="57"/>
  <c r="AL8" i="57" a="1"/>
  <c r="AL8" i="57"/>
  <c r="AK8" i="57" a="1"/>
  <c r="AK8" i="57"/>
  <c r="AJ8" i="57" a="1"/>
  <c r="AJ8" i="57"/>
  <c r="AI8" i="57" a="1"/>
  <c r="AI8" i="57"/>
  <c r="AW7" i="57" a="1"/>
  <c r="AW7" i="57"/>
  <c r="AO7" i="57" a="1"/>
  <c r="AO7" i="57"/>
  <c r="AN7" i="57" a="1"/>
  <c r="AN7" i="57"/>
  <c r="AM7" i="57" a="1"/>
  <c r="AM7" i="57"/>
  <c r="AL7" i="57" a="1"/>
  <c r="AL7" i="57"/>
  <c r="AK7" i="57" a="1"/>
  <c r="AK7" i="57"/>
  <c r="AJ7" i="57" a="1"/>
  <c r="AJ7" i="57"/>
  <c r="AI7" i="57" a="1"/>
  <c r="AI7" i="57"/>
  <c r="AW6" i="57" a="1"/>
  <c r="AW6" i="57"/>
  <c r="AO6" i="57" a="1"/>
  <c r="AO6" i="57"/>
  <c r="AN6" i="57" a="1"/>
  <c r="AN6" i="57"/>
  <c r="AM6" i="57" a="1"/>
  <c r="AM6" i="57"/>
  <c r="AL6" i="57" a="1"/>
  <c r="AL6" i="57"/>
  <c r="AK6" i="57" a="1"/>
  <c r="AK6" i="57"/>
  <c r="AJ6" i="57" a="1"/>
  <c r="AJ6" i="57"/>
  <c r="AI6" i="57" a="1"/>
  <c r="AI6" i="57"/>
  <c r="AW5" i="57" a="1"/>
  <c r="AW5" i="57"/>
  <c r="AO5" i="57" a="1"/>
  <c r="AO5" i="57"/>
  <c r="AN5" i="57" a="1"/>
  <c r="AN5" i="57"/>
  <c r="AM5" i="57" a="1"/>
  <c r="AM5" i="57"/>
  <c r="AL5" i="57" a="1"/>
  <c r="AL5" i="57"/>
  <c r="AK5" i="57" a="1"/>
  <c r="AK5" i="57"/>
  <c r="AJ5" i="57" a="1"/>
  <c r="AJ5" i="57"/>
  <c r="AI5" i="57" a="1"/>
  <c r="AI5" i="57"/>
  <c r="AT5" i="57"/>
  <c r="AU5" i="57"/>
  <c r="AV5" i="57"/>
  <c r="AX5" i="57"/>
  <c r="AY5" i="57"/>
  <c r="AT6" i="57"/>
  <c r="AU6" i="57"/>
  <c r="AV6" i="57"/>
  <c r="AX6" i="57"/>
  <c r="AY6" i="57"/>
  <c r="AT7" i="57"/>
  <c r="AU7" i="57"/>
  <c r="AV7" i="57"/>
  <c r="AX7" i="57"/>
  <c r="AY7" i="57"/>
  <c r="AT8" i="57"/>
  <c r="AU8" i="57"/>
  <c r="AV8" i="57"/>
  <c r="AX8" i="57"/>
  <c r="AY8" i="57"/>
  <c r="AT9" i="57"/>
  <c r="AU9" i="57"/>
  <c r="AV9" i="57"/>
  <c r="AX9" i="57"/>
  <c r="AY9" i="57"/>
  <c r="AT10" i="57"/>
  <c r="AU10" i="57"/>
  <c r="AV10" i="57"/>
  <c r="AX10" i="57"/>
  <c r="AY10" i="57"/>
  <c r="AT11" i="57"/>
  <c r="AU11" i="57"/>
  <c r="AV11" i="57"/>
  <c r="AX11" i="57"/>
  <c r="AY11" i="57"/>
  <c r="AT12" i="57"/>
  <c r="AU12" i="57"/>
  <c r="AV12" i="57"/>
  <c r="AX12" i="57"/>
  <c r="AY12" i="57"/>
  <c r="B16" i="58"/>
  <c r="C16" i="58" s="1"/>
  <c r="B15" i="58"/>
  <c r="B14" i="58"/>
  <c r="B13" i="58"/>
  <c r="B10" i="58"/>
  <c r="B5" i="58"/>
  <c r="C5" i="58" s="1"/>
  <c r="B4" i="58"/>
  <c r="B3" i="58"/>
  <c r="B2" i="58"/>
  <c r="AX56" i="57"/>
  <c r="AW56" i="57" a="1"/>
  <c r="AW56" i="57" s="1"/>
  <c r="AV56" i="57"/>
  <c r="AU56" i="57"/>
  <c r="AT56" i="57"/>
  <c r="AO56" i="57" a="1"/>
  <c r="AO56" i="57" s="1"/>
  <c r="AN56" i="57" a="1"/>
  <c r="AN56" i="57" s="1"/>
  <c r="AM56" i="57" a="1"/>
  <c r="AM56" i="57" s="1"/>
  <c r="AL56" i="57" a="1"/>
  <c r="AL56" i="57" s="1"/>
  <c r="AK56" i="57" a="1"/>
  <c r="AK56" i="57" s="1"/>
  <c r="AJ56" i="57" a="1"/>
  <c r="AJ56" i="57" s="1"/>
  <c r="AI56" i="57" a="1"/>
  <c r="AI56" i="57" s="1"/>
  <c r="AX55" i="57"/>
  <c r="AW55" i="57" a="1"/>
  <c r="AW55" i="57" s="1"/>
  <c r="AV55" i="57"/>
  <c r="AU55" i="57"/>
  <c r="AT55" i="57"/>
  <c r="AO55" i="57" a="1"/>
  <c r="AO55" i="57" s="1"/>
  <c r="AN55" i="57" a="1"/>
  <c r="AN55" i="57" s="1"/>
  <c r="AM55" i="57" a="1"/>
  <c r="AM55" i="57" s="1"/>
  <c r="AL55" i="57" a="1"/>
  <c r="AL55" i="57" s="1"/>
  <c r="AK55" i="57" a="1"/>
  <c r="AK55" i="57" s="1"/>
  <c r="AJ55" i="57" a="1"/>
  <c r="AJ55" i="57" s="1"/>
  <c r="AI55" i="57" a="1"/>
  <c r="AI55" i="57" s="1"/>
  <c r="AX54" i="57"/>
  <c r="AW54" i="57" a="1"/>
  <c r="AW54" i="57" s="1"/>
  <c r="AV54" i="57"/>
  <c r="AU54" i="57"/>
  <c r="AT54" i="57"/>
  <c r="AO54" i="57" a="1"/>
  <c r="AO54" i="57" s="1"/>
  <c r="AN54" i="57" a="1"/>
  <c r="AN54" i="57" s="1"/>
  <c r="AM54" i="57" a="1"/>
  <c r="AM54" i="57" s="1"/>
  <c r="AL54" i="57" a="1"/>
  <c r="AL54" i="57" s="1"/>
  <c r="AK54" i="57" a="1"/>
  <c r="AK54" i="57" s="1"/>
  <c r="AJ54" i="57" a="1"/>
  <c r="AJ54" i="57" s="1"/>
  <c r="AI54" i="57" a="1"/>
  <c r="AI54" i="57" s="1"/>
  <c r="AX53" i="57"/>
  <c r="AW53" i="57" a="1"/>
  <c r="AW53" i="57" s="1"/>
  <c r="AV53" i="57"/>
  <c r="AU53" i="57"/>
  <c r="AT53" i="57"/>
  <c r="AO53" i="57" a="1"/>
  <c r="AO53" i="57" s="1"/>
  <c r="AN53" i="57" a="1"/>
  <c r="AN53" i="57" s="1"/>
  <c r="AM53" i="57" a="1"/>
  <c r="AM53" i="57" s="1"/>
  <c r="AL53" i="57" a="1"/>
  <c r="AL53" i="57" s="1"/>
  <c r="AK53" i="57" a="1"/>
  <c r="AK53" i="57" s="1"/>
  <c r="AJ53" i="57" a="1"/>
  <c r="AJ53" i="57" s="1"/>
  <c r="AI53" i="57" a="1"/>
  <c r="AI53" i="57" s="1"/>
  <c r="AX52" i="57"/>
  <c r="AW52" i="57" a="1"/>
  <c r="AW52" i="57" s="1"/>
  <c r="AV52" i="57"/>
  <c r="AU52" i="57"/>
  <c r="AT52" i="57"/>
  <c r="AO52" i="57" a="1"/>
  <c r="AO52" i="57" s="1"/>
  <c r="AN52" i="57" a="1"/>
  <c r="AN52" i="57" s="1"/>
  <c r="AM52" i="57" a="1"/>
  <c r="AM52" i="57" s="1"/>
  <c r="AL52" i="57" a="1"/>
  <c r="AL52" i="57" s="1"/>
  <c r="AK52" i="57" a="1"/>
  <c r="AK52" i="57" s="1"/>
  <c r="AJ52" i="57" a="1"/>
  <c r="AJ52" i="57" s="1"/>
  <c r="AI52" i="57" a="1"/>
  <c r="AI52" i="57" s="1"/>
  <c r="AX51" i="57"/>
  <c r="AW51" i="57" a="1"/>
  <c r="AW51" i="57" s="1"/>
  <c r="AV51" i="57"/>
  <c r="AU51" i="57"/>
  <c r="AT51" i="57"/>
  <c r="AO51" i="57" a="1"/>
  <c r="AO51" i="57" s="1"/>
  <c r="AN51" i="57" a="1"/>
  <c r="AN51" i="57" s="1"/>
  <c r="AM51" i="57" a="1"/>
  <c r="AM51" i="57" s="1"/>
  <c r="AL51" i="57" a="1"/>
  <c r="AL51" i="57" s="1"/>
  <c r="AK51" i="57" a="1"/>
  <c r="AK51" i="57" s="1"/>
  <c r="AJ51" i="57" a="1"/>
  <c r="AJ51" i="57" s="1"/>
  <c r="AI51" i="57" a="1"/>
  <c r="AI51" i="57" s="1"/>
  <c r="AX50" i="57"/>
  <c r="AW50" i="57" a="1"/>
  <c r="AW50" i="57" s="1"/>
  <c r="AV50" i="57"/>
  <c r="AU50" i="57"/>
  <c r="AT50" i="57"/>
  <c r="AO50" i="57" a="1"/>
  <c r="AO50" i="57" s="1"/>
  <c r="AN50" i="57" a="1"/>
  <c r="AN50" i="57" s="1"/>
  <c r="AM50" i="57" a="1"/>
  <c r="AM50" i="57" s="1"/>
  <c r="AL50" i="57" a="1"/>
  <c r="AL50" i="57" s="1"/>
  <c r="AK50" i="57" a="1"/>
  <c r="AK50" i="57" s="1"/>
  <c r="AJ50" i="57" a="1"/>
  <c r="AJ50" i="57" s="1"/>
  <c r="AI50" i="57" a="1"/>
  <c r="AI50" i="57" s="1"/>
  <c r="AX49" i="57"/>
  <c r="AW49" i="57" a="1"/>
  <c r="AW49" i="57" s="1"/>
  <c r="AV49" i="57"/>
  <c r="AU49" i="57"/>
  <c r="AT49" i="57"/>
  <c r="AO49" i="57" a="1"/>
  <c r="AO49" i="57" s="1"/>
  <c r="AN49" i="57" a="1"/>
  <c r="AN49" i="57" s="1"/>
  <c r="AM49" i="57" a="1"/>
  <c r="AM49" i="57" s="1"/>
  <c r="AL49" i="57" a="1"/>
  <c r="AL49" i="57" s="1"/>
  <c r="AK49" i="57" a="1"/>
  <c r="AK49" i="57" s="1"/>
  <c r="AJ49" i="57" a="1"/>
  <c r="AJ49" i="57" s="1"/>
  <c r="AI49" i="57" a="1"/>
  <c r="AI49" i="57" s="1"/>
  <c r="AX48" i="57"/>
  <c r="AW48" i="57" a="1"/>
  <c r="AW48" i="57" s="1"/>
  <c r="AV48" i="57"/>
  <c r="AU48" i="57"/>
  <c r="AT48" i="57"/>
  <c r="AO48" i="57" a="1"/>
  <c r="AO48" i="57" s="1"/>
  <c r="AN48" i="57" a="1"/>
  <c r="AN48" i="57" s="1"/>
  <c r="AM48" i="57" a="1"/>
  <c r="AM48" i="57" s="1"/>
  <c r="AL48" i="57" a="1"/>
  <c r="AL48" i="57" s="1"/>
  <c r="AK48" i="57" a="1"/>
  <c r="AK48" i="57" s="1"/>
  <c r="AJ48" i="57" a="1"/>
  <c r="AJ48" i="57" s="1"/>
  <c r="AI48" i="57" a="1"/>
  <c r="AI48" i="57" s="1"/>
  <c r="AX47" i="57"/>
  <c r="AW47" i="57" a="1"/>
  <c r="AW47" i="57" s="1"/>
  <c r="AV47" i="57"/>
  <c r="AU47" i="57"/>
  <c r="AT47" i="57"/>
  <c r="AO47" i="57" a="1"/>
  <c r="AO47" i="57" s="1"/>
  <c r="AN47" i="57" a="1"/>
  <c r="AN47" i="57" s="1"/>
  <c r="AM47" i="57" a="1"/>
  <c r="AM47" i="57" s="1"/>
  <c r="AL47" i="57" a="1"/>
  <c r="AL47" i="57" s="1"/>
  <c r="AK47" i="57" a="1"/>
  <c r="AK47" i="57" s="1"/>
  <c r="AJ47" i="57" a="1"/>
  <c r="AJ47" i="57" s="1"/>
  <c r="AI47" i="57" a="1"/>
  <c r="AI47" i="57" s="1"/>
  <c r="AX46" i="57"/>
  <c r="AW46" i="57" a="1"/>
  <c r="AW46" i="57" s="1"/>
  <c r="AV46" i="57"/>
  <c r="AU46" i="57"/>
  <c r="AT46" i="57"/>
  <c r="AO46" i="57" a="1"/>
  <c r="AO46" i="57" s="1"/>
  <c r="AN46" i="57" a="1"/>
  <c r="AN46" i="57" s="1"/>
  <c r="AM46" i="57" a="1"/>
  <c r="AM46" i="57" s="1"/>
  <c r="AL46" i="57" a="1"/>
  <c r="AL46" i="57" s="1"/>
  <c r="AK46" i="57" a="1"/>
  <c r="AK46" i="57" s="1"/>
  <c r="AJ46" i="57" a="1"/>
  <c r="AJ46" i="57" s="1"/>
  <c r="AI46" i="57" a="1"/>
  <c r="AI46" i="57" s="1"/>
  <c r="AX45" i="57"/>
  <c r="AW45" i="57" a="1"/>
  <c r="AW45" i="57" s="1"/>
  <c r="AV45" i="57"/>
  <c r="AU45" i="57"/>
  <c r="AT45" i="57"/>
  <c r="AO45" i="57" a="1"/>
  <c r="AO45" i="57" s="1"/>
  <c r="AN45" i="57" a="1"/>
  <c r="AN45" i="57" s="1"/>
  <c r="AM45" i="57" a="1"/>
  <c r="AM45" i="57" s="1"/>
  <c r="AL45" i="57" a="1"/>
  <c r="AL45" i="57" s="1"/>
  <c r="AK45" i="57" a="1"/>
  <c r="AK45" i="57" s="1"/>
  <c r="AJ45" i="57" a="1"/>
  <c r="AJ45" i="57" s="1"/>
  <c r="AI45" i="57" a="1"/>
  <c r="AI45" i="57" s="1"/>
  <c r="AX42" i="57"/>
  <c r="AW42" i="57" a="1"/>
  <c r="AW42" i="57" s="1"/>
  <c r="AV42" i="57"/>
  <c r="AU42" i="57"/>
  <c r="AT42" i="57"/>
  <c r="AO42" i="57" a="1"/>
  <c r="AO42" i="57" s="1"/>
  <c r="AN42" i="57" a="1"/>
  <c r="AN42" i="57" s="1"/>
  <c r="AM42" i="57" a="1"/>
  <c r="AM42" i="57" s="1"/>
  <c r="AL42" i="57" a="1"/>
  <c r="AL42" i="57" s="1"/>
  <c r="AK42" i="57" a="1"/>
  <c r="AK42" i="57" s="1"/>
  <c r="AJ42" i="57" a="1"/>
  <c r="AJ42" i="57" s="1"/>
  <c r="AI42" i="57" a="1"/>
  <c r="AI42" i="57" s="1"/>
  <c r="AX41" i="57"/>
  <c r="AW41" i="57" a="1"/>
  <c r="AW41" i="57" s="1"/>
  <c r="AV41" i="57"/>
  <c r="AU41" i="57"/>
  <c r="AT41" i="57"/>
  <c r="AO41" i="57" a="1"/>
  <c r="AO41" i="57" s="1"/>
  <c r="AN41" i="57" a="1"/>
  <c r="AN41" i="57" s="1"/>
  <c r="AM41" i="57" a="1"/>
  <c r="AM41" i="57" s="1"/>
  <c r="AL41" i="57" a="1"/>
  <c r="AL41" i="57" s="1"/>
  <c r="AK41" i="57" a="1"/>
  <c r="AK41" i="57" s="1"/>
  <c r="AJ41" i="57" a="1"/>
  <c r="AJ41" i="57" s="1"/>
  <c r="AI41" i="57" a="1"/>
  <c r="AI41" i="57" s="1"/>
  <c r="AX40" i="57"/>
  <c r="AW40" i="57" a="1"/>
  <c r="AW40" i="57" s="1"/>
  <c r="AV40" i="57"/>
  <c r="AU40" i="57"/>
  <c r="AT40" i="57"/>
  <c r="AO40" i="57" a="1"/>
  <c r="AO40" i="57" s="1"/>
  <c r="AN40" i="57" a="1"/>
  <c r="AN40" i="57" s="1"/>
  <c r="AM40" i="57" a="1"/>
  <c r="AM40" i="57" s="1"/>
  <c r="AL40" i="57" a="1"/>
  <c r="AL40" i="57" s="1"/>
  <c r="AK40" i="57" a="1"/>
  <c r="AK40" i="57" s="1"/>
  <c r="AJ40" i="57" a="1"/>
  <c r="AJ40" i="57" s="1"/>
  <c r="AI40" i="57" a="1"/>
  <c r="AI40" i="57" s="1"/>
  <c r="AX39" i="57"/>
  <c r="AW39" i="57" a="1"/>
  <c r="AW39" i="57" s="1"/>
  <c r="AV39" i="57"/>
  <c r="AU39" i="57"/>
  <c r="AT39" i="57"/>
  <c r="AO39" i="57" a="1"/>
  <c r="AO39" i="57" s="1"/>
  <c r="AN39" i="57" a="1"/>
  <c r="AN39" i="57" s="1"/>
  <c r="AM39" i="57" a="1"/>
  <c r="AM39" i="57" s="1"/>
  <c r="AL39" i="57" a="1"/>
  <c r="AL39" i="57" s="1"/>
  <c r="AK39" i="57" a="1"/>
  <c r="AK39" i="57" s="1"/>
  <c r="AJ39" i="57" a="1"/>
  <c r="AJ39" i="57" s="1"/>
  <c r="AI39" i="57" a="1"/>
  <c r="AI39" i="57" s="1"/>
  <c r="AX38" i="57"/>
  <c r="AW38" i="57" a="1"/>
  <c r="AW38" i="57" s="1"/>
  <c r="AV38" i="57"/>
  <c r="AU38" i="57"/>
  <c r="AT38" i="57"/>
  <c r="AO38" i="57" a="1"/>
  <c r="AO38" i="57" s="1"/>
  <c r="AN38" i="57" a="1"/>
  <c r="AN38" i="57" s="1"/>
  <c r="AM38" i="57" a="1"/>
  <c r="AM38" i="57" s="1"/>
  <c r="AL38" i="57" a="1"/>
  <c r="AL38" i="57" s="1"/>
  <c r="AK38" i="57" a="1"/>
  <c r="AK38" i="57" s="1"/>
  <c r="AJ38" i="57" a="1"/>
  <c r="AJ38" i="57" s="1"/>
  <c r="AI38" i="57" a="1"/>
  <c r="AI38" i="57" s="1"/>
  <c r="AX37" i="57"/>
  <c r="AW37" i="57" a="1"/>
  <c r="AW37" i="57" s="1"/>
  <c r="AV37" i="57"/>
  <c r="AU37" i="57"/>
  <c r="AT37" i="57"/>
  <c r="AO37" i="57" a="1"/>
  <c r="AO37" i="57" s="1"/>
  <c r="AN37" i="57" a="1"/>
  <c r="AN37" i="57" s="1"/>
  <c r="AM37" i="57" a="1"/>
  <c r="AM37" i="57" s="1"/>
  <c r="AL37" i="57" a="1"/>
  <c r="AL37" i="57" s="1"/>
  <c r="AK37" i="57" a="1"/>
  <c r="AK37" i="57" s="1"/>
  <c r="AJ37" i="57" a="1"/>
  <c r="AJ37" i="57" s="1"/>
  <c r="AI37" i="57" a="1"/>
  <c r="AI37" i="57" s="1"/>
  <c r="AX36" i="57"/>
  <c r="AW36" i="57" a="1"/>
  <c r="AW36" i="57" s="1"/>
  <c r="AV36" i="57"/>
  <c r="AU36" i="57"/>
  <c r="AT36" i="57"/>
  <c r="AO36" i="57" a="1"/>
  <c r="AO36" i="57" s="1"/>
  <c r="AN36" i="57" a="1"/>
  <c r="AN36" i="57" s="1"/>
  <c r="AM36" i="57" a="1"/>
  <c r="AM36" i="57" s="1"/>
  <c r="AL36" i="57" a="1"/>
  <c r="AL36" i="57" s="1"/>
  <c r="AK36" i="57" a="1"/>
  <c r="AK36" i="57" s="1"/>
  <c r="AJ36" i="57" a="1"/>
  <c r="AJ36" i="57" s="1"/>
  <c r="AI36" i="57" a="1"/>
  <c r="AI36" i="57" s="1"/>
  <c r="AX35" i="57"/>
  <c r="AW35" i="57" a="1"/>
  <c r="AW35" i="57" s="1"/>
  <c r="AV35" i="57"/>
  <c r="AU35" i="57"/>
  <c r="AT35" i="57"/>
  <c r="AO35" i="57" a="1"/>
  <c r="AO35" i="57" s="1"/>
  <c r="AN35" i="57" a="1"/>
  <c r="AN35" i="57" s="1"/>
  <c r="AM35" i="57" a="1"/>
  <c r="AM35" i="57" s="1"/>
  <c r="AL35" i="57" a="1"/>
  <c r="AL35" i="57" s="1"/>
  <c r="AK35" i="57" a="1"/>
  <c r="AK35" i="57" s="1"/>
  <c r="AJ35" i="57" a="1"/>
  <c r="AJ35" i="57" s="1"/>
  <c r="AI35" i="57" a="1"/>
  <c r="AI35" i="57" s="1"/>
  <c r="AX34" i="57"/>
  <c r="AW34" i="57" a="1"/>
  <c r="AW34" i="57" s="1"/>
  <c r="AV34" i="57"/>
  <c r="AU34" i="57"/>
  <c r="AT34" i="57"/>
  <c r="AO34" i="57" a="1"/>
  <c r="AO34" i="57" s="1"/>
  <c r="AN34" i="57" a="1"/>
  <c r="AN34" i="57" s="1"/>
  <c r="AM34" i="57" a="1"/>
  <c r="AM34" i="57" s="1"/>
  <c r="AL34" i="57" a="1"/>
  <c r="AL34" i="57" s="1"/>
  <c r="AK34" i="57" a="1"/>
  <c r="AK34" i="57" s="1"/>
  <c r="AJ34" i="57" a="1"/>
  <c r="AJ34" i="57" s="1"/>
  <c r="AI34" i="57" a="1"/>
  <c r="AI34" i="57" s="1"/>
  <c r="AX33" i="57"/>
  <c r="AW33" i="57" a="1"/>
  <c r="AW33" i="57" s="1"/>
  <c r="AV33" i="57"/>
  <c r="AU33" i="57"/>
  <c r="AT33" i="57"/>
  <c r="AO33" i="57" a="1"/>
  <c r="AO33" i="57" s="1"/>
  <c r="AN33" i="57" a="1"/>
  <c r="AN33" i="57" s="1"/>
  <c r="AM33" i="57" a="1"/>
  <c r="AM33" i="57" s="1"/>
  <c r="AL33" i="57" a="1"/>
  <c r="AL33" i="57" s="1"/>
  <c r="AK33" i="57" a="1"/>
  <c r="AK33" i="57" s="1"/>
  <c r="AJ33" i="57" a="1"/>
  <c r="AJ33" i="57" s="1"/>
  <c r="AI33" i="57" a="1"/>
  <c r="AI33" i="57" s="1"/>
  <c r="AX32" i="57"/>
  <c r="AW32" i="57" a="1"/>
  <c r="AW32" i="57" s="1"/>
  <c r="AV32" i="57"/>
  <c r="AU32" i="57"/>
  <c r="AT32" i="57"/>
  <c r="AO32" i="57" a="1"/>
  <c r="AO32" i="57" s="1"/>
  <c r="AN32" i="57" a="1"/>
  <c r="AN32" i="57" s="1"/>
  <c r="AM32" i="57" a="1"/>
  <c r="AM32" i="57" s="1"/>
  <c r="AL32" i="57" a="1"/>
  <c r="AL32" i="57" s="1"/>
  <c r="AK32" i="57" a="1"/>
  <c r="AK32" i="57" s="1"/>
  <c r="AJ32" i="57" a="1"/>
  <c r="AJ32" i="57" s="1"/>
  <c r="AI32" i="57" a="1"/>
  <c r="AI32" i="57" s="1"/>
  <c r="AX31" i="57"/>
  <c r="AW31" i="57" a="1"/>
  <c r="AW31" i="57" s="1"/>
  <c r="AV31" i="57"/>
  <c r="AU31" i="57"/>
  <c r="AT31" i="57"/>
  <c r="AO31" i="57" a="1"/>
  <c r="AO31" i="57" s="1"/>
  <c r="AN31" i="57" a="1"/>
  <c r="AN31" i="57" s="1"/>
  <c r="AM31" i="57" a="1"/>
  <c r="AM31" i="57" s="1"/>
  <c r="AL31" i="57" a="1"/>
  <c r="AL31" i="57" s="1"/>
  <c r="AK31" i="57" a="1"/>
  <c r="AK31" i="57" s="1"/>
  <c r="AJ31" i="57" a="1"/>
  <c r="AJ31" i="57" s="1"/>
  <c r="AI31" i="57" a="1"/>
  <c r="AI31" i="57" s="1"/>
  <c r="AX30" i="57"/>
  <c r="AW30" i="57" a="1"/>
  <c r="AW30" i="57" s="1"/>
  <c r="AV30" i="57"/>
  <c r="AU30" i="57"/>
  <c r="AT30" i="57"/>
  <c r="AO30" i="57" a="1"/>
  <c r="AO30" i="57" s="1"/>
  <c r="AN30" i="57" a="1"/>
  <c r="AN30" i="57" s="1"/>
  <c r="AM30" i="57" a="1"/>
  <c r="AM30" i="57" s="1"/>
  <c r="AL30" i="57" a="1"/>
  <c r="AL30" i="57" s="1"/>
  <c r="AK30" i="57" a="1"/>
  <c r="AK30" i="57" s="1"/>
  <c r="AJ30" i="57" a="1"/>
  <c r="AJ30" i="57" s="1"/>
  <c r="AI30" i="57" a="1"/>
  <c r="AI30" i="57" s="1"/>
  <c r="AX29" i="57"/>
  <c r="AW29" i="57" a="1"/>
  <c r="AW29" i="57" s="1"/>
  <c r="AV29" i="57"/>
  <c r="AU29" i="57"/>
  <c r="AT29" i="57"/>
  <c r="AO29" i="57" a="1"/>
  <c r="AO29" i="57" s="1"/>
  <c r="AN29" i="57" a="1"/>
  <c r="AN29" i="57" s="1"/>
  <c r="AM29" i="57" a="1"/>
  <c r="AM29" i="57" s="1"/>
  <c r="AL29" i="57" a="1"/>
  <c r="AL29" i="57" s="1"/>
  <c r="AK29" i="57" a="1"/>
  <c r="AK29" i="57" s="1"/>
  <c r="AJ29" i="57" a="1"/>
  <c r="AJ29" i="57" s="1"/>
  <c r="AI29" i="57" a="1"/>
  <c r="AI29" i="57" s="1"/>
  <c r="AX28" i="57"/>
  <c r="AW28" i="57" a="1"/>
  <c r="AW28" i="57" s="1"/>
  <c r="AV28" i="57"/>
  <c r="AU28" i="57"/>
  <c r="AT28" i="57"/>
  <c r="AO28" i="57" a="1"/>
  <c r="AO28" i="57" s="1"/>
  <c r="AN28" i="57" a="1"/>
  <c r="AN28" i="57" s="1"/>
  <c r="AM28" i="57" a="1"/>
  <c r="AM28" i="57" s="1"/>
  <c r="AL28" i="57" a="1"/>
  <c r="AL28" i="57" s="1"/>
  <c r="AK28" i="57" a="1"/>
  <c r="AK28" i="57" s="1"/>
  <c r="AJ28" i="57" a="1"/>
  <c r="AJ28" i="57" s="1"/>
  <c r="AI28" i="57" a="1"/>
  <c r="AI28" i="57" s="1"/>
  <c r="AX27" i="57"/>
  <c r="AW27" i="57" a="1"/>
  <c r="AW27" i="57" s="1"/>
  <c r="AV27" i="57"/>
  <c r="AU27" i="57"/>
  <c r="AT27" i="57"/>
  <c r="AO27" i="57" a="1"/>
  <c r="AO27" i="57" s="1"/>
  <c r="AN27" i="57" a="1"/>
  <c r="AN27" i="57" s="1"/>
  <c r="AM27" i="57" a="1"/>
  <c r="AM27" i="57" s="1"/>
  <c r="AL27" i="57" a="1"/>
  <c r="AL27" i="57" s="1"/>
  <c r="AK27" i="57" a="1"/>
  <c r="AK27" i="57" s="1"/>
  <c r="AJ27" i="57" a="1"/>
  <c r="AJ27" i="57" s="1"/>
  <c r="AI27" i="57" a="1"/>
  <c r="AI27" i="57" s="1"/>
  <c r="AX26" i="57"/>
  <c r="AW26" i="57" a="1"/>
  <c r="AW26" i="57" s="1"/>
  <c r="AV26" i="57"/>
  <c r="AU26" i="57"/>
  <c r="AT26" i="57"/>
  <c r="AO26" i="57" a="1"/>
  <c r="AO26" i="57" s="1"/>
  <c r="AN26" i="57" a="1"/>
  <c r="AN26" i="57" s="1"/>
  <c r="AM26" i="57" a="1"/>
  <c r="AM26" i="57" s="1"/>
  <c r="AL26" i="57" a="1"/>
  <c r="AL26" i="57" s="1"/>
  <c r="AK26" i="57" a="1"/>
  <c r="AK26" i="57" s="1"/>
  <c r="AJ26" i="57" a="1"/>
  <c r="AJ26" i="57" s="1"/>
  <c r="AI26" i="57" a="1"/>
  <c r="AI26" i="57" s="1"/>
  <c r="AX25" i="57"/>
  <c r="AW25" i="57" a="1"/>
  <c r="AW25" i="57" s="1"/>
  <c r="AV25" i="57"/>
  <c r="AU25" i="57"/>
  <c r="AT25" i="57"/>
  <c r="AO25" i="57" a="1"/>
  <c r="AO25" i="57" s="1"/>
  <c r="AN25" i="57" a="1"/>
  <c r="AN25" i="57" s="1"/>
  <c r="AM25" i="57" a="1"/>
  <c r="AM25" i="57" s="1"/>
  <c r="AL25" i="57" a="1"/>
  <c r="AL25" i="57" s="1"/>
  <c r="AK25" i="57" a="1"/>
  <c r="AK25" i="57" s="1"/>
  <c r="AJ25" i="57" a="1"/>
  <c r="AJ25" i="57" s="1"/>
  <c r="AI25" i="57" a="1"/>
  <c r="AI25" i="57" s="1"/>
  <c r="AX24" i="57"/>
  <c r="AW24" i="57" a="1"/>
  <c r="AW24" i="57" s="1"/>
  <c r="AV24" i="57"/>
  <c r="AU24" i="57"/>
  <c r="AT24" i="57"/>
  <c r="AO24" i="57" a="1"/>
  <c r="AO24" i="57" s="1"/>
  <c r="AN24" i="57" a="1"/>
  <c r="AN24" i="57" s="1"/>
  <c r="AM24" i="57" a="1"/>
  <c r="AM24" i="57" s="1"/>
  <c r="AL24" i="57" a="1"/>
  <c r="AL24" i="57" s="1"/>
  <c r="AK24" i="57" a="1"/>
  <c r="AK24" i="57" s="1"/>
  <c r="AJ24" i="57" a="1"/>
  <c r="AJ24" i="57" s="1"/>
  <c r="AI24" i="57" a="1"/>
  <c r="AI24" i="57" s="1"/>
  <c r="AX23" i="57"/>
  <c r="AW23" i="57" a="1"/>
  <c r="AW23" i="57" s="1"/>
  <c r="AV23" i="57"/>
  <c r="AU23" i="57"/>
  <c r="AT23" i="57"/>
  <c r="AO23" i="57" a="1"/>
  <c r="AO23" i="57" s="1"/>
  <c r="AN23" i="57" a="1"/>
  <c r="AN23" i="57" s="1"/>
  <c r="AM23" i="57" a="1"/>
  <c r="AM23" i="57" s="1"/>
  <c r="AL23" i="57" a="1"/>
  <c r="AL23" i="57" s="1"/>
  <c r="AK23" i="57" a="1"/>
  <c r="AK23" i="57" s="1"/>
  <c r="AJ23" i="57" a="1"/>
  <c r="AJ23" i="57" s="1"/>
  <c r="AI23" i="57" a="1"/>
  <c r="AI23" i="57" s="1"/>
  <c r="AX22" i="57"/>
  <c r="AW22" i="57" a="1"/>
  <c r="AW22" i="57" s="1"/>
  <c r="AV22" i="57"/>
  <c r="AU22" i="57"/>
  <c r="AT22" i="57"/>
  <c r="AO22" i="57" a="1"/>
  <c r="AO22" i="57" s="1"/>
  <c r="AN22" i="57" a="1"/>
  <c r="AN22" i="57" s="1"/>
  <c r="AM22" i="57" a="1"/>
  <c r="AM22" i="57" s="1"/>
  <c r="AL22" i="57" a="1"/>
  <c r="AL22" i="57" s="1"/>
  <c r="AK22" i="57" a="1"/>
  <c r="AK22" i="57" s="1"/>
  <c r="AJ22" i="57" a="1"/>
  <c r="AJ22" i="57" s="1"/>
  <c r="AI22" i="57" a="1"/>
  <c r="AI22" i="57" s="1"/>
  <c r="AX21" i="57"/>
  <c r="AW21" i="57" a="1"/>
  <c r="AW21" i="57" s="1"/>
  <c r="AV21" i="57"/>
  <c r="AU21" i="57"/>
  <c r="AT21" i="57"/>
  <c r="AO21" i="57" a="1"/>
  <c r="AO21" i="57" s="1"/>
  <c r="AN21" i="57" a="1"/>
  <c r="AN21" i="57" s="1"/>
  <c r="AM21" i="57" a="1"/>
  <c r="AM21" i="57" s="1"/>
  <c r="AL21" i="57" a="1"/>
  <c r="AL21" i="57" s="1"/>
  <c r="AK21" i="57" a="1"/>
  <c r="AK21" i="57" s="1"/>
  <c r="AJ21" i="57" a="1"/>
  <c r="AJ21" i="57" s="1"/>
  <c r="AI21" i="57" a="1"/>
  <c r="AI21" i="57" s="1"/>
  <c r="AX20" i="57"/>
  <c r="AW20" i="57" a="1"/>
  <c r="AW20" i="57" s="1"/>
  <c r="AV20" i="57"/>
  <c r="AU20" i="57"/>
  <c r="AT20" i="57"/>
  <c r="AO20" i="57" a="1"/>
  <c r="AO20" i="57" s="1"/>
  <c r="AN20" i="57" a="1"/>
  <c r="AN20" i="57" s="1"/>
  <c r="AM20" i="57" a="1"/>
  <c r="AM20" i="57" s="1"/>
  <c r="AL20" i="57" a="1"/>
  <c r="AL20" i="57" s="1"/>
  <c r="AK20" i="57" a="1"/>
  <c r="AK20" i="57" s="1"/>
  <c r="AJ20" i="57" a="1"/>
  <c r="AJ20" i="57" s="1"/>
  <c r="AI20" i="57" a="1"/>
  <c r="AI20" i="57" s="1"/>
  <c r="AX19" i="57"/>
  <c r="AW19" i="57" a="1"/>
  <c r="AW19" i="57" s="1"/>
  <c r="AV19" i="57"/>
  <c r="AU19" i="57"/>
  <c r="AT19" i="57"/>
  <c r="AO19" i="57" a="1"/>
  <c r="AO19" i="57" s="1"/>
  <c r="AN19" i="57" a="1"/>
  <c r="AN19" i="57" s="1"/>
  <c r="AM19" i="57" a="1"/>
  <c r="AM19" i="57" s="1"/>
  <c r="AL19" i="57" a="1"/>
  <c r="AL19" i="57" s="1"/>
  <c r="AK19" i="57" a="1"/>
  <c r="AK19" i="57" s="1"/>
  <c r="AJ19" i="57" a="1"/>
  <c r="AJ19" i="57" s="1"/>
  <c r="AI19" i="57" a="1"/>
  <c r="AI19" i="57" s="1"/>
  <c r="AX16" i="57"/>
  <c r="AW16" i="57" a="1"/>
  <c r="AW16" i="57" s="1"/>
  <c r="AV16" i="57"/>
  <c r="AU16" i="57"/>
  <c r="AT16" i="57"/>
  <c r="AO16" i="57" a="1"/>
  <c r="AO16" i="57" s="1"/>
  <c r="AN16" i="57" a="1"/>
  <c r="AN16" i="57" s="1"/>
  <c r="AM16" i="57" a="1"/>
  <c r="AM16" i="57" s="1"/>
  <c r="AL16" i="57" a="1"/>
  <c r="AL16" i="57" s="1"/>
  <c r="AK16" i="57" a="1"/>
  <c r="AK16" i="57" s="1"/>
  <c r="AJ16" i="57" a="1"/>
  <c r="AJ16" i="57" s="1"/>
  <c r="AI16" i="57" a="1"/>
  <c r="AI16" i="57" s="1"/>
  <c r="AX15" i="57"/>
  <c r="AW15" i="57" a="1"/>
  <c r="AW15" i="57" s="1"/>
  <c r="AV15" i="57"/>
  <c r="AU15" i="57"/>
  <c r="AT15" i="57"/>
  <c r="AO15" i="57" a="1"/>
  <c r="AO15" i="57" s="1"/>
  <c r="AN15" i="57" a="1"/>
  <c r="AN15" i="57" s="1"/>
  <c r="AM15" i="57" a="1"/>
  <c r="AM15" i="57" s="1"/>
  <c r="AL15" i="57" a="1"/>
  <c r="AL15" i="57" s="1"/>
  <c r="AK15" i="57" a="1"/>
  <c r="AK15" i="57" s="1"/>
  <c r="AJ15" i="57" a="1"/>
  <c r="AJ15" i="57" s="1"/>
  <c r="AI15" i="57" a="1"/>
  <c r="AI15" i="57" s="1"/>
  <c r="AX14" i="57"/>
  <c r="AW14" i="57" a="1"/>
  <c r="AW14" i="57" s="1"/>
  <c r="AV14" i="57"/>
  <c r="AU14" i="57"/>
  <c r="AT14" i="57"/>
  <c r="AO14" i="57" a="1"/>
  <c r="AO14" i="57" s="1"/>
  <c r="AN14" i="57" a="1"/>
  <c r="AN14" i="57" s="1"/>
  <c r="AM14" i="57" a="1"/>
  <c r="AM14" i="57" s="1"/>
  <c r="AL14" i="57" a="1"/>
  <c r="AL14" i="57" s="1"/>
  <c r="AK14" i="57" a="1"/>
  <c r="AK14" i="57" s="1"/>
  <c r="AJ14" i="57" a="1"/>
  <c r="AJ14" i="57" s="1"/>
  <c r="AI14" i="57" a="1"/>
  <c r="AI14" i="57" s="1"/>
  <c r="AX13" i="57"/>
  <c r="AW13" i="57" a="1"/>
  <c r="AW13" i="57" s="1"/>
  <c r="AV13" i="57"/>
  <c r="AU13" i="57"/>
  <c r="AT13" i="57"/>
  <c r="AO13" i="57" a="1"/>
  <c r="AO13" i="57" s="1"/>
  <c r="AN13" i="57" a="1"/>
  <c r="AN13" i="57" s="1"/>
  <c r="AM13" i="57" a="1"/>
  <c r="AM13" i="57" s="1"/>
  <c r="AL13" i="57" a="1"/>
  <c r="AL13" i="57" s="1"/>
  <c r="AK13" i="57" a="1"/>
  <c r="AK13" i="57" s="1"/>
  <c r="AJ13" i="57" a="1"/>
  <c r="AJ13" i="57" s="1"/>
  <c r="AI13" i="57" a="1"/>
  <c r="AI13" i="57" s="1"/>
  <c r="AM57" i="57"/>
  <c r="AL57" i="57"/>
  <c r="AK57" i="57"/>
  <c r="AI58" i="49" a="1"/>
  <c r="AI58" i="49"/>
  <c r="AI57" i="49" a="1"/>
  <c r="AI57" i="49"/>
  <c r="AI56" i="49" a="1"/>
  <c r="AI56" i="49"/>
  <c r="AI6" i="49" a="1"/>
  <c r="AI6" i="49"/>
  <c r="AJ6" i="49" a="1"/>
  <c r="AJ6" i="49"/>
  <c r="AT56" i="49"/>
  <c r="AU56" i="49"/>
  <c r="AV56" i="49"/>
  <c r="AW56" i="49" a="1"/>
  <c r="AW56" i="49"/>
  <c r="AX56" i="49"/>
  <c r="AT57" i="49"/>
  <c r="AU57" i="49"/>
  <c r="AV57" i="49"/>
  <c r="AW57" i="49" a="1"/>
  <c r="AW57" i="49"/>
  <c r="AX57" i="49"/>
  <c r="AT58" i="49"/>
  <c r="AU58" i="49"/>
  <c r="AV58" i="49"/>
  <c r="AW58" i="49" a="1"/>
  <c r="AW58" i="49"/>
  <c r="AX58" i="49"/>
  <c r="AX6" i="49"/>
  <c r="AV6" i="49"/>
  <c r="AW6" i="49" a="1"/>
  <c r="AW6" i="49"/>
  <c r="AU6" i="49"/>
  <c r="AT6" i="49"/>
  <c r="AM6" i="49" a="1"/>
  <c r="AM6" i="49"/>
  <c r="A30" i="47"/>
  <c r="A29" i="47"/>
  <c r="A28" i="47"/>
  <c r="A27" i="47"/>
  <c r="AJ56" i="49" a="1"/>
  <c r="AJ56" i="49"/>
  <c r="AK56" i="49" a="1"/>
  <c r="AK56" i="49"/>
  <c r="AL56" i="49" a="1"/>
  <c r="AL56" i="49"/>
  <c r="AM56" i="49" a="1"/>
  <c r="AM56" i="49"/>
  <c r="AN56" i="49" a="1"/>
  <c r="AN56" i="49"/>
  <c r="AJ57" i="49" a="1"/>
  <c r="AJ57" i="49"/>
  <c r="AK57" i="49" a="1"/>
  <c r="AK57" i="49"/>
  <c r="AL57" i="49" a="1"/>
  <c r="AL57" i="49"/>
  <c r="AM57" i="49" a="1"/>
  <c r="AM57" i="49"/>
  <c r="AN57" i="49" a="1"/>
  <c r="AN57" i="49"/>
  <c r="AJ58" i="49" a="1"/>
  <c r="AJ58" i="49"/>
  <c r="AK58" i="49" a="1"/>
  <c r="AK58" i="49"/>
  <c r="AL58" i="49" a="1"/>
  <c r="AL58" i="49"/>
  <c r="AM58" i="49" a="1"/>
  <c r="AM58" i="49"/>
  <c r="AN58" i="49" a="1"/>
  <c r="AN58" i="49"/>
  <c r="AL6" i="49" a="1"/>
  <c r="AL6" i="49"/>
  <c r="AK6" i="49" a="1"/>
  <c r="AK6" i="49"/>
  <c r="AO56" i="49" a="1"/>
  <c r="AO56" i="49"/>
  <c r="AO57" i="49" a="1"/>
  <c r="AO57" i="49"/>
  <c r="AO58" i="49" a="1"/>
  <c r="AO58" i="49"/>
  <c r="AN6" i="49" a="1"/>
  <c r="AN6" i="49"/>
  <c r="AO6" i="49" a="1"/>
  <c r="AO6" i="49"/>
  <c r="AH28" i="36"/>
  <c r="AH29" i="36"/>
  <c r="AI29" i="36"/>
  <c r="AH30" i="36"/>
  <c r="AI30" i="36"/>
  <c r="AH31" i="36"/>
  <c r="AI31" i="36"/>
  <c r="AH32" i="36"/>
  <c r="AI32" i="36"/>
  <c r="AH33" i="36"/>
  <c r="AI33" i="36"/>
  <c r="AH34" i="36"/>
  <c r="AI34" i="36"/>
  <c r="AH35" i="36"/>
  <c r="AI35" i="36"/>
  <c r="AH36" i="36"/>
  <c r="AI36" i="36"/>
  <c r="AH37" i="36"/>
  <c r="AI37" i="36"/>
  <c r="AH38" i="36"/>
  <c r="AI38" i="36"/>
  <c r="AH39" i="36"/>
  <c r="AI39" i="36"/>
  <c r="AH40" i="36"/>
  <c r="AI40" i="36"/>
  <c r="AH41" i="36"/>
  <c r="AI41" i="36"/>
  <c r="AH42" i="36"/>
  <c r="AI42" i="36"/>
  <c r="AH43" i="36"/>
  <c r="AI43" i="36"/>
  <c r="AH44" i="36"/>
  <c r="AI44" i="36"/>
  <c r="AH45" i="36"/>
  <c r="AI45" i="36"/>
  <c r="AH46" i="36"/>
  <c r="AI46" i="36"/>
  <c r="AH47" i="36"/>
  <c r="AI47" i="36"/>
  <c r="AH48" i="36"/>
  <c r="AI48" i="36"/>
  <c r="AH49" i="36"/>
  <c r="AI49" i="36"/>
  <c r="AH50" i="36"/>
  <c r="AI50" i="36"/>
  <c r="AH51" i="36"/>
  <c r="AI51" i="36"/>
  <c r="AH52" i="36"/>
  <c r="AI52" i="36"/>
  <c r="AH53" i="36"/>
  <c r="AI53" i="36"/>
  <c r="AH54" i="36"/>
  <c r="AI54" i="36"/>
  <c r="AH55" i="36"/>
  <c r="AI55" i="36"/>
  <c r="AH56" i="36"/>
  <c r="AI56" i="36"/>
  <c r="AH57" i="36"/>
  <c r="AI57" i="36"/>
  <c r="AH58" i="36"/>
  <c r="AI58" i="36"/>
  <c r="AH59" i="36"/>
  <c r="AI59" i="36"/>
  <c r="AH60" i="36"/>
  <c r="AI60" i="36"/>
  <c r="AH61" i="36"/>
  <c r="AI61" i="36"/>
  <c r="AH62" i="36"/>
  <c r="AI62" i="36"/>
  <c r="AH63" i="36"/>
  <c r="AI63" i="36"/>
  <c r="AH64" i="36"/>
  <c r="AI64" i="36"/>
  <c r="AH65" i="36"/>
  <c r="AI65" i="36"/>
  <c r="AH66" i="36"/>
  <c r="AI66" i="36"/>
  <c r="AH67" i="36"/>
  <c r="AI67" i="36"/>
  <c r="AH68" i="36"/>
  <c r="AI68" i="36"/>
  <c r="AH69" i="36"/>
  <c r="AI69" i="36"/>
  <c r="AI28" i="36"/>
  <c r="T32" i="8"/>
  <c r="S32" i="8"/>
  <c r="R32" i="8"/>
  <c r="Q32" i="8"/>
  <c r="D32" i="8"/>
  <c r="O32" i="8"/>
  <c r="P32" i="8"/>
  <c r="N32" i="8"/>
  <c r="M32" i="8"/>
  <c r="L32" i="8"/>
  <c r="J32" i="8"/>
  <c r="K32" i="8"/>
  <c r="D64" i="5"/>
  <c r="N95" i="18"/>
  <c r="D96" i="5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D66" i="18"/>
  <c r="D61" i="18" s="1"/>
  <c r="E66" i="18"/>
  <c r="E61" i="18" s="1"/>
  <c r="F66" i="18"/>
  <c r="F61" i="18" s="1"/>
  <c r="G66" i="18"/>
  <c r="G61" i="18" s="1"/>
  <c r="H66" i="18"/>
  <c r="H61" i="18" s="1"/>
  <c r="I66" i="18"/>
  <c r="I61" i="18" s="1"/>
  <c r="J66" i="18"/>
  <c r="J61" i="18" s="1"/>
  <c r="K66" i="18"/>
  <c r="K61" i="18" s="1"/>
  <c r="L66" i="18"/>
  <c r="L61" i="18" s="1"/>
  <c r="M66" i="18"/>
  <c r="M61" i="18" s="1"/>
  <c r="N66" i="18"/>
  <c r="N61" i="18" s="1"/>
  <c r="O66" i="18"/>
  <c r="O61" i="18" s="1"/>
  <c r="P66" i="18"/>
  <c r="P61" i="18" s="1"/>
  <c r="Q66" i="18"/>
  <c r="Q61" i="18" s="1"/>
  <c r="R66" i="18"/>
  <c r="R61" i="18" s="1"/>
  <c r="S66" i="18"/>
  <c r="S61" i="18" s="1"/>
  <c r="T66" i="18"/>
  <c r="T61" i="18" s="1"/>
  <c r="U66" i="18"/>
  <c r="U61" i="18" s="1"/>
  <c r="V66" i="18"/>
  <c r="V61" i="18" s="1"/>
  <c r="W66" i="18"/>
  <c r="W61" i="18" s="1"/>
  <c r="X66" i="18"/>
  <c r="X61" i="18" s="1"/>
  <c r="Y66" i="18"/>
  <c r="Y61" i="18" s="1"/>
  <c r="Z66" i="18"/>
  <c r="Z61" i="18" s="1"/>
  <c r="AA66" i="18"/>
  <c r="AA61" i="18" s="1"/>
  <c r="AB66" i="18"/>
  <c r="AB61" i="18" s="1"/>
  <c r="AC66" i="18"/>
  <c r="AC61" i="18" s="1"/>
  <c r="AD66" i="18"/>
  <c r="AD61" i="18" s="1"/>
  <c r="AE66" i="18"/>
  <c r="AE61" i="18" s="1"/>
  <c r="AF66" i="18"/>
  <c r="AF61" i="18" s="1"/>
  <c r="AG66" i="18"/>
  <c r="AG61" i="18" s="1"/>
  <c r="AH66" i="18"/>
  <c r="AH61" i="18" s="1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D94" i="5"/>
  <c r="D92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D91" i="5"/>
  <c r="D101" i="5" s="1"/>
  <c r="D97" i="5"/>
  <c r="D99" i="5"/>
  <c r="AC99" i="5"/>
  <c r="E99" i="5"/>
  <c r="F99" i="5"/>
  <c r="G99" i="5"/>
  <c r="H99" i="5"/>
  <c r="I99" i="5"/>
  <c r="J99" i="5"/>
  <c r="K99" i="5"/>
  <c r="L99" i="5"/>
  <c r="M99" i="5"/>
  <c r="M103" i="5" s="1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D99" i="5"/>
  <c r="AE99" i="5"/>
  <c r="AF99" i="5"/>
  <c r="AG99" i="5"/>
  <c r="AH99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D83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D78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9" i="5"/>
  <c r="E63" i="5" s="1"/>
  <c r="F69" i="5"/>
  <c r="F63" i="5" s="1"/>
  <c r="G69" i="5"/>
  <c r="G63" i="5" s="1"/>
  <c r="H69" i="5"/>
  <c r="H63" i="5" s="1"/>
  <c r="I69" i="5"/>
  <c r="I63" i="5" s="1"/>
  <c r="J69" i="5"/>
  <c r="J63" i="5" s="1"/>
  <c r="K69" i="5"/>
  <c r="K63" i="5" s="1"/>
  <c r="L69" i="5"/>
  <c r="L63" i="5" s="1"/>
  <c r="M69" i="5"/>
  <c r="M63" i="5" s="1"/>
  <c r="N69" i="5"/>
  <c r="N63" i="5" s="1"/>
  <c r="O69" i="5"/>
  <c r="O63" i="5" s="1"/>
  <c r="P69" i="5"/>
  <c r="P63" i="5" s="1"/>
  <c r="Q69" i="5"/>
  <c r="Q63" i="5" s="1"/>
  <c r="R69" i="5"/>
  <c r="R63" i="5" s="1"/>
  <c r="S69" i="5"/>
  <c r="S63" i="5" s="1"/>
  <c r="T69" i="5"/>
  <c r="T63" i="5" s="1"/>
  <c r="U69" i="5"/>
  <c r="U63" i="5" s="1"/>
  <c r="V69" i="5"/>
  <c r="V63" i="5" s="1"/>
  <c r="W69" i="5"/>
  <c r="W63" i="5" s="1"/>
  <c r="X69" i="5"/>
  <c r="X63" i="5" s="1"/>
  <c r="Y69" i="5"/>
  <c r="Y63" i="5" s="1"/>
  <c r="Z69" i="5"/>
  <c r="Z63" i="5" s="1"/>
  <c r="AA69" i="5"/>
  <c r="AA63" i="5" s="1"/>
  <c r="AB69" i="5"/>
  <c r="AB63" i="5" s="1"/>
  <c r="AC69" i="5"/>
  <c r="AC63" i="5" s="1"/>
  <c r="AD69" i="5"/>
  <c r="AD63" i="5" s="1"/>
  <c r="AE69" i="5"/>
  <c r="AE63" i="5" s="1"/>
  <c r="AF69" i="5"/>
  <c r="AF63" i="5" s="1"/>
  <c r="AG69" i="5"/>
  <c r="AG63" i="5" s="1"/>
  <c r="AH69" i="5"/>
  <c r="AH63" i="5" s="1"/>
  <c r="D69" i="5"/>
  <c r="D63" i="5" s="1"/>
  <c r="H41" i="8"/>
  <c r="H38" i="8"/>
  <c r="H40" i="8"/>
  <c r="H39" i="8"/>
  <c r="H36" i="8"/>
  <c r="H35" i="8"/>
  <c r="H33" i="8"/>
  <c r="H32" i="8"/>
  <c r="H30" i="8"/>
  <c r="H5" i="8"/>
  <c r="G5" i="8"/>
  <c r="F5" i="8"/>
  <c r="E5" i="8" s="1"/>
  <c r="F26" i="8"/>
  <c r="G26" i="8"/>
  <c r="H25" i="8"/>
  <c r="H26" i="8"/>
  <c r="H22" i="8"/>
  <c r="H18" i="8"/>
  <c r="H16" i="8"/>
  <c r="H13" i="8"/>
  <c r="H12" i="8"/>
  <c r="H8" i="8"/>
  <c r="H7" i="8"/>
  <c r="H6" i="8"/>
  <c r="G41" i="8"/>
  <c r="G40" i="8"/>
  <c r="G39" i="8"/>
  <c r="G36" i="8"/>
  <c r="G33" i="8"/>
  <c r="G32" i="8"/>
  <c r="F33" i="8"/>
  <c r="F32" i="8"/>
  <c r="F34" i="8"/>
  <c r="G30" i="8"/>
  <c r="G14" i="8"/>
  <c r="G15" i="8"/>
  <c r="G12" i="8"/>
  <c r="G13" i="8"/>
  <c r="G7" i="8"/>
  <c r="E7" i="8" s="1"/>
  <c r="G6" i="8"/>
  <c r="F27" i="8"/>
  <c r="F24" i="8"/>
  <c r="F25" i="8"/>
  <c r="F22" i="8"/>
  <c r="F21" i="8"/>
  <c r="F15" i="8"/>
  <c r="F12" i="8"/>
  <c r="F11" i="8"/>
  <c r="F8" i="8"/>
  <c r="F6" i="8"/>
  <c r="G10" i="8"/>
  <c r="H37" i="8"/>
  <c r="H34" i="8"/>
  <c r="H31" i="8"/>
  <c r="G38" i="8"/>
  <c r="G37" i="8"/>
  <c r="G35" i="8"/>
  <c r="G34" i="8"/>
  <c r="G31" i="8"/>
  <c r="G17" i="8"/>
  <c r="G18" i="8"/>
  <c r="G19" i="8"/>
  <c r="G20" i="8"/>
  <c r="G21" i="8"/>
  <c r="G22" i="8"/>
  <c r="G23" i="8"/>
  <c r="G24" i="8"/>
  <c r="G25" i="8"/>
  <c r="G27" i="8"/>
  <c r="G28" i="8"/>
  <c r="G29" i="8"/>
  <c r="G16" i="8"/>
  <c r="G9" i="8"/>
  <c r="G11" i="8"/>
  <c r="G8" i="8"/>
  <c r="H19" i="8"/>
  <c r="H20" i="8"/>
  <c r="H21" i="8"/>
  <c r="H23" i="8"/>
  <c r="H24" i="8"/>
  <c r="H27" i="8"/>
  <c r="H28" i="8"/>
  <c r="H29" i="8"/>
  <c r="H17" i="8"/>
  <c r="H15" i="8"/>
  <c r="H14" i="8"/>
  <c r="E13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E34" i="8"/>
  <c r="E33" i="8"/>
  <c r="F31" i="8"/>
  <c r="E31" i="8"/>
  <c r="F30" i="8"/>
  <c r="E30" i="8"/>
  <c r="F29" i="8"/>
  <c r="E29" i="8"/>
  <c r="F28" i="8"/>
  <c r="E28" i="8"/>
  <c r="E27" i="8"/>
  <c r="E24" i="8"/>
  <c r="F23" i="8"/>
  <c r="E23" i="8"/>
  <c r="E22" i="8"/>
  <c r="E21" i="8"/>
  <c r="F20" i="8"/>
  <c r="E20" i="8"/>
  <c r="F19" i="8"/>
  <c r="E19" i="8"/>
  <c r="F18" i="8"/>
  <c r="E18" i="8"/>
  <c r="F17" i="8"/>
  <c r="E17" i="8"/>
  <c r="F16" i="8"/>
  <c r="E16" i="8"/>
  <c r="E15" i="8"/>
  <c r="F14" i="8"/>
  <c r="E14" i="8" s="1"/>
  <c r="E12" i="8"/>
  <c r="H11" i="8"/>
  <c r="E11" i="8"/>
  <c r="H10" i="8"/>
  <c r="F10" i="8"/>
  <c r="E10" i="8"/>
  <c r="H9" i="8"/>
  <c r="F9" i="8"/>
  <c r="E9" i="8"/>
  <c r="E8" i="8"/>
  <c r="E6" i="8"/>
  <c r="L23" i="81" l="1" a="1"/>
  <c r="L23" i="81" s="1"/>
  <c r="L25" i="81" a="1"/>
  <c r="L25" i="81" s="1"/>
  <c r="BA63" i="79"/>
  <c r="F31" i="81" a="1"/>
  <c r="F31" i="81" s="1"/>
  <c r="F29" i="81" a="1"/>
  <c r="F29" i="81" s="1"/>
  <c r="D29" i="81" a="1"/>
  <c r="D29" i="81" s="1"/>
  <c r="B31" i="80" a="1"/>
  <c r="B31" i="80" s="1"/>
  <c r="B29" i="80" a="1"/>
  <c r="B29" i="80" s="1"/>
  <c r="B23" i="80"/>
  <c r="C23" i="80" s="1"/>
  <c r="B24" i="80"/>
  <c r="C24" i="80" s="1"/>
  <c r="B25" i="80"/>
  <c r="C25" i="80" s="1"/>
  <c r="L19" i="77" a="1"/>
  <c r="L19" i="77" s="1"/>
  <c r="AT54" i="79"/>
  <c r="AS54" i="79" s="1"/>
  <c r="AT36" i="79"/>
  <c r="AS36" i="79" s="1"/>
  <c r="AT22" i="79"/>
  <c r="AS22" i="79" s="1"/>
  <c r="AT12" i="79"/>
  <c r="AS12" i="79" s="1"/>
  <c r="X46" i="81"/>
  <c r="X45" i="81"/>
  <c r="X44" i="81"/>
  <c r="X43" i="81"/>
  <c r="X42" i="81"/>
  <c r="X41" i="81"/>
  <c r="X38" i="81"/>
  <c r="X37" i="81"/>
  <c r="X36" i="81"/>
  <c r="X33" i="81"/>
  <c r="X31" i="81"/>
  <c r="X32" i="81"/>
  <c r="X30" i="81"/>
  <c r="X29" i="81"/>
  <c r="X26" i="81"/>
  <c r="X27" i="81"/>
  <c r="X25" i="81"/>
  <c r="X24" i="81"/>
  <c r="X23" i="81"/>
  <c r="X22" i="81"/>
  <c r="X16" i="81"/>
  <c r="X13" i="81"/>
  <c r="X12" i="81"/>
  <c r="X11" i="81"/>
  <c r="X10" i="81"/>
  <c r="X9" i="81"/>
  <c r="X6" i="81"/>
  <c r="X5" i="81"/>
  <c r="J23" i="81" a="1"/>
  <c r="J23" i="81" s="1"/>
  <c r="J25" i="81" a="1"/>
  <c r="J25" i="81" s="1"/>
  <c r="H23" i="81" a="1"/>
  <c r="H23" i="81" s="1"/>
  <c r="H25" i="81" a="1"/>
  <c r="H25" i="81" s="1"/>
  <c r="F23" i="81" a="1"/>
  <c r="F23" i="81" s="1"/>
  <c r="F25" i="81" a="1"/>
  <c r="F25" i="81" s="1"/>
  <c r="D23" i="81" a="1"/>
  <c r="D23" i="81" s="1"/>
  <c r="D25" i="81" a="1"/>
  <c r="D25" i="81" s="1"/>
  <c r="B23" i="81" a="1"/>
  <c r="B23" i="81" s="1"/>
  <c r="B25" i="81" a="1"/>
  <c r="B25" i="81" s="1"/>
  <c r="N17" i="81" a="1"/>
  <c r="N17" i="81" s="1"/>
  <c r="N19" i="81" a="1"/>
  <c r="N19" i="81" s="1"/>
  <c r="L17" i="81" a="1"/>
  <c r="L17" i="81" s="1"/>
  <c r="L19" i="81" a="1"/>
  <c r="L19" i="81" s="1"/>
  <c r="J17" i="81" a="1"/>
  <c r="J17" i="81" s="1"/>
  <c r="J19" i="81" a="1"/>
  <c r="J19" i="81" s="1"/>
  <c r="H17" i="81" a="1"/>
  <c r="H17" i="81" s="1"/>
  <c r="H19" i="81" a="1"/>
  <c r="H19" i="81" s="1"/>
  <c r="F17" i="81" a="1"/>
  <c r="F17" i="81" s="1"/>
  <c r="F19" i="81" a="1"/>
  <c r="F19" i="81" s="1"/>
  <c r="D17" i="81" a="1"/>
  <c r="D17" i="81" s="1"/>
  <c r="D19" i="81" a="1"/>
  <c r="D19" i="81" s="1"/>
  <c r="B17" i="81" a="1"/>
  <c r="B17" i="81" s="1"/>
  <c r="B19" i="81" a="1"/>
  <c r="B19" i="81" s="1"/>
  <c r="N11" i="81" a="1"/>
  <c r="N11" i="81" s="1"/>
  <c r="N13" i="81" a="1"/>
  <c r="N13" i="81" s="1"/>
  <c r="L11" i="81" a="1"/>
  <c r="L11" i="81" s="1"/>
  <c r="L13" i="81" a="1"/>
  <c r="L13" i="81" s="1"/>
  <c r="J11" i="81" a="1"/>
  <c r="J11" i="81" s="1"/>
  <c r="J13" i="81" a="1"/>
  <c r="J13" i="81" s="1"/>
  <c r="H11" i="81" a="1"/>
  <c r="H11" i="81" s="1"/>
  <c r="H13" i="81" a="1"/>
  <c r="H13" i="81" s="1"/>
  <c r="F11" i="81" a="1"/>
  <c r="F11" i="81" s="1"/>
  <c r="F13" i="81" a="1"/>
  <c r="F13" i="81" s="1"/>
  <c r="D11" i="81" a="1"/>
  <c r="D11" i="81" s="1"/>
  <c r="D13" i="81" a="1"/>
  <c r="D13" i="81" s="1"/>
  <c r="B11" i="81" a="1"/>
  <c r="B11" i="81" s="1"/>
  <c r="B13" i="81" a="1"/>
  <c r="B13" i="81" s="1"/>
  <c r="N5" i="81" a="1"/>
  <c r="N5" i="81" s="1"/>
  <c r="N7" i="81" a="1"/>
  <c r="N7" i="81" s="1"/>
  <c r="L5" i="81" a="1"/>
  <c r="L5" i="81" s="1"/>
  <c r="L7" i="81" a="1"/>
  <c r="L7" i="81" s="1"/>
  <c r="J5" i="81" a="1"/>
  <c r="J5" i="81" s="1"/>
  <c r="J7" i="81" a="1"/>
  <c r="J7" i="81" s="1"/>
  <c r="H5" i="81" a="1"/>
  <c r="H5" i="81" s="1"/>
  <c r="H7" i="81" a="1"/>
  <c r="H7" i="81" s="1"/>
  <c r="S2" i="81" a="1"/>
  <c r="S2" i="81" s="1"/>
  <c r="F5" i="81" a="1"/>
  <c r="F5" i="81" s="1"/>
  <c r="F7" i="81" a="1"/>
  <c r="F7" i="81" s="1"/>
  <c r="X4" i="81"/>
  <c r="X48" i="81" s="1"/>
  <c r="B6" i="80"/>
  <c r="B7" i="80" s="1"/>
  <c r="C2" i="80"/>
  <c r="C6" i="80" s="1"/>
  <c r="B26" i="80"/>
  <c r="C22" i="80"/>
  <c r="C26" i="80" s="1"/>
  <c r="C27" i="80" s="1"/>
  <c r="N23" i="77" a="1"/>
  <c r="N23" i="77" s="1"/>
  <c r="D17" i="77" a="1"/>
  <c r="D17" i="77" s="1"/>
  <c r="C17" i="48"/>
  <c r="C35" i="48" s="1"/>
  <c r="R17" i="48"/>
  <c r="S17" i="48"/>
  <c r="T17" i="48"/>
  <c r="Q17" i="48"/>
  <c r="P17" i="48"/>
  <c r="L23" i="77" a="1"/>
  <c r="L23" i="77" s="1"/>
  <c r="F25" i="77" a="1"/>
  <c r="F25" i="77" s="1"/>
  <c r="L25" i="77" a="1"/>
  <c r="L25" i="77" s="1"/>
  <c r="E16" i="71"/>
  <c r="F16" i="71"/>
  <c r="G16" i="71"/>
  <c r="H16" i="71"/>
  <c r="D16" i="71"/>
  <c r="B29" i="77" a="1"/>
  <c r="B29" i="77" s="1"/>
  <c r="S2" i="77" a="1"/>
  <c r="S2" i="77" s="1"/>
  <c r="B5" i="77" a="1"/>
  <c r="B5" i="77" s="1"/>
  <c r="J19" i="77" a="1"/>
  <c r="J19" i="77" s="1"/>
  <c r="D29" i="77" a="1"/>
  <c r="D29" i="77" s="1"/>
  <c r="D25" i="77" a="1"/>
  <c r="D25" i="77" s="1"/>
  <c r="B17" i="77" a="1"/>
  <c r="B17" i="77" s="1"/>
  <c r="J25" i="77" a="1"/>
  <c r="J25" i="77" s="1"/>
  <c r="B23" i="78"/>
  <c r="C23" i="78" s="1"/>
  <c r="B24" i="78"/>
  <c r="C24" i="78" s="1"/>
  <c r="B25" i="78"/>
  <c r="C25" i="78" s="1"/>
  <c r="B29" i="78" a="1"/>
  <c r="B29" i="78" s="1"/>
  <c r="B31" i="78" a="1"/>
  <c r="B31" i="78" s="1"/>
  <c r="AQ38" i="74"/>
  <c r="B22" i="78"/>
  <c r="AT40" i="74"/>
  <c r="AT58" i="74"/>
  <c r="AT12" i="74"/>
  <c r="AT22" i="74"/>
  <c r="AT24" i="74"/>
  <c r="S2" i="73" a="1"/>
  <c r="S2" i="73" s="1"/>
  <c r="J5" i="73" a="1"/>
  <c r="J5" i="73" s="1"/>
  <c r="B31" i="77" a="1"/>
  <c r="B31" i="77" s="1"/>
  <c r="D31" i="77" a="1"/>
  <c r="D31" i="77" s="1"/>
  <c r="F7" i="77" a="1"/>
  <c r="F7" i="77" s="1"/>
  <c r="N5" i="77" a="1"/>
  <c r="N5" i="77" s="1"/>
  <c r="H11" i="77" a="1"/>
  <c r="H11" i="77" s="1"/>
  <c r="AW67" i="74"/>
  <c r="AX67" i="74"/>
  <c r="AY67" i="74"/>
  <c r="AZ67" i="74"/>
  <c r="B13" i="77" a="1"/>
  <c r="B13" i="77" s="1"/>
  <c r="J17" i="77" a="1"/>
  <c r="J17" i="77" s="1"/>
  <c r="D23" i="77" a="1"/>
  <c r="D23" i="77" s="1"/>
  <c r="F5" i="77" a="1"/>
  <c r="F5" i="77" s="1"/>
  <c r="J5" i="77" a="1"/>
  <c r="J5" i="77" s="1"/>
  <c r="B19" i="77" a="1"/>
  <c r="B19" i="77" s="1"/>
  <c r="B7" i="77" a="1"/>
  <c r="B7" i="77" s="1"/>
  <c r="D11" i="77" a="1"/>
  <c r="D11" i="77" s="1"/>
  <c r="D19" i="77" a="1"/>
  <c r="D19" i="77" s="1"/>
  <c r="B23" i="77" a="1"/>
  <c r="B23" i="77" s="1"/>
  <c r="F19" i="77" a="1"/>
  <c r="F19" i="77" s="1"/>
  <c r="F11" i="77" a="1"/>
  <c r="F11" i="77" s="1"/>
  <c r="F17" i="77" a="1"/>
  <c r="F17" i="77" s="1"/>
  <c r="N7" i="77" a="1"/>
  <c r="N7" i="77" s="1"/>
  <c r="L11" i="77" a="1"/>
  <c r="L11" i="77" s="1"/>
  <c r="N19" i="77" a="1"/>
  <c r="N19" i="77" s="1"/>
  <c r="J11" i="77" a="1"/>
  <c r="J11" i="77" s="1"/>
  <c r="H17" i="77" a="1"/>
  <c r="H17" i="77" s="1"/>
  <c r="D5" i="77" a="1"/>
  <c r="D5" i="77" s="1"/>
  <c r="B11" i="77" a="1"/>
  <c r="B11" i="77" s="1"/>
  <c r="J13" i="77" a="1"/>
  <c r="J13" i="77" s="1"/>
  <c r="H19" i="77" a="1"/>
  <c r="H19" i="77" s="1"/>
  <c r="J7" i="77" a="1"/>
  <c r="J7" i="77" s="1"/>
  <c r="L13" i="77" a="1"/>
  <c r="L13" i="77" s="1"/>
  <c r="L17" i="77" a="1"/>
  <c r="L17" i="77" s="1"/>
  <c r="H5" i="77" a="1"/>
  <c r="H5" i="77" s="1"/>
  <c r="N13" i="77" a="1"/>
  <c r="N13" i="77" s="1"/>
  <c r="B25" i="77" a="1"/>
  <c r="B25" i="77" s="1"/>
  <c r="L5" i="77" a="1"/>
  <c r="L5" i="77" s="1"/>
  <c r="H13" i="77" a="1"/>
  <c r="H13" i="77" s="1"/>
  <c r="N17" i="77" a="1"/>
  <c r="N17" i="77" s="1"/>
  <c r="L7" i="77" a="1"/>
  <c r="L7" i="77" s="1"/>
  <c r="F13" i="77" a="1"/>
  <c r="F13" i="77" s="1"/>
  <c r="N11" i="77" a="1"/>
  <c r="N11" i="77" s="1"/>
  <c r="D7" i="77" a="1"/>
  <c r="D7" i="77" s="1"/>
  <c r="AJ71" i="76"/>
  <c r="AJ68" i="76" a="1"/>
  <c r="AJ68" i="76" s="1"/>
  <c r="AK67" i="76"/>
  <c r="AO71" i="76" s="1"/>
  <c r="AQ6" i="76"/>
  <c r="AV67" i="76"/>
  <c r="BB6" i="76"/>
  <c r="BA6" i="76"/>
  <c r="BB7" i="76"/>
  <c r="BA7" i="76"/>
  <c r="BB8" i="76"/>
  <c r="BA8" i="76"/>
  <c r="BB9" i="76"/>
  <c r="BA9" i="76"/>
  <c r="BB10" i="76"/>
  <c r="BA10" i="76"/>
  <c r="BB11" i="76"/>
  <c r="BA11" i="76"/>
  <c r="AT12" i="76"/>
  <c r="BB12" i="76"/>
  <c r="BA12" i="76"/>
  <c r="BB13" i="76"/>
  <c r="BA13" i="76"/>
  <c r="BB14" i="76"/>
  <c r="BA14" i="76"/>
  <c r="BB15" i="76"/>
  <c r="BA15" i="76"/>
  <c r="BB16" i="76"/>
  <c r="BA16" i="76"/>
  <c r="BB17" i="76"/>
  <c r="BA17" i="76"/>
  <c r="BB18" i="76"/>
  <c r="BA18" i="76"/>
  <c r="BB19" i="76"/>
  <c r="BA19" i="76"/>
  <c r="BB20" i="76"/>
  <c r="BA20" i="76"/>
  <c r="BB21" i="76"/>
  <c r="BA21" i="76"/>
  <c r="AT22" i="76"/>
  <c r="BB22" i="76"/>
  <c r="BA22" i="76"/>
  <c r="BB23" i="76"/>
  <c r="BA23" i="76"/>
  <c r="AT24" i="76"/>
  <c r="BB24" i="76"/>
  <c r="BA24" i="76"/>
  <c r="BB25" i="76"/>
  <c r="BA25" i="76"/>
  <c r="BB26" i="76"/>
  <c r="BA26" i="76"/>
  <c r="BB27" i="76"/>
  <c r="BA27" i="76"/>
  <c r="BB28" i="76"/>
  <c r="BA28" i="76"/>
  <c r="BB29" i="76"/>
  <c r="BA29" i="76"/>
  <c r="BB30" i="76"/>
  <c r="BA30" i="76"/>
  <c r="BB31" i="76"/>
  <c r="BA31" i="76"/>
  <c r="BB32" i="76"/>
  <c r="BA32" i="76"/>
  <c r="BB33" i="76"/>
  <c r="BA33" i="76"/>
  <c r="BB34" i="76"/>
  <c r="BA34" i="76"/>
  <c r="BB35" i="76"/>
  <c r="BA35" i="76"/>
  <c r="BB36" i="76"/>
  <c r="BA36" i="76"/>
  <c r="BB37" i="76"/>
  <c r="BA37" i="76"/>
  <c r="BB38" i="76"/>
  <c r="BA38" i="76"/>
  <c r="BB39" i="76"/>
  <c r="BA39" i="76"/>
  <c r="AT40" i="76"/>
  <c r="BB40" i="76"/>
  <c r="BA40" i="76"/>
  <c r="BB41" i="76"/>
  <c r="BA41" i="76"/>
  <c r="BB42" i="76"/>
  <c r="BA42" i="76"/>
  <c r="BB43" i="76"/>
  <c r="BA43" i="76"/>
  <c r="BB44" i="76"/>
  <c r="BA44" i="76"/>
  <c r="BB45" i="76"/>
  <c r="BA45" i="76"/>
  <c r="BB46" i="76"/>
  <c r="BA46" i="76"/>
  <c r="BB47" i="76"/>
  <c r="BA47" i="76"/>
  <c r="BB48" i="76"/>
  <c r="BA48" i="76"/>
  <c r="BB49" i="76"/>
  <c r="BA49" i="76"/>
  <c r="BB50" i="76"/>
  <c r="BA50" i="76"/>
  <c r="BB51" i="76"/>
  <c r="BA51" i="76"/>
  <c r="BB52" i="76"/>
  <c r="BA52" i="76"/>
  <c r="BB53" i="76"/>
  <c r="BA53" i="76"/>
  <c r="BB54" i="76"/>
  <c r="BA54" i="76"/>
  <c r="BB55" i="76"/>
  <c r="BA55" i="76"/>
  <c r="BB56" i="76"/>
  <c r="BA56" i="76"/>
  <c r="BB57" i="76"/>
  <c r="BA57" i="76"/>
  <c r="AT58" i="76"/>
  <c r="BB58" i="76"/>
  <c r="BA58" i="76"/>
  <c r="BB59" i="76"/>
  <c r="BA59" i="76"/>
  <c r="BB60" i="76"/>
  <c r="BA60" i="76"/>
  <c r="BB61" i="76"/>
  <c r="BA61" i="76"/>
  <c r="BB62" i="76"/>
  <c r="BA62" i="76"/>
  <c r="BB63" i="76"/>
  <c r="BA63" i="76"/>
  <c r="BB64" i="76"/>
  <c r="BA64" i="76"/>
  <c r="BB66" i="76"/>
  <c r="BA66" i="76"/>
  <c r="AQ6" i="72"/>
  <c r="F29" i="73" a="1"/>
  <c r="F29" i="73" s="1"/>
  <c r="AV67" i="74"/>
  <c r="BB68" i="74" s="1"/>
  <c r="BB6" i="74"/>
  <c r="BA6" i="74"/>
  <c r="BB7" i="74"/>
  <c r="BA7" i="74"/>
  <c r="BB8" i="74"/>
  <c r="BA8" i="74"/>
  <c r="X5" i="77" s="1"/>
  <c r="BB9" i="74"/>
  <c r="BA9" i="74"/>
  <c r="BB10" i="74"/>
  <c r="BA10" i="74"/>
  <c r="X6" i="77" s="1"/>
  <c r="BB11" i="74"/>
  <c r="BA11" i="74"/>
  <c r="BB12" i="74"/>
  <c r="BA12" i="74"/>
  <c r="X9" i="77" s="1"/>
  <c r="BB13" i="74"/>
  <c r="BA13" i="74"/>
  <c r="BB14" i="74"/>
  <c r="BA14" i="74"/>
  <c r="X10" i="77" s="1"/>
  <c r="BB15" i="74"/>
  <c r="BA15" i="74"/>
  <c r="BB16" i="74"/>
  <c r="BA16" i="74"/>
  <c r="X11" i="77" s="1"/>
  <c r="BB17" i="74"/>
  <c r="BA17" i="74"/>
  <c r="BB18" i="74"/>
  <c r="BA18" i="74"/>
  <c r="X12" i="77" s="1"/>
  <c r="BB19" i="74"/>
  <c r="BA19" i="74"/>
  <c r="BB20" i="74"/>
  <c r="BA20" i="74"/>
  <c r="X13" i="77" s="1"/>
  <c r="BB21" i="74"/>
  <c r="BA21" i="74"/>
  <c r="BB22" i="74"/>
  <c r="BA22" i="74"/>
  <c r="X16" i="77" s="1"/>
  <c r="BB23" i="74"/>
  <c r="BA23" i="74"/>
  <c r="BB24" i="74"/>
  <c r="BA24" i="74"/>
  <c r="X17" i="77" s="1"/>
  <c r="BB25" i="74"/>
  <c r="BA25" i="74"/>
  <c r="BB26" i="74"/>
  <c r="BA26" i="74"/>
  <c r="X22" i="77" s="1"/>
  <c r="BB27" i="74"/>
  <c r="BA27" i="74"/>
  <c r="BB28" i="74"/>
  <c r="BA28" i="74"/>
  <c r="X23" i="77" s="1"/>
  <c r="BB29" i="74"/>
  <c r="BA29" i="74"/>
  <c r="BB30" i="74"/>
  <c r="BA30" i="74"/>
  <c r="X24" i="77" s="1"/>
  <c r="BB31" i="74"/>
  <c r="BA31" i="74"/>
  <c r="BB32" i="74"/>
  <c r="BA32" i="74"/>
  <c r="X25" i="77" s="1"/>
  <c r="BB33" i="74"/>
  <c r="BA33" i="74"/>
  <c r="BB34" i="74"/>
  <c r="BA34" i="74"/>
  <c r="X27" i="77" s="1"/>
  <c r="BB35" i="74"/>
  <c r="BA35" i="74"/>
  <c r="BB36" i="74"/>
  <c r="BA36" i="74"/>
  <c r="X28" i="77" s="1"/>
  <c r="BB37" i="74"/>
  <c r="BA37" i="74"/>
  <c r="BB38" i="74"/>
  <c r="BA38" i="74"/>
  <c r="X26" i="77" s="1"/>
  <c r="BB39" i="74"/>
  <c r="BA39" i="74"/>
  <c r="BB40" i="74"/>
  <c r="BA40" i="74"/>
  <c r="X29" i="77" s="1"/>
  <c r="BB41" i="74"/>
  <c r="BA41" i="74"/>
  <c r="BB42" i="74"/>
  <c r="BA42" i="74"/>
  <c r="X30" i="77" s="1"/>
  <c r="BB43" i="74"/>
  <c r="BA43" i="74"/>
  <c r="BB44" i="74"/>
  <c r="BA44" i="74"/>
  <c r="X32" i="77" s="1"/>
  <c r="BB45" i="74"/>
  <c r="BA45" i="74"/>
  <c r="BB46" i="74"/>
  <c r="BA46" i="74"/>
  <c r="X31" i="77" s="1"/>
  <c r="BB47" i="74"/>
  <c r="BA47" i="74"/>
  <c r="BB48" i="74"/>
  <c r="BA48" i="74"/>
  <c r="X33" i="77" s="1"/>
  <c r="BB49" i="74"/>
  <c r="BA49" i="74"/>
  <c r="BB50" i="74"/>
  <c r="BA50" i="74"/>
  <c r="X36" i="77" s="1"/>
  <c r="BB51" i="74"/>
  <c r="BA51" i="74"/>
  <c r="BB52" i="74"/>
  <c r="BA52" i="74"/>
  <c r="X37" i="77" s="1"/>
  <c r="BB53" i="74"/>
  <c r="BA53" i="74"/>
  <c r="BB54" i="74"/>
  <c r="BA54" i="74"/>
  <c r="X38" i="77" s="1"/>
  <c r="BB55" i="74"/>
  <c r="BA55" i="74"/>
  <c r="BB56" i="74"/>
  <c r="BA56" i="74"/>
  <c r="X41" i="77" s="1"/>
  <c r="BB57" i="74"/>
  <c r="BA57" i="74"/>
  <c r="BB58" i="74"/>
  <c r="BA58" i="74"/>
  <c r="X42" i="77" s="1"/>
  <c r="BB59" i="74"/>
  <c r="BA59" i="74"/>
  <c r="BB60" i="74"/>
  <c r="BA60" i="74"/>
  <c r="X43" i="77" s="1"/>
  <c r="BB61" i="74"/>
  <c r="BA61" i="74"/>
  <c r="BB62" i="74"/>
  <c r="BA62" i="74"/>
  <c r="X44" i="77" s="1"/>
  <c r="BB63" i="74"/>
  <c r="BA63" i="74"/>
  <c r="BB64" i="74"/>
  <c r="BA64" i="74"/>
  <c r="X45" i="77" s="1"/>
  <c r="BB65" i="74"/>
  <c r="BA65" i="74"/>
  <c r="BB66" i="74"/>
  <c r="BA66" i="74"/>
  <c r="X46" i="77" s="1"/>
  <c r="F23" i="73" a="1"/>
  <c r="F23" i="73" s="1"/>
  <c r="D25" i="73" a="1"/>
  <c r="D25" i="73" s="1"/>
  <c r="AV67" i="64"/>
  <c r="AW67" i="64"/>
  <c r="AX67" i="64"/>
  <c r="AY67" i="64"/>
  <c r="AZ67" i="64"/>
  <c r="AW67" i="72"/>
  <c r="T4" i="73"/>
  <c r="AX67" i="72"/>
  <c r="U4" i="73"/>
  <c r="AY67" i="72"/>
  <c r="V4" i="73"/>
  <c r="AZ67" i="72"/>
  <c r="W4" i="73"/>
  <c r="L29" i="73" a="1"/>
  <c r="L29" i="73" s="1"/>
  <c r="N25" i="73" a="1"/>
  <c r="N25" i="73" s="1"/>
  <c r="J25" i="73" a="1"/>
  <c r="J25" i="73" s="1"/>
  <c r="F19" i="73" a="1"/>
  <c r="F19" i="73" s="1"/>
  <c r="B29" i="73" a="1"/>
  <c r="B29" i="73" s="1"/>
  <c r="H17" i="73" a="1"/>
  <c r="H17" i="73" s="1"/>
  <c r="L17" i="73" a="1"/>
  <c r="L17" i="73" s="1"/>
  <c r="N23" i="73" a="1"/>
  <c r="N23" i="73" s="1"/>
  <c r="B25" i="73" a="1"/>
  <c r="B25" i="73" s="1"/>
  <c r="D19" i="73" a="1"/>
  <c r="D19" i="73" s="1"/>
  <c r="L5" i="73" a="1"/>
  <c r="L5" i="73" s="1"/>
  <c r="H23" i="73" a="1"/>
  <c r="H23" i="73" s="1"/>
  <c r="F17" i="73" a="1"/>
  <c r="F17" i="73" s="1"/>
  <c r="B31" i="73" a="1"/>
  <c r="B31" i="73" s="1"/>
  <c r="H19" i="73" a="1"/>
  <c r="H19" i="73" s="1"/>
  <c r="L11" i="73" a="1"/>
  <c r="L11" i="73" s="1"/>
  <c r="B11" i="73" a="1"/>
  <c r="B11" i="73" s="1"/>
  <c r="H29" i="73" a="1"/>
  <c r="H29" i="73" s="1"/>
  <c r="F25" i="73" a="1"/>
  <c r="F25" i="73" s="1"/>
  <c r="H31" i="73" a="1"/>
  <c r="H31" i="73" s="1"/>
  <c r="H25" i="73" a="1"/>
  <c r="H25" i="73" s="1"/>
  <c r="B23" i="73" a="1"/>
  <c r="B23" i="73" s="1"/>
  <c r="L13" i="73" a="1"/>
  <c r="L13" i="73" s="1"/>
  <c r="N7" i="73" a="1"/>
  <c r="N7" i="73" s="1"/>
  <c r="L31" i="73" a="1"/>
  <c r="L31" i="73" s="1"/>
  <c r="N17" i="73" a="1"/>
  <c r="N17" i="73" s="1"/>
  <c r="D11" i="73" a="1"/>
  <c r="D11" i="73" s="1"/>
  <c r="N31" i="73" a="1"/>
  <c r="N31" i="73" s="1"/>
  <c r="B19" i="73" a="1"/>
  <c r="B19" i="73" s="1"/>
  <c r="H13" i="73" a="1"/>
  <c r="H13" i="73" s="1"/>
  <c r="J19" i="73" a="1"/>
  <c r="J19" i="73" s="1"/>
  <c r="B17" i="73" a="1"/>
  <c r="B17" i="73" s="1"/>
  <c r="D13" i="73" a="1"/>
  <c r="D13" i="73" s="1"/>
  <c r="F31" i="73" a="1"/>
  <c r="F31" i="73" s="1"/>
  <c r="L19" i="73" a="1"/>
  <c r="L19" i="73" s="1"/>
  <c r="N13" i="73" a="1"/>
  <c r="N13" i="73" s="1"/>
  <c r="N5" i="73" a="1"/>
  <c r="N5" i="73" s="1"/>
  <c r="N11" i="73" a="1"/>
  <c r="N11" i="73" s="1"/>
  <c r="F13" i="73" a="1"/>
  <c r="F13" i="73" s="1"/>
  <c r="N19" i="73" a="1"/>
  <c r="N19" i="73" s="1"/>
  <c r="J13" i="73" a="1"/>
  <c r="J13" i="73" s="1"/>
  <c r="J31" i="73" a="1"/>
  <c r="J31" i="73" s="1"/>
  <c r="L25" i="73" a="1"/>
  <c r="L25" i="73" s="1"/>
  <c r="J7" i="73" a="1"/>
  <c r="J7" i="73" s="1"/>
  <c r="D31" i="73" a="1"/>
  <c r="D31" i="73" s="1"/>
  <c r="D23" i="73" a="1"/>
  <c r="D23" i="73" s="1"/>
  <c r="J23" i="73" a="1"/>
  <c r="J23" i="73" s="1"/>
  <c r="H11" i="73" a="1"/>
  <c r="H11" i="73" s="1"/>
  <c r="J17" i="73" a="1"/>
  <c r="J17" i="73" s="1"/>
  <c r="J11" i="73" a="1"/>
  <c r="J11" i="73" s="1"/>
  <c r="C3" i="71"/>
  <c r="C4" i="71"/>
  <c r="C5" i="71"/>
  <c r="C6" i="71"/>
  <c r="C7" i="71"/>
  <c r="C8" i="71"/>
  <c r="C9" i="71"/>
  <c r="C10" i="71"/>
  <c r="C11" i="71"/>
  <c r="C12" i="71"/>
  <c r="C13" i="71"/>
  <c r="C14" i="71"/>
  <c r="C15" i="71"/>
  <c r="C16" i="71"/>
  <c r="C17" i="71"/>
  <c r="C18" i="71"/>
  <c r="C19" i="71"/>
  <c r="C20" i="71"/>
  <c r="C21" i="71"/>
  <c r="C22" i="71"/>
  <c r="C23" i="71"/>
  <c r="C24" i="71"/>
  <c r="C25" i="71"/>
  <c r="C26" i="71"/>
  <c r="C27" i="71"/>
  <c r="C28" i="71"/>
  <c r="C29" i="71"/>
  <c r="C30" i="71"/>
  <c r="C31" i="71"/>
  <c r="C32" i="71"/>
  <c r="C33" i="71"/>
  <c r="B23" i="66"/>
  <c r="B24" i="66"/>
  <c r="B25" i="66"/>
  <c r="B29" i="66" a="1"/>
  <c r="B29" i="66" s="1"/>
  <c r="B31" i="66" a="1"/>
  <c r="B31" i="66" s="1"/>
  <c r="AQ38" i="72"/>
  <c r="B22" i="66"/>
  <c r="B26" i="66" s="1"/>
  <c r="AV67" i="72"/>
  <c r="BB68" i="72" s="1"/>
  <c r="BB6" i="72"/>
  <c r="BA6" i="72"/>
  <c r="BB7" i="72"/>
  <c r="BA7" i="72"/>
  <c r="BB8" i="72"/>
  <c r="BA8" i="72"/>
  <c r="BB9" i="72"/>
  <c r="BA9" i="72"/>
  <c r="BB10" i="72"/>
  <c r="BA10" i="72"/>
  <c r="BB11" i="72"/>
  <c r="BA11" i="72"/>
  <c r="BB12" i="72"/>
  <c r="BA12" i="72"/>
  <c r="BB13" i="72"/>
  <c r="BA13" i="72"/>
  <c r="BB14" i="72"/>
  <c r="BA14" i="72"/>
  <c r="BB15" i="72"/>
  <c r="BA15" i="72"/>
  <c r="BB16" i="72"/>
  <c r="BA16" i="72"/>
  <c r="BB17" i="72"/>
  <c r="BA17" i="72"/>
  <c r="BB18" i="72"/>
  <c r="BA18" i="72"/>
  <c r="BB19" i="72"/>
  <c r="BA19" i="72"/>
  <c r="BB20" i="72"/>
  <c r="BA20" i="72"/>
  <c r="BB21" i="72"/>
  <c r="BA21" i="72"/>
  <c r="BB22" i="72"/>
  <c r="BA22" i="72"/>
  <c r="BB23" i="72"/>
  <c r="BA23" i="72"/>
  <c r="BB24" i="72"/>
  <c r="BA24" i="72"/>
  <c r="BB25" i="72"/>
  <c r="BA25" i="72"/>
  <c r="BB26" i="72"/>
  <c r="BA26" i="72"/>
  <c r="BB27" i="72"/>
  <c r="BA27" i="72"/>
  <c r="BB28" i="72"/>
  <c r="BA28" i="72"/>
  <c r="BB29" i="72"/>
  <c r="BA29" i="72"/>
  <c r="BB30" i="72"/>
  <c r="BA30" i="72"/>
  <c r="BB31" i="72"/>
  <c r="BA31" i="72"/>
  <c r="BB32" i="72"/>
  <c r="BA32" i="72"/>
  <c r="BB33" i="72"/>
  <c r="BA33" i="72"/>
  <c r="BB34" i="72"/>
  <c r="BA34" i="72"/>
  <c r="BB35" i="72"/>
  <c r="BA35" i="72"/>
  <c r="BB36" i="72"/>
  <c r="BA36" i="72"/>
  <c r="BB37" i="72"/>
  <c r="BA37" i="72"/>
  <c r="BB38" i="72"/>
  <c r="BA38" i="72"/>
  <c r="BB39" i="72"/>
  <c r="BA39" i="72"/>
  <c r="BB40" i="72"/>
  <c r="BA40" i="72"/>
  <c r="BB41" i="72"/>
  <c r="BA41" i="72"/>
  <c r="BB42" i="72"/>
  <c r="BA42" i="72"/>
  <c r="BB43" i="72"/>
  <c r="BA43" i="72"/>
  <c r="BB44" i="72"/>
  <c r="BA44" i="72"/>
  <c r="BB45" i="72"/>
  <c r="BA45" i="72"/>
  <c r="BB46" i="72"/>
  <c r="BA46" i="72"/>
  <c r="BB47" i="72"/>
  <c r="BA47" i="72"/>
  <c r="BB48" i="72"/>
  <c r="BA48" i="72"/>
  <c r="BB49" i="72"/>
  <c r="BA49" i="72"/>
  <c r="BB50" i="72"/>
  <c r="BA50" i="72"/>
  <c r="BB51" i="72"/>
  <c r="BA51" i="72"/>
  <c r="BB52" i="72"/>
  <c r="BA52" i="72"/>
  <c r="BB53" i="72"/>
  <c r="BA53" i="72"/>
  <c r="BB54" i="72"/>
  <c r="BA54" i="72"/>
  <c r="BB55" i="72"/>
  <c r="BA55" i="72"/>
  <c r="BB56" i="72"/>
  <c r="BA56" i="72"/>
  <c r="BB57" i="72"/>
  <c r="BA57" i="72"/>
  <c r="BB58" i="72"/>
  <c r="BA58" i="72"/>
  <c r="BB59" i="72"/>
  <c r="BA59" i="72"/>
  <c r="BB60" i="72"/>
  <c r="BA60" i="72"/>
  <c r="BB61" i="72"/>
  <c r="BA61" i="72"/>
  <c r="BB62" i="72"/>
  <c r="BA62" i="72"/>
  <c r="BB63" i="72"/>
  <c r="BA63" i="72"/>
  <c r="BB64" i="72"/>
  <c r="BA64" i="72"/>
  <c r="BB65" i="72"/>
  <c r="BA65" i="72"/>
  <c r="BB66" i="72"/>
  <c r="BA66" i="72"/>
  <c r="AW63" i="60"/>
  <c r="AX63" i="60"/>
  <c r="AY63" i="60"/>
  <c r="AZ63" i="60"/>
  <c r="B21" i="68"/>
  <c r="B22" i="68"/>
  <c r="B23" i="68"/>
  <c r="B24" i="68"/>
  <c r="AQ27" i="69"/>
  <c r="AQ28" i="69"/>
  <c r="AQ29" i="69"/>
  <c r="AQ30" i="69"/>
  <c r="AQ6" i="69"/>
  <c r="AQ7" i="69"/>
  <c r="AQ8" i="69"/>
  <c r="AQ9" i="69"/>
  <c r="AQ10" i="69"/>
  <c r="AQ11" i="69"/>
  <c r="AQ12" i="69"/>
  <c r="AQ13" i="69"/>
  <c r="AQ14" i="69"/>
  <c r="AQ15" i="69"/>
  <c r="AQ16" i="69"/>
  <c r="AQ17" i="69"/>
  <c r="AQ18" i="69"/>
  <c r="AQ19" i="69"/>
  <c r="AQ20" i="69"/>
  <c r="AQ21" i="69"/>
  <c r="AQ22" i="69"/>
  <c r="AQ23" i="69"/>
  <c r="AQ24" i="69"/>
  <c r="AQ25" i="69"/>
  <c r="AQ26" i="69"/>
  <c r="AQ31" i="69"/>
  <c r="AQ32" i="69"/>
  <c r="AQ33" i="69"/>
  <c r="AQ34" i="69"/>
  <c r="AQ35" i="69"/>
  <c r="AQ36" i="69"/>
  <c r="AQ37" i="69"/>
  <c r="AQ38" i="69"/>
  <c r="AQ39" i="69"/>
  <c r="AQ40" i="69"/>
  <c r="AQ41" i="69"/>
  <c r="AQ42" i="69"/>
  <c r="AQ43" i="69"/>
  <c r="AQ44" i="69"/>
  <c r="AQ45" i="69"/>
  <c r="AQ46" i="69"/>
  <c r="AQ47" i="69"/>
  <c r="AQ48" i="69"/>
  <c r="AQ49" i="69"/>
  <c r="AQ50" i="69"/>
  <c r="AQ51" i="69"/>
  <c r="AQ52" i="69"/>
  <c r="AQ53" i="69"/>
  <c r="AQ54" i="69"/>
  <c r="AQ55" i="69"/>
  <c r="AQ56" i="69"/>
  <c r="AQ57" i="69"/>
  <c r="AQ58" i="69"/>
  <c r="AQ59" i="69"/>
  <c r="AQ60" i="69"/>
  <c r="AQ61" i="69"/>
  <c r="AQ62" i="69"/>
  <c r="AQ63" i="69"/>
  <c r="AQ64" i="69"/>
  <c r="BB27" i="69"/>
  <c r="BB28" i="69"/>
  <c r="BB29" i="69"/>
  <c r="BB30" i="69"/>
  <c r="C2" i="70"/>
  <c r="BB6" i="69"/>
  <c r="BB7" i="69"/>
  <c r="BB8" i="69"/>
  <c r="BB9" i="69"/>
  <c r="BB10" i="69"/>
  <c r="BB11" i="69"/>
  <c r="BB12" i="69"/>
  <c r="BB13" i="69"/>
  <c r="BB14" i="69"/>
  <c r="BB15" i="69"/>
  <c r="BB16" i="69"/>
  <c r="BB17" i="69"/>
  <c r="BB18" i="69"/>
  <c r="BB19" i="69"/>
  <c r="BB20" i="69"/>
  <c r="BB21" i="69"/>
  <c r="BB22" i="69"/>
  <c r="BB23" i="69"/>
  <c r="BB24" i="69"/>
  <c r="BB25" i="69"/>
  <c r="BB26" i="69"/>
  <c r="BB31" i="69"/>
  <c r="BB32" i="69"/>
  <c r="BB33" i="69"/>
  <c r="BB34" i="69"/>
  <c r="BB35" i="69"/>
  <c r="BB36" i="69"/>
  <c r="BB37" i="69"/>
  <c r="BB38" i="69"/>
  <c r="BB39" i="69"/>
  <c r="BB40" i="69"/>
  <c r="BB41" i="69"/>
  <c r="BB42" i="69"/>
  <c r="BB43" i="69"/>
  <c r="BB44" i="69"/>
  <c r="BB45" i="69"/>
  <c r="BB46" i="69"/>
  <c r="BB47" i="69"/>
  <c r="BB48" i="69"/>
  <c r="BB49" i="69"/>
  <c r="BB50" i="69"/>
  <c r="BB51" i="69"/>
  <c r="BB52" i="69"/>
  <c r="BB53" i="69"/>
  <c r="BB54" i="69"/>
  <c r="BB55" i="69"/>
  <c r="BB56" i="69"/>
  <c r="BB57" i="69"/>
  <c r="BB58" i="69"/>
  <c r="BB59" i="69"/>
  <c r="BB60" i="69"/>
  <c r="BB61" i="69"/>
  <c r="BB62" i="69"/>
  <c r="BB63" i="69"/>
  <c r="BB64" i="69"/>
  <c r="C2" i="68"/>
  <c r="A32" i="47"/>
  <c r="C3" i="70"/>
  <c r="C3" i="68"/>
  <c r="C4" i="70"/>
  <c r="C5" i="70"/>
  <c r="C5" i="68"/>
  <c r="C4" i="68"/>
  <c r="C22" i="68"/>
  <c r="C23" i="68"/>
  <c r="C24" i="68"/>
  <c r="B28" i="70" a="1"/>
  <c r="B28" i="70" s="1"/>
  <c r="C22" i="70"/>
  <c r="C23" i="70"/>
  <c r="C24" i="70"/>
  <c r="C21" i="70"/>
  <c r="C25" i="70" s="1"/>
  <c r="B25" i="70"/>
  <c r="B29" i="70" s="1"/>
  <c r="AR27" i="69"/>
  <c r="AR28" i="69"/>
  <c r="AR29" i="69"/>
  <c r="AR30" i="69"/>
  <c r="AT18" i="69"/>
  <c r="AT58" i="69"/>
  <c r="AT59" i="69"/>
  <c r="AS59" i="69" s="1"/>
  <c r="AT60" i="69"/>
  <c r="AT61" i="69"/>
  <c r="AS61" i="69" s="1"/>
  <c r="AT62" i="69"/>
  <c r="AT63" i="69"/>
  <c r="AS63" i="69" s="1"/>
  <c r="AT64" i="69"/>
  <c r="AR7" i="69"/>
  <c r="AR8" i="69"/>
  <c r="AR9" i="69"/>
  <c r="AR10" i="69"/>
  <c r="AR11" i="69"/>
  <c r="AR12" i="69"/>
  <c r="AR13" i="69"/>
  <c r="AR14" i="69"/>
  <c r="AR15" i="69"/>
  <c r="AR16" i="69"/>
  <c r="AR17" i="69"/>
  <c r="AR18" i="69"/>
  <c r="AR19" i="69"/>
  <c r="AR20" i="69"/>
  <c r="AR21" i="69"/>
  <c r="AR22" i="69"/>
  <c r="AR23" i="69"/>
  <c r="AR24" i="69"/>
  <c r="AR25" i="69"/>
  <c r="AR26" i="69"/>
  <c r="AR31" i="69"/>
  <c r="AR32" i="69"/>
  <c r="AR33" i="69"/>
  <c r="AR34" i="69"/>
  <c r="AR35" i="69"/>
  <c r="AR36" i="69"/>
  <c r="AR37" i="69"/>
  <c r="AR38" i="69"/>
  <c r="AR39" i="69"/>
  <c r="AR40" i="69"/>
  <c r="AR41" i="69"/>
  <c r="AR42" i="69"/>
  <c r="AR43" i="69"/>
  <c r="AR44" i="69"/>
  <c r="AR45" i="69"/>
  <c r="AR46" i="69"/>
  <c r="AR47" i="69"/>
  <c r="AR48" i="69"/>
  <c r="AR49" i="69"/>
  <c r="AR50" i="69"/>
  <c r="AR51" i="69"/>
  <c r="AR52" i="69"/>
  <c r="AR53" i="69"/>
  <c r="AR54" i="69"/>
  <c r="AR55" i="69"/>
  <c r="AR56" i="69"/>
  <c r="AR57" i="69"/>
  <c r="AR58" i="69"/>
  <c r="AR59" i="69"/>
  <c r="AR60" i="69"/>
  <c r="AR61" i="69"/>
  <c r="AR62" i="69"/>
  <c r="AR63" i="69"/>
  <c r="AR64" i="69"/>
  <c r="AR6" i="69"/>
  <c r="AR65" i="69" s="1"/>
  <c r="B26" i="70"/>
  <c r="C26" i="70"/>
  <c r="B28" i="68" a="1"/>
  <c r="B28" i="68" s="1"/>
  <c r="AS56" i="60"/>
  <c r="B15" i="68"/>
  <c r="B16" i="68" s="1"/>
  <c r="B6" i="68"/>
  <c r="B7" i="68" s="1"/>
  <c r="B25" i="68"/>
  <c r="C21" i="68"/>
  <c r="C25" i="68" s="1"/>
  <c r="C26" i="68" s="1"/>
  <c r="B27" i="63" a="1"/>
  <c r="B27" i="63" s="1"/>
  <c r="AJ71" i="64"/>
  <c r="AJ68" i="64" a="1"/>
  <c r="AJ68" i="64" s="1"/>
  <c r="AK67" i="64"/>
  <c r="B20" i="63"/>
  <c r="AL67" i="64"/>
  <c r="B21" i="63"/>
  <c r="AM67" i="64"/>
  <c r="B22" i="63"/>
  <c r="AN67" i="64"/>
  <c r="B23" i="63"/>
  <c r="AP7" i="49"/>
  <c r="AP8" i="49"/>
  <c r="AP9" i="49"/>
  <c r="AP10" i="49"/>
  <c r="AP11" i="49"/>
  <c r="AP12" i="49"/>
  <c r="AP13" i="49"/>
  <c r="AP14" i="49"/>
  <c r="AP15" i="49"/>
  <c r="AP16" i="49"/>
  <c r="AP17" i="49"/>
  <c r="AP18" i="49"/>
  <c r="AP19" i="49"/>
  <c r="AP20" i="49"/>
  <c r="AP21" i="49"/>
  <c r="AP22" i="49"/>
  <c r="AP23" i="49"/>
  <c r="AP24" i="49"/>
  <c r="AP25" i="49"/>
  <c r="AP26" i="49"/>
  <c r="AP27" i="49"/>
  <c r="AP28" i="49"/>
  <c r="AP29" i="49"/>
  <c r="AP30" i="49"/>
  <c r="AP31" i="49"/>
  <c r="AP32" i="49"/>
  <c r="AP33" i="49"/>
  <c r="AP34" i="49"/>
  <c r="AP35" i="49"/>
  <c r="AP36" i="49"/>
  <c r="AP37" i="49"/>
  <c r="AP38" i="49"/>
  <c r="AP39" i="49"/>
  <c r="AP40" i="49"/>
  <c r="AP41" i="49"/>
  <c r="AP42" i="49"/>
  <c r="AP43" i="49"/>
  <c r="AP44" i="49"/>
  <c r="AP45" i="49"/>
  <c r="AP46" i="49"/>
  <c r="AP47" i="49"/>
  <c r="AP48" i="49"/>
  <c r="AP49" i="49"/>
  <c r="AP50" i="49"/>
  <c r="AP51" i="49"/>
  <c r="AP52" i="49"/>
  <c r="AP53" i="49"/>
  <c r="AP54" i="49"/>
  <c r="AP55" i="49"/>
  <c r="AP5" i="57"/>
  <c r="AP6" i="57"/>
  <c r="AP7" i="57"/>
  <c r="AP8" i="57"/>
  <c r="AP9" i="57"/>
  <c r="AP10" i="57"/>
  <c r="AP11" i="57"/>
  <c r="AP12" i="57"/>
  <c r="C3" i="66"/>
  <c r="C21" i="63"/>
  <c r="C3" i="63"/>
  <c r="C4" i="66"/>
  <c r="C22" i="63"/>
  <c r="C4" i="63"/>
  <c r="AZ7" i="49"/>
  <c r="AZ8" i="49"/>
  <c r="AZ9" i="49"/>
  <c r="AZ10" i="49"/>
  <c r="AZ11" i="49"/>
  <c r="AZ12" i="49"/>
  <c r="AZ13" i="49"/>
  <c r="AZ14" i="49"/>
  <c r="AZ15" i="49"/>
  <c r="AZ16" i="49"/>
  <c r="AZ17" i="49"/>
  <c r="AZ18" i="49"/>
  <c r="AZ19" i="49"/>
  <c r="AZ20" i="49"/>
  <c r="AZ21" i="49"/>
  <c r="AZ22" i="49"/>
  <c r="AZ23" i="49"/>
  <c r="AZ24" i="49"/>
  <c r="AZ25" i="49"/>
  <c r="AZ26" i="49"/>
  <c r="AZ27" i="49"/>
  <c r="AZ28" i="49"/>
  <c r="AZ29" i="49"/>
  <c r="AZ30" i="49"/>
  <c r="AZ31" i="49"/>
  <c r="AZ32" i="49"/>
  <c r="AZ33" i="49"/>
  <c r="AZ34" i="49"/>
  <c r="AZ35" i="49"/>
  <c r="AZ36" i="49"/>
  <c r="AZ37" i="49"/>
  <c r="AZ38" i="49"/>
  <c r="AZ39" i="49"/>
  <c r="AZ40" i="49"/>
  <c r="AZ41" i="49"/>
  <c r="AZ42" i="49"/>
  <c r="AZ43" i="49"/>
  <c r="AZ44" i="49"/>
  <c r="AZ45" i="49"/>
  <c r="AZ46" i="49"/>
  <c r="AZ47" i="49"/>
  <c r="AZ48" i="49"/>
  <c r="AZ49" i="49"/>
  <c r="AZ50" i="49"/>
  <c r="AZ51" i="49"/>
  <c r="AZ52" i="49"/>
  <c r="AZ53" i="49"/>
  <c r="AZ54" i="49"/>
  <c r="AZ55" i="49"/>
  <c r="AZ5" i="57"/>
  <c r="AZ6" i="57"/>
  <c r="AZ7" i="57"/>
  <c r="AZ8" i="57"/>
  <c r="AZ9" i="57"/>
  <c r="AZ10" i="57"/>
  <c r="AZ11" i="57"/>
  <c r="AZ12" i="57"/>
  <c r="AP13" i="57"/>
  <c r="AP14" i="57"/>
  <c r="AP15" i="57"/>
  <c r="AP16" i="57"/>
  <c r="AP19" i="57"/>
  <c r="AP20" i="57"/>
  <c r="AP21" i="57"/>
  <c r="AP22" i="57"/>
  <c r="AP23" i="57"/>
  <c r="AP24" i="57"/>
  <c r="AP25" i="57"/>
  <c r="AP26" i="57"/>
  <c r="AP27" i="57"/>
  <c r="AP28" i="57"/>
  <c r="AP29" i="57"/>
  <c r="AP30" i="57"/>
  <c r="AP31" i="57"/>
  <c r="AP32" i="57"/>
  <c r="AP33" i="57"/>
  <c r="AP34" i="57"/>
  <c r="AP35" i="57"/>
  <c r="AP36" i="57"/>
  <c r="AP37" i="57"/>
  <c r="AP38" i="57"/>
  <c r="AP39" i="57"/>
  <c r="AP40" i="57"/>
  <c r="AP41" i="57"/>
  <c r="AP42" i="57"/>
  <c r="AP45" i="57"/>
  <c r="AP46" i="57"/>
  <c r="AP47" i="57"/>
  <c r="AP48" i="57"/>
  <c r="AP49" i="57"/>
  <c r="AP50" i="57"/>
  <c r="AP51" i="57"/>
  <c r="AP52" i="57"/>
  <c r="AP53" i="57"/>
  <c r="AP54" i="57"/>
  <c r="AP55" i="57"/>
  <c r="AP56" i="57"/>
  <c r="C3" i="58"/>
  <c r="C4" i="58"/>
  <c r="C14" i="58"/>
  <c r="C15" i="58"/>
  <c r="AP59" i="49"/>
  <c r="AP60" i="49"/>
  <c r="AP61" i="49"/>
  <c r="AP62" i="49"/>
  <c r="C5" i="66"/>
  <c r="C23" i="63"/>
  <c r="C5" i="63"/>
  <c r="AQ6" i="60"/>
  <c r="AQ7" i="60"/>
  <c r="AQ8" i="60"/>
  <c r="AQ9" i="60"/>
  <c r="AQ10" i="60"/>
  <c r="AQ11" i="60"/>
  <c r="AQ12" i="60"/>
  <c r="AQ13" i="60"/>
  <c r="AQ14" i="60"/>
  <c r="AQ15" i="60"/>
  <c r="AQ16" i="60"/>
  <c r="AQ17" i="60"/>
  <c r="AQ18" i="60"/>
  <c r="AQ19" i="60"/>
  <c r="AQ20" i="60"/>
  <c r="AQ21" i="60"/>
  <c r="AQ22" i="60"/>
  <c r="AQ24" i="60"/>
  <c r="AQ25" i="60"/>
  <c r="AQ26" i="60"/>
  <c r="AQ27" i="60"/>
  <c r="AQ28" i="60"/>
  <c r="AQ29" i="60"/>
  <c r="AQ30" i="60"/>
  <c r="AQ31" i="60"/>
  <c r="AQ32" i="60"/>
  <c r="AQ33" i="60"/>
  <c r="AQ34" i="60"/>
  <c r="AQ35" i="60"/>
  <c r="AQ36" i="60"/>
  <c r="AQ37" i="60"/>
  <c r="AQ38" i="60"/>
  <c r="AQ39" i="60"/>
  <c r="AQ40" i="60"/>
  <c r="AQ41" i="60"/>
  <c r="AQ42" i="60"/>
  <c r="AQ43" i="60"/>
  <c r="AQ44" i="60"/>
  <c r="AQ45" i="60"/>
  <c r="AQ46" i="60"/>
  <c r="AQ47" i="60"/>
  <c r="AQ48" i="60"/>
  <c r="AQ49" i="60"/>
  <c r="AQ50" i="60"/>
  <c r="AQ51" i="60"/>
  <c r="AQ52" i="60"/>
  <c r="AQ53" i="60"/>
  <c r="AQ54" i="60"/>
  <c r="AQ55" i="60"/>
  <c r="AQ57" i="60"/>
  <c r="AQ59" i="60"/>
  <c r="AQ61" i="60"/>
  <c r="AP7" i="61"/>
  <c r="AP8" i="61"/>
  <c r="AP9" i="61"/>
  <c r="AP10" i="61"/>
  <c r="AP11" i="61"/>
  <c r="AP12" i="61"/>
  <c r="AP13" i="61"/>
  <c r="AP14" i="61"/>
  <c r="AP15" i="61"/>
  <c r="AP16" i="61"/>
  <c r="AP17" i="61"/>
  <c r="AP18" i="61"/>
  <c r="AP19" i="61"/>
  <c r="AP20" i="61"/>
  <c r="AP21" i="61"/>
  <c r="AP22" i="61"/>
  <c r="AP23" i="61"/>
  <c r="AP24" i="61"/>
  <c r="AP25" i="61"/>
  <c r="AP26" i="61"/>
  <c r="AP27" i="61"/>
  <c r="AP28" i="61"/>
  <c r="AP29" i="61"/>
  <c r="AP30" i="61"/>
  <c r="AP31" i="61"/>
  <c r="AP32" i="61"/>
  <c r="AP33" i="61"/>
  <c r="AP34" i="61"/>
  <c r="AP35" i="61"/>
  <c r="AP36" i="61"/>
  <c r="AP37" i="61"/>
  <c r="AP38" i="61"/>
  <c r="AP39" i="61"/>
  <c r="AP40" i="61"/>
  <c r="AP41" i="61"/>
  <c r="AP42" i="61"/>
  <c r="AP43" i="61"/>
  <c r="AP44" i="61"/>
  <c r="AP45" i="61"/>
  <c r="AP46" i="61"/>
  <c r="AP47" i="61"/>
  <c r="AP48" i="61"/>
  <c r="AP49" i="61"/>
  <c r="AP50" i="61"/>
  <c r="AP51" i="61"/>
  <c r="AP52" i="61"/>
  <c r="AP53" i="61"/>
  <c r="AP54" i="61"/>
  <c r="AP55" i="61"/>
  <c r="AP56" i="61"/>
  <c r="AP57" i="61"/>
  <c r="AP58" i="61"/>
  <c r="AP59" i="61"/>
  <c r="AP60" i="61"/>
  <c r="AP61" i="61"/>
  <c r="AP62" i="61"/>
  <c r="AP63" i="61"/>
  <c r="AP64" i="61"/>
  <c r="AP65" i="61"/>
  <c r="AP66" i="61"/>
  <c r="AP67" i="61"/>
  <c r="AP68" i="61"/>
  <c r="AQ56" i="60"/>
  <c r="AQ58" i="60"/>
  <c r="AQ60" i="60"/>
  <c r="AQ62" i="60"/>
  <c r="AQ6" i="64"/>
  <c r="AQ7" i="64"/>
  <c r="AQ8" i="64"/>
  <c r="AQ9" i="64"/>
  <c r="AQ10" i="64"/>
  <c r="AQ11" i="64"/>
  <c r="AQ12" i="64"/>
  <c r="AQ13" i="64"/>
  <c r="AQ14" i="64"/>
  <c r="AQ15" i="64"/>
  <c r="AQ16" i="64"/>
  <c r="AQ17" i="64"/>
  <c r="AQ18" i="64"/>
  <c r="AQ19" i="64"/>
  <c r="AQ20" i="64"/>
  <c r="AQ21" i="64"/>
  <c r="AQ22" i="64"/>
  <c r="AQ23" i="64"/>
  <c r="AQ24" i="64"/>
  <c r="AQ25" i="64"/>
  <c r="AQ26" i="64"/>
  <c r="AQ27" i="64"/>
  <c r="AQ28" i="64"/>
  <c r="AQ29" i="64"/>
  <c r="AQ30" i="64"/>
  <c r="AQ31" i="64"/>
  <c r="AQ32" i="64"/>
  <c r="AQ33" i="64"/>
  <c r="AQ34" i="64"/>
  <c r="AQ35" i="64"/>
  <c r="AQ36" i="64"/>
  <c r="AQ37" i="64"/>
  <c r="AQ38" i="64"/>
  <c r="AQ39" i="64"/>
  <c r="AQ40" i="64"/>
  <c r="AQ41" i="64"/>
  <c r="AQ42" i="64"/>
  <c r="AQ43" i="64"/>
  <c r="AQ44" i="64"/>
  <c r="AQ45" i="64"/>
  <c r="AQ46" i="64"/>
  <c r="AQ47" i="64"/>
  <c r="AQ48" i="64"/>
  <c r="AQ49" i="64"/>
  <c r="AQ50" i="64"/>
  <c r="AQ51" i="64"/>
  <c r="AQ52" i="64"/>
  <c r="AQ53" i="64"/>
  <c r="AQ54" i="64"/>
  <c r="AQ55" i="64"/>
  <c r="AQ56" i="64"/>
  <c r="AQ57" i="64"/>
  <c r="AQ58" i="64"/>
  <c r="AQ59" i="64"/>
  <c r="AQ60" i="64"/>
  <c r="AQ61" i="64"/>
  <c r="AQ62" i="64"/>
  <c r="AQ63" i="64"/>
  <c r="AQ64" i="64"/>
  <c r="AQ66" i="64"/>
  <c r="C23" i="66"/>
  <c r="C24" i="66"/>
  <c r="C25" i="66"/>
  <c r="AQ8" i="65"/>
  <c r="AQ10" i="65"/>
  <c r="AQ12" i="65"/>
  <c r="AQ14" i="65"/>
  <c r="AQ16" i="65"/>
  <c r="AQ18" i="65"/>
  <c r="AQ20" i="65"/>
  <c r="AQ22" i="65"/>
  <c r="AQ24" i="65"/>
  <c r="AQ26" i="65"/>
  <c r="AQ28" i="65"/>
  <c r="AQ30" i="65"/>
  <c r="AQ32" i="65"/>
  <c r="AQ34" i="65"/>
  <c r="AQ36" i="65"/>
  <c r="AQ38" i="65"/>
  <c r="AQ40" i="65"/>
  <c r="AQ42" i="65"/>
  <c r="AQ44" i="65"/>
  <c r="AQ46" i="65"/>
  <c r="AQ48" i="65"/>
  <c r="AQ50" i="65"/>
  <c r="AQ52" i="65"/>
  <c r="AQ54" i="65"/>
  <c r="AQ56" i="65"/>
  <c r="AQ58" i="65"/>
  <c r="AQ60" i="65"/>
  <c r="AQ62" i="65"/>
  <c r="AQ64" i="65"/>
  <c r="AQ66" i="65"/>
  <c r="AQ6" i="65"/>
  <c r="B6" i="66"/>
  <c r="C2" i="66"/>
  <c r="C6" i="66" s="1"/>
  <c r="C11" i="66" s="1"/>
  <c r="C22" i="66"/>
  <c r="C26" i="66" s="1"/>
  <c r="C27" i="66" s="1"/>
  <c r="BB6" i="65"/>
  <c r="BA6" i="65"/>
  <c r="BB6" i="64"/>
  <c r="BA6" i="64"/>
  <c r="BB7" i="64"/>
  <c r="BA7" i="64"/>
  <c r="BB8" i="64"/>
  <c r="BA8" i="64"/>
  <c r="BB9" i="64"/>
  <c r="BA9" i="64"/>
  <c r="BB10" i="64"/>
  <c r="BA10" i="64"/>
  <c r="BB11" i="64"/>
  <c r="BA11" i="64"/>
  <c r="BB12" i="64"/>
  <c r="BA12" i="64"/>
  <c r="BB13" i="64"/>
  <c r="BA13" i="64"/>
  <c r="BB14" i="64"/>
  <c r="BA14" i="64"/>
  <c r="BB15" i="64"/>
  <c r="BA15" i="64"/>
  <c r="BB16" i="64"/>
  <c r="BA16" i="64"/>
  <c r="BB17" i="64"/>
  <c r="BA17" i="64"/>
  <c r="BB18" i="64"/>
  <c r="BA18" i="64"/>
  <c r="BB19" i="64"/>
  <c r="BA19" i="64"/>
  <c r="BB20" i="64"/>
  <c r="BA20" i="64"/>
  <c r="BB21" i="64"/>
  <c r="BA21" i="64"/>
  <c r="BB22" i="64"/>
  <c r="BA22" i="64"/>
  <c r="BB23" i="64"/>
  <c r="BA23" i="64"/>
  <c r="BB24" i="64"/>
  <c r="BA24" i="64"/>
  <c r="BB25" i="64"/>
  <c r="BA25" i="64"/>
  <c r="BB26" i="64"/>
  <c r="BA26" i="64"/>
  <c r="BB27" i="64"/>
  <c r="BA27" i="64"/>
  <c r="BB28" i="64"/>
  <c r="BA28" i="64"/>
  <c r="BB29" i="64"/>
  <c r="BA29" i="64"/>
  <c r="BB30" i="64"/>
  <c r="BA30" i="64"/>
  <c r="BB31" i="64"/>
  <c r="BA31" i="64"/>
  <c r="BB32" i="64"/>
  <c r="BA32" i="64"/>
  <c r="BB33" i="64"/>
  <c r="BA33" i="64"/>
  <c r="BB34" i="64"/>
  <c r="BA34" i="64"/>
  <c r="BB35" i="64"/>
  <c r="BA35" i="64"/>
  <c r="BB36" i="64"/>
  <c r="BA36" i="64"/>
  <c r="BB37" i="64"/>
  <c r="BA37" i="64"/>
  <c r="BB38" i="64"/>
  <c r="BA38" i="64"/>
  <c r="BB39" i="64"/>
  <c r="BA39" i="64"/>
  <c r="BB40" i="64"/>
  <c r="BA40" i="64"/>
  <c r="BB41" i="64"/>
  <c r="BA41" i="64"/>
  <c r="BB42" i="64"/>
  <c r="BA42" i="64"/>
  <c r="BB43" i="64"/>
  <c r="BA43" i="64"/>
  <c r="BB44" i="64"/>
  <c r="BA44" i="64"/>
  <c r="BB45" i="64"/>
  <c r="BA45" i="64"/>
  <c r="BB46" i="64"/>
  <c r="BA46" i="64"/>
  <c r="BB47" i="64"/>
  <c r="BA47" i="64"/>
  <c r="BB48" i="64"/>
  <c r="BA48" i="64"/>
  <c r="BB49" i="64"/>
  <c r="BA49" i="64"/>
  <c r="BB50" i="64"/>
  <c r="BA50" i="64"/>
  <c r="BB51" i="64"/>
  <c r="BA51" i="64"/>
  <c r="BB52" i="64"/>
  <c r="BA52" i="64"/>
  <c r="BB53" i="64"/>
  <c r="BA53" i="64"/>
  <c r="BB54" i="64"/>
  <c r="BA54" i="64"/>
  <c r="BB55" i="64"/>
  <c r="BA55" i="64"/>
  <c r="BB56" i="64"/>
  <c r="BA56" i="64"/>
  <c r="BB57" i="64"/>
  <c r="BA57" i="64"/>
  <c r="BB58" i="64"/>
  <c r="BA58" i="64"/>
  <c r="BB59" i="64"/>
  <c r="BA59" i="64"/>
  <c r="BB60" i="64"/>
  <c r="BA60" i="64"/>
  <c r="BB61" i="64"/>
  <c r="BA61" i="64"/>
  <c r="BB62" i="64"/>
  <c r="BA62" i="64"/>
  <c r="BB63" i="64"/>
  <c r="BA63" i="64"/>
  <c r="BB64" i="64"/>
  <c r="BA64" i="64"/>
  <c r="BB66" i="64"/>
  <c r="BA66" i="64"/>
  <c r="BB62" i="60"/>
  <c r="BA62" i="60"/>
  <c r="BB60" i="60"/>
  <c r="BA60" i="60"/>
  <c r="BB58" i="60"/>
  <c r="BA58" i="60"/>
  <c r="BB56" i="60"/>
  <c r="BA56" i="60"/>
  <c r="AP6" i="61"/>
  <c r="AZ67" i="61"/>
  <c r="AY67" i="61"/>
  <c r="AZ68" i="61"/>
  <c r="AY68" i="61"/>
  <c r="AZ65" i="61"/>
  <c r="AY65" i="61"/>
  <c r="AZ66" i="61"/>
  <c r="AY66" i="61"/>
  <c r="AZ63" i="61"/>
  <c r="AY63" i="61"/>
  <c r="AZ64" i="61"/>
  <c r="AY64" i="61"/>
  <c r="AZ61" i="61"/>
  <c r="AY61" i="61"/>
  <c r="AZ62" i="61"/>
  <c r="AY62" i="61"/>
  <c r="AZ59" i="61"/>
  <c r="AY59" i="61"/>
  <c r="AZ60" i="61"/>
  <c r="BB60" i="61" s="1"/>
  <c r="AY60" i="61"/>
  <c r="AZ57" i="61"/>
  <c r="AY57" i="61"/>
  <c r="AZ58" i="61"/>
  <c r="AY58" i="61"/>
  <c r="AZ56" i="61"/>
  <c r="AY56" i="61"/>
  <c r="AZ6" i="61"/>
  <c r="AY6" i="61"/>
  <c r="AZ7" i="61"/>
  <c r="AY7" i="61"/>
  <c r="AZ8" i="61"/>
  <c r="AY8" i="61"/>
  <c r="AZ9" i="61"/>
  <c r="AY9" i="61"/>
  <c r="AZ10" i="61"/>
  <c r="AY10" i="61"/>
  <c r="AZ11" i="61"/>
  <c r="AY11" i="61"/>
  <c r="AZ12" i="61"/>
  <c r="AY12" i="61"/>
  <c r="AZ13" i="61"/>
  <c r="AY13" i="61"/>
  <c r="AZ14" i="61"/>
  <c r="AY14" i="61"/>
  <c r="AZ15" i="61"/>
  <c r="AY15" i="61"/>
  <c r="AZ16" i="61"/>
  <c r="AY16" i="61"/>
  <c r="AZ17" i="61"/>
  <c r="AY17" i="61"/>
  <c r="AZ18" i="61"/>
  <c r="AY18" i="61"/>
  <c r="AZ19" i="61"/>
  <c r="AY19" i="61"/>
  <c r="AZ20" i="61"/>
  <c r="AY20" i="61"/>
  <c r="AZ21" i="61"/>
  <c r="AY21" i="61"/>
  <c r="AZ22" i="61"/>
  <c r="BB22" i="61" s="1"/>
  <c r="AY22" i="61"/>
  <c r="AZ23" i="61"/>
  <c r="AY23" i="61"/>
  <c r="AZ24" i="61"/>
  <c r="BB24" i="61" s="1"/>
  <c r="AY24" i="61"/>
  <c r="AZ25" i="61"/>
  <c r="AY25" i="61"/>
  <c r="AZ26" i="61"/>
  <c r="AY26" i="61"/>
  <c r="AZ27" i="61"/>
  <c r="AY27" i="61"/>
  <c r="AZ28" i="61"/>
  <c r="AY28" i="61"/>
  <c r="AZ29" i="61"/>
  <c r="AY29" i="61"/>
  <c r="AZ30" i="61"/>
  <c r="AY30" i="61"/>
  <c r="AZ31" i="61"/>
  <c r="AY31" i="61"/>
  <c r="AZ32" i="61"/>
  <c r="AY32" i="61"/>
  <c r="AZ33" i="61"/>
  <c r="AY33" i="61"/>
  <c r="AZ34" i="61"/>
  <c r="AY34" i="61"/>
  <c r="AZ35" i="61"/>
  <c r="AY35" i="61"/>
  <c r="AZ36" i="61"/>
  <c r="AY36" i="61"/>
  <c r="AZ37" i="61"/>
  <c r="AY37" i="61"/>
  <c r="AZ38" i="61"/>
  <c r="AY38" i="61"/>
  <c r="AZ39" i="61"/>
  <c r="AY39" i="61"/>
  <c r="AZ40" i="61"/>
  <c r="AY40" i="61"/>
  <c r="AZ41" i="61"/>
  <c r="AY41" i="61"/>
  <c r="AZ42" i="61"/>
  <c r="BB42" i="61" s="1"/>
  <c r="AY42" i="61"/>
  <c r="AZ43" i="61"/>
  <c r="AY43" i="61"/>
  <c r="AZ44" i="61"/>
  <c r="AY44" i="61"/>
  <c r="AZ45" i="61"/>
  <c r="AY45" i="61"/>
  <c r="AZ46" i="61"/>
  <c r="AY46" i="61"/>
  <c r="AZ47" i="61"/>
  <c r="AY47" i="61"/>
  <c r="AZ48" i="61"/>
  <c r="AY48" i="61"/>
  <c r="AZ49" i="61"/>
  <c r="AY49" i="61"/>
  <c r="AZ50" i="61"/>
  <c r="AY50" i="61"/>
  <c r="AZ51" i="61"/>
  <c r="AY51" i="61"/>
  <c r="AZ52" i="61"/>
  <c r="AY52" i="61"/>
  <c r="AZ53" i="61"/>
  <c r="AY53" i="61"/>
  <c r="AZ54" i="61"/>
  <c r="AY54" i="61"/>
  <c r="AZ55" i="61"/>
  <c r="AY55" i="61"/>
  <c r="B6" i="63"/>
  <c r="AT12" i="64" s="1"/>
  <c r="C2" i="63"/>
  <c r="C6" i="63" s="1"/>
  <c r="B24" i="63"/>
  <c r="C20" i="63"/>
  <c r="C24" i="63" s="1"/>
  <c r="C25" i="63" s="1"/>
  <c r="AQ23" i="60"/>
  <c r="AX63" i="49"/>
  <c r="AW63" i="49"/>
  <c r="AV63" i="49"/>
  <c r="AU63" i="49"/>
  <c r="AT63" i="49"/>
  <c r="AV63" i="60"/>
  <c r="BB6" i="60"/>
  <c r="BA6" i="60"/>
  <c r="BB7" i="60"/>
  <c r="BA7" i="60"/>
  <c r="BB8" i="60"/>
  <c r="BA8" i="60"/>
  <c r="BB9" i="60"/>
  <c r="BA9" i="60"/>
  <c r="BB10" i="60"/>
  <c r="BA10" i="60"/>
  <c r="BB11" i="60"/>
  <c r="BA11" i="60"/>
  <c r="BB12" i="60"/>
  <c r="BA12" i="60"/>
  <c r="BB13" i="60"/>
  <c r="BA13" i="60"/>
  <c r="BB14" i="60"/>
  <c r="BA14" i="60"/>
  <c r="BB15" i="60"/>
  <c r="BA15" i="60"/>
  <c r="BB16" i="60"/>
  <c r="BA16" i="60"/>
  <c r="BB17" i="60"/>
  <c r="BA17" i="60"/>
  <c r="BB18" i="60"/>
  <c r="BA18" i="60"/>
  <c r="BB19" i="60"/>
  <c r="BA19" i="60"/>
  <c r="BB20" i="60"/>
  <c r="BA20" i="60"/>
  <c r="BB21" i="60"/>
  <c r="BA21" i="60"/>
  <c r="BB22" i="60"/>
  <c r="BA22" i="60"/>
  <c r="BB23" i="60"/>
  <c r="BA23" i="60"/>
  <c r="BB24" i="60"/>
  <c r="BA24" i="60"/>
  <c r="BB25" i="60"/>
  <c r="BA25" i="60"/>
  <c r="BB26" i="60"/>
  <c r="BA26" i="60"/>
  <c r="BB27" i="60"/>
  <c r="BA27" i="60"/>
  <c r="BB28" i="60"/>
  <c r="BA28" i="60"/>
  <c r="BB29" i="60"/>
  <c r="BA29" i="60"/>
  <c r="BB30" i="60"/>
  <c r="BA30" i="60"/>
  <c r="BB31" i="60"/>
  <c r="BA31" i="60"/>
  <c r="BB32" i="60"/>
  <c r="BA32" i="60"/>
  <c r="BB33" i="60"/>
  <c r="BA33" i="60"/>
  <c r="BB34" i="60"/>
  <c r="BA34" i="60"/>
  <c r="BB35" i="60"/>
  <c r="BA35" i="60"/>
  <c r="BB36" i="60"/>
  <c r="BA36" i="60"/>
  <c r="BB37" i="60"/>
  <c r="BA37" i="60"/>
  <c r="BB38" i="60"/>
  <c r="BA38" i="60"/>
  <c r="BB39" i="60"/>
  <c r="BA39" i="60"/>
  <c r="BB40" i="60"/>
  <c r="BA40" i="60"/>
  <c r="BB41" i="60"/>
  <c r="BA41" i="60"/>
  <c r="BB42" i="60"/>
  <c r="BA42" i="60"/>
  <c r="BB43" i="60"/>
  <c r="BA43" i="60"/>
  <c r="BB44" i="60"/>
  <c r="BA44" i="60"/>
  <c r="BB45" i="60"/>
  <c r="BA45" i="60"/>
  <c r="BB46" i="60"/>
  <c r="BA46" i="60"/>
  <c r="BB47" i="60"/>
  <c r="BA47" i="60"/>
  <c r="BB48" i="60"/>
  <c r="BA48" i="60"/>
  <c r="BB49" i="60"/>
  <c r="BA49" i="60"/>
  <c r="BB50" i="60"/>
  <c r="BA50" i="60"/>
  <c r="BB51" i="60"/>
  <c r="BA51" i="60"/>
  <c r="BB52" i="60"/>
  <c r="BA52" i="60"/>
  <c r="BB53" i="60"/>
  <c r="BA53" i="60"/>
  <c r="BB54" i="60"/>
  <c r="BA54" i="60"/>
  <c r="BB55" i="60"/>
  <c r="BA55" i="60"/>
  <c r="BD56" i="60"/>
  <c r="F6" i="48" s="1"/>
  <c r="BB57" i="60"/>
  <c r="BA57" i="60"/>
  <c r="BB59" i="60"/>
  <c r="BA59" i="60"/>
  <c r="BB61" i="60"/>
  <c r="BA61" i="60"/>
  <c r="AZ61" i="49"/>
  <c r="AY61" i="49"/>
  <c r="AZ62" i="49"/>
  <c r="AY62" i="49"/>
  <c r="AZ59" i="49"/>
  <c r="AY59" i="49"/>
  <c r="AZ60" i="49"/>
  <c r="BB60" i="49" s="1"/>
  <c r="AY60" i="49"/>
  <c r="B6" i="58"/>
  <c r="B7" i="58" s="1"/>
  <c r="C2" i="58"/>
  <c r="C6" i="58" s="1"/>
  <c r="C7" i="58" s="1"/>
  <c r="B17" i="58"/>
  <c r="B18" i="58" s="1"/>
  <c r="C13" i="58"/>
  <c r="C17" i="58" s="1"/>
  <c r="C18" i="58" s="1"/>
  <c r="AI57" i="57"/>
  <c r="AJ57" i="57"/>
  <c r="AZ13" i="57"/>
  <c r="AY13" i="57"/>
  <c r="AZ14" i="57"/>
  <c r="AY14" i="57"/>
  <c r="AZ15" i="57"/>
  <c r="AY15" i="57"/>
  <c r="AZ16" i="57"/>
  <c r="AY16" i="57"/>
  <c r="AZ19" i="57"/>
  <c r="AY19" i="57"/>
  <c r="AZ20" i="57"/>
  <c r="AY20" i="57"/>
  <c r="AZ21" i="57"/>
  <c r="AY21" i="57"/>
  <c r="AZ22" i="57"/>
  <c r="AY22" i="57"/>
  <c r="AZ23" i="57"/>
  <c r="AY23" i="57"/>
  <c r="AZ24" i="57"/>
  <c r="AY24" i="57"/>
  <c r="AZ25" i="57"/>
  <c r="AY25" i="57"/>
  <c r="AZ26" i="57"/>
  <c r="AY26" i="57"/>
  <c r="AZ27" i="57"/>
  <c r="AY27" i="57"/>
  <c r="AZ28" i="57"/>
  <c r="AY28" i="57"/>
  <c r="AZ29" i="57"/>
  <c r="AY29" i="57"/>
  <c r="AZ30" i="57"/>
  <c r="AY30" i="57"/>
  <c r="AZ31" i="57"/>
  <c r="AY31" i="57"/>
  <c r="AZ32" i="57"/>
  <c r="AY32" i="57"/>
  <c r="AZ33" i="57"/>
  <c r="AY33" i="57"/>
  <c r="AZ34" i="57"/>
  <c r="AY34" i="57"/>
  <c r="AZ35" i="57"/>
  <c r="AY35" i="57"/>
  <c r="AZ36" i="57"/>
  <c r="AY36" i="57"/>
  <c r="AZ37" i="57"/>
  <c r="AY37" i="57"/>
  <c r="AZ38" i="57"/>
  <c r="AY38" i="57"/>
  <c r="AZ39" i="57"/>
  <c r="AY39" i="57"/>
  <c r="AZ40" i="57"/>
  <c r="AY40" i="57"/>
  <c r="AZ41" i="57"/>
  <c r="AY41" i="57"/>
  <c r="AZ42" i="57"/>
  <c r="AY42" i="57"/>
  <c r="AZ45" i="57"/>
  <c r="AY45" i="57"/>
  <c r="AZ46" i="57"/>
  <c r="AY46" i="57"/>
  <c r="AZ47" i="57"/>
  <c r="AY47" i="57"/>
  <c r="AZ48" i="57"/>
  <c r="AY48" i="57"/>
  <c r="AZ49" i="57"/>
  <c r="AY49" i="57"/>
  <c r="AZ50" i="57"/>
  <c r="AY50" i="57"/>
  <c r="AZ51" i="57"/>
  <c r="AY51" i="57"/>
  <c r="AZ52" i="57"/>
  <c r="AY52" i="57"/>
  <c r="AZ53" i="57"/>
  <c r="AY53" i="57"/>
  <c r="AZ54" i="57"/>
  <c r="BB54" i="57" s="1"/>
  <c r="AY54" i="57"/>
  <c r="AZ55" i="57"/>
  <c r="AY55" i="57"/>
  <c r="AZ56" i="57"/>
  <c r="BB56" i="57" s="1"/>
  <c r="AY56" i="57"/>
  <c r="AZ6" i="49"/>
  <c r="AZ57" i="49"/>
  <c r="AY57" i="49"/>
  <c r="AZ56" i="49"/>
  <c r="BB56" i="49" s="1"/>
  <c r="AY56" i="49"/>
  <c r="AZ58" i="49"/>
  <c r="BB58" i="49" s="1"/>
  <c r="AY6" i="49"/>
  <c r="AY58" i="49"/>
  <c r="AY63" i="49" s="1"/>
  <c r="AP56" i="49"/>
  <c r="AP57" i="49"/>
  <c r="AP58" i="49"/>
  <c r="AP6" i="49"/>
  <c r="AJ68" i="36"/>
  <c r="AJ61" i="36"/>
  <c r="AJ45" i="36"/>
  <c r="AJ42" i="36"/>
  <c r="AJ57" i="36"/>
  <c r="AJ52" i="36"/>
  <c r="AJ41" i="36"/>
  <c r="AJ36" i="36"/>
  <c r="AJ53" i="36"/>
  <c r="AJ58" i="36"/>
  <c r="AJ66" i="36"/>
  <c r="AJ65" i="36"/>
  <c r="AJ64" i="36"/>
  <c r="AJ60" i="36"/>
  <c r="AJ59" i="36"/>
  <c r="AJ56" i="36"/>
  <c r="AJ55" i="36"/>
  <c r="AJ54" i="36"/>
  <c r="AJ51" i="36"/>
  <c r="AJ50" i="36"/>
  <c r="AJ49" i="36"/>
  <c r="AJ48" i="36"/>
  <c r="AJ47" i="36"/>
  <c r="AJ46" i="36"/>
  <c r="AJ44" i="36"/>
  <c r="AJ43" i="36"/>
  <c r="AJ40" i="36"/>
  <c r="AJ38" i="36"/>
  <c r="AJ37" i="36"/>
  <c r="AJ28" i="36"/>
  <c r="AJ35" i="36"/>
  <c r="AJ34" i="36"/>
  <c r="AJ33" i="36"/>
  <c r="AJ32" i="36"/>
  <c r="AJ31" i="36"/>
  <c r="AJ30" i="36"/>
  <c r="AJ29" i="36"/>
  <c r="AJ39" i="36"/>
  <c r="AJ67" i="36"/>
  <c r="AJ62" i="36"/>
  <c r="AJ63" i="36"/>
  <c r="AJ69" i="36"/>
  <c r="I32" i="8"/>
  <c r="E32" i="8" s="1"/>
  <c r="F101" i="5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M95" i="18"/>
  <c r="L95" i="18"/>
  <c r="K95" i="18"/>
  <c r="J95" i="18"/>
  <c r="I95" i="18"/>
  <c r="H95" i="18"/>
  <c r="G95" i="18"/>
  <c r="F95" i="18"/>
  <c r="E95" i="18"/>
  <c r="D95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E101" i="5"/>
  <c r="D102" i="5"/>
  <c r="D103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L103" i="5"/>
  <c r="K103" i="5"/>
  <c r="J103" i="5"/>
  <c r="I103" i="5"/>
  <c r="H103" i="5"/>
  <c r="G103" i="5"/>
  <c r="F103" i="5"/>
  <c r="E103" i="5"/>
  <c r="E25" i="8"/>
  <c r="E26" i="8"/>
  <c r="BB63" i="79" l="1"/>
  <c r="BD54" i="79"/>
  <c r="J30" i="48" s="1"/>
  <c r="BD36" i="79"/>
  <c r="J21" i="48" s="1"/>
  <c r="BD22" i="79"/>
  <c r="BD12" i="79"/>
  <c r="B30" i="80"/>
  <c r="B27" i="80"/>
  <c r="C11" i="80"/>
  <c r="C7" i="80"/>
  <c r="C22" i="78"/>
  <c r="C26" i="78" s="1"/>
  <c r="C27" i="78" s="1"/>
  <c r="B26" i="78"/>
  <c r="X4" i="77"/>
  <c r="X48" i="77"/>
  <c r="BD58" i="76"/>
  <c r="AS58" i="76"/>
  <c r="BD40" i="76"/>
  <c r="AS40" i="76"/>
  <c r="BD24" i="76"/>
  <c r="AS24" i="76"/>
  <c r="BD22" i="76"/>
  <c r="AS22" i="76"/>
  <c r="BD12" i="76"/>
  <c r="AS12" i="76"/>
  <c r="BA67" i="76"/>
  <c r="BB67" i="76"/>
  <c r="BD58" i="74"/>
  <c r="I30" i="48" s="1"/>
  <c r="AS58" i="74"/>
  <c r="BD40" i="74"/>
  <c r="I21" i="48" s="1"/>
  <c r="AS40" i="74"/>
  <c r="BD24" i="74"/>
  <c r="I12" i="48" s="1"/>
  <c r="U12" i="48" s="1"/>
  <c r="AS24" i="74"/>
  <c r="BD22" i="74"/>
  <c r="I11" i="48" s="1"/>
  <c r="U11" i="48" s="1"/>
  <c r="AS22" i="74"/>
  <c r="BD12" i="74"/>
  <c r="I6" i="48" s="1"/>
  <c r="U6" i="48" s="1"/>
  <c r="AS12" i="74"/>
  <c r="BA67" i="74"/>
  <c r="BB67" i="74"/>
  <c r="C7" i="63"/>
  <c r="C11" i="63"/>
  <c r="BA67" i="64"/>
  <c r="X4" i="73"/>
  <c r="X48" i="73" s="1"/>
  <c r="AT12" i="65"/>
  <c r="BD12" i="65" s="1"/>
  <c r="AT12" i="72"/>
  <c r="AT22" i="72"/>
  <c r="AT24" i="72"/>
  <c r="AT40" i="72"/>
  <c r="AT58" i="72"/>
  <c r="BD58" i="72"/>
  <c r="H30" i="48" s="1"/>
  <c r="AS58" i="72"/>
  <c r="BD40" i="72"/>
  <c r="H21" i="48" s="1"/>
  <c r="AS40" i="72"/>
  <c r="BD24" i="72"/>
  <c r="H12" i="48" s="1"/>
  <c r="AS24" i="72"/>
  <c r="BD22" i="72"/>
  <c r="H11" i="48" s="1"/>
  <c r="AS22" i="72"/>
  <c r="BD12" i="72"/>
  <c r="H6" i="48" s="1"/>
  <c r="AS12" i="72"/>
  <c r="BA67" i="72"/>
  <c r="BB67" i="72"/>
  <c r="BA67" i="65"/>
  <c r="BB67" i="65"/>
  <c r="BA63" i="60"/>
  <c r="BB63" i="60"/>
  <c r="BB67" i="64"/>
  <c r="AT18" i="60"/>
  <c r="AT57" i="60"/>
  <c r="AS57" i="60" s="1"/>
  <c r="AT58" i="60"/>
  <c r="AT59" i="60"/>
  <c r="AS59" i="60" s="1"/>
  <c r="AT60" i="60"/>
  <c r="AT61" i="60"/>
  <c r="AS61" i="60" s="1"/>
  <c r="AT62" i="60"/>
  <c r="AS62" i="60" s="1"/>
  <c r="AT22" i="65"/>
  <c r="BD22" i="65" s="1"/>
  <c r="AS12" i="64"/>
  <c r="AT22" i="64"/>
  <c r="AS22" i="64" s="1"/>
  <c r="AT24" i="64"/>
  <c r="AS24" i="64" s="1"/>
  <c r="AT40" i="64"/>
  <c r="AT58" i="64"/>
  <c r="AS58" i="64" s="1"/>
  <c r="AS12" i="65"/>
  <c r="AT24" i="65"/>
  <c r="C6" i="68"/>
  <c r="BB65" i="69"/>
  <c r="C6" i="70"/>
  <c r="AQ65" i="69"/>
  <c r="AS64" i="69"/>
  <c r="BD64" i="69"/>
  <c r="E30" i="48" s="1"/>
  <c r="AS62" i="69"/>
  <c r="BD62" i="69"/>
  <c r="AS60" i="69"/>
  <c r="BD60" i="69"/>
  <c r="E11" i="48" s="1"/>
  <c r="AS58" i="69"/>
  <c r="BD58" i="69"/>
  <c r="E6" i="48" s="1"/>
  <c r="AS18" i="69"/>
  <c r="BD18" i="69"/>
  <c r="B29" i="68"/>
  <c r="B26" i="68"/>
  <c r="C10" i="68"/>
  <c r="C7" i="68"/>
  <c r="AO71" i="64"/>
  <c r="B28" i="63"/>
  <c r="B7" i="63"/>
  <c r="AS40" i="64"/>
  <c r="BD58" i="64"/>
  <c r="G30" i="48" s="1"/>
  <c r="BD40" i="64"/>
  <c r="G21" i="48" s="1"/>
  <c r="BD24" i="64"/>
  <c r="G12" i="48" s="1"/>
  <c r="BD22" i="64"/>
  <c r="G11" i="48" s="1"/>
  <c r="AT58" i="65"/>
  <c r="AS22" i="65"/>
  <c r="B7" i="66"/>
  <c r="AT40" i="65"/>
  <c r="B27" i="66"/>
  <c r="B30" i="66"/>
  <c r="C7" i="66"/>
  <c r="BD12" i="64"/>
  <c r="G6" i="48" s="1"/>
  <c r="B25" i="63"/>
  <c r="AQ7" i="61"/>
  <c r="AR7" i="61" s="1"/>
  <c r="AQ8" i="61"/>
  <c r="AR8" i="61" s="1"/>
  <c r="AQ9" i="61"/>
  <c r="AR9" i="61" s="1"/>
  <c r="AQ10" i="61"/>
  <c r="AR10" i="61" s="1"/>
  <c r="AQ11" i="61"/>
  <c r="AR11" i="61" s="1"/>
  <c r="AQ12" i="61"/>
  <c r="AQ13" i="61"/>
  <c r="AR13" i="61" s="1"/>
  <c r="AQ14" i="61"/>
  <c r="AR14" i="61" s="1"/>
  <c r="AQ15" i="61"/>
  <c r="AR15" i="61" s="1"/>
  <c r="AQ16" i="61"/>
  <c r="AR16" i="61" s="1"/>
  <c r="AQ17" i="61"/>
  <c r="AR17" i="61" s="1"/>
  <c r="AQ18" i="61"/>
  <c r="AR18" i="61" s="1"/>
  <c r="AQ19" i="61"/>
  <c r="AR19" i="61" s="1"/>
  <c r="AQ20" i="61"/>
  <c r="AR20" i="61" s="1"/>
  <c r="AQ21" i="61"/>
  <c r="AR21" i="61" s="1"/>
  <c r="AQ22" i="61"/>
  <c r="AQ23" i="61"/>
  <c r="AR23" i="61" s="1"/>
  <c r="AQ24" i="61"/>
  <c r="AQ25" i="61"/>
  <c r="AR25" i="61" s="1"/>
  <c r="AQ26" i="61"/>
  <c r="AR26" i="61" s="1"/>
  <c r="AQ27" i="61"/>
  <c r="AR27" i="61" s="1"/>
  <c r="AQ28" i="61"/>
  <c r="AR28" i="61" s="1"/>
  <c r="AQ29" i="61"/>
  <c r="AR29" i="61" s="1"/>
  <c r="AQ30" i="61"/>
  <c r="AR30" i="61" s="1"/>
  <c r="AQ32" i="61"/>
  <c r="AR32" i="61" s="1"/>
  <c r="AQ33" i="61"/>
  <c r="AR33" i="61" s="1"/>
  <c r="AQ34" i="61"/>
  <c r="AR34" i="61" s="1"/>
  <c r="AQ35" i="61"/>
  <c r="AR35" i="61" s="1"/>
  <c r="AQ36" i="61"/>
  <c r="AR36" i="61" s="1"/>
  <c r="AQ37" i="61"/>
  <c r="AR37" i="61" s="1"/>
  <c r="AQ38" i="61"/>
  <c r="AR38" i="61" s="1"/>
  <c r="AQ39" i="61"/>
  <c r="AR39" i="61" s="1"/>
  <c r="AQ40" i="61"/>
  <c r="AR40" i="61" s="1"/>
  <c r="AQ41" i="61"/>
  <c r="AR41" i="61" s="1"/>
  <c r="AQ42" i="61"/>
  <c r="AQ43" i="61"/>
  <c r="AR43" i="61" s="1"/>
  <c r="AQ44" i="61"/>
  <c r="AR44" i="61" s="1"/>
  <c r="AQ45" i="61"/>
  <c r="AR45" i="61" s="1"/>
  <c r="AQ46" i="61"/>
  <c r="AR46" i="61" s="1"/>
  <c r="AQ47" i="61"/>
  <c r="AR47" i="61" s="1"/>
  <c r="AQ48" i="61"/>
  <c r="AR48" i="61" s="1"/>
  <c r="AQ49" i="61"/>
  <c r="AR49" i="61" s="1"/>
  <c r="AQ50" i="61"/>
  <c r="AR50" i="61" s="1"/>
  <c r="AQ51" i="61"/>
  <c r="AR51" i="61" s="1"/>
  <c r="AQ52" i="61"/>
  <c r="AR52" i="61" s="1"/>
  <c r="AQ53" i="61"/>
  <c r="AR53" i="61" s="1"/>
  <c r="AQ54" i="61"/>
  <c r="AR54" i="61" s="1"/>
  <c r="AQ55" i="61"/>
  <c r="AR55" i="61" s="1"/>
  <c r="AQ56" i="61"/>
  <c r="AR56" i="61" s="1"/>
  <c r="AQ57" i="61"/>
  <c r="AR57" i="61" s="1"/>
  <c r="AQ58" i="61"/>
  <c r="AR58" i="61" s="1"/>
  <c r="AQ59" i="61"/>
  <c r="AR59" i="61" s="1"/>
  <c r="AQ60" i="61"/>
  <c r="AQ61" i="61"/>
  <c r="AR61" i="61" s="1"/>
  <c r="AQ62" i="61"/>
  <c r="AR62" i="61" s="1"/>
  <c r="AQ63" i="61"/>
  <c r="AR63" i="61" s="1"/>
  <c r="AQ64" i="61"/>
  <c r="AR64" i="61" s="1"/>
  <c r="AQ65" i="61"/>
  <c r="AR65" i="61" s="1"/>
  <c r="AQ66" i="61"/>
  <c r="AR66" i="61" s="1"/>
  <c r="AQ67" i="61"/>
  <c r="AR67" i="61" s="1"/>
  <c r="AQ68" i="61"/>
  <c r="AR68" i="61" s="1"/>
  <c r="AQ6" i="61"/>
  <c r="AR6" i="61" s="1"/>
  <c r="AQ31" i="61"/>
  <c r="AR31" i="61" s="1"/>
  <c r="BB54" i="61"/>
  <c r="BB52" i="61"/>
  <c r="BB50" i="61"/>
  <c r="BB48" i="61"/>
  <c r="BB46" i="61"/>
  <c r="BB44" i="61"/>
  <c r="BB40" i="61"/>
  <c r="BB38" i="61"/>
  <c r="BB36" i="61"/>
  <c r="BB34" i="61"/>
  <c r="BB32" i="61"/>
  <c r="BB30" i="61"/>
  <c r="BB28" i="61"/>
  <c r="BB26" i="61"/>
  <c r="BB20" i="61"/>
  <c r="BB18" i="61"/>
  <c r="BB16" i="61"/>
  <c r="BB14" i="61"/>
  <c r="BB10" i="61"/>
  <c r="BB8" i="61"/>
  <c r="BB6" i="61"/>
  <c r="BB56" i="61"/>
  <c r="BB58" i="61"/>
  <c r="BB62" i="61"/>
  <c r="BB64" i="61"/>
  <c r="BB66" i="61"/>
  <c r="BB68" i="61"/>
  <c r="AY69" i="61"/>
  <c r="BB12" i="61"/>
  <c r="AZ69" i="61"/>
  <c r="AR62" i="49"/>
  <c r="BB62" i="49" s="1"/>
  <c r="BD62" i="60"/>
  <c r="F30" i="48" s="1"/>
  <c r="AS18" i="60"/>
  <c r="BD18" i="60"/>
  <c r="F12" i="48" s="1"/>
  <c r="AZ63" i="49"/>
  <c r="AQ7" i="49"/>
  <c r="AR7" i="49" s="1"/>
  <c r="AQ8" i="49"/>
  <c r="AR8" i="49" s="1"/>
  <c r="BB8" i="49" s="1"/>
  <c r="AQ9" i="49"/>
  <c r="AR9" i="49" s="1"/>
  <c r="AQ10" i="49"/>
  <c r="AR10" i="49" s="1"/>
  <c r="BB10" i="49" s="1"/>
  <c r="AQ11" i="49"/>
  <c r="AR11" i="49" s="1"/>
  <c r="AQ12" i="49"/>
  <c r="AR12" i="49" s="1"/>
  <c r="BB12" i="49" s="1"/>
  <c r="AQ13" i="49"/>
  <c r="AR13" i="49" s="1"/>
  <c r="AQ14" i="49"/>
  <c r="AR14" i="49" s="1"/>
  <c r="BB14" i="49" s="1"/>
  <c r="AQ15" i="49"/>
  <c r="AR15" i="49" s="1"/>
  <c r="AQ16" i="49"/>
  <c r="AR16" i="49" s="1"/>
  <c r="BB16" i="49" s="1"/>
  <c r="AQ17" i="49"/>
  <c r="AR17" i="49" s="1"/>
  <c r="AQ18" i="49"/>
  <c r="AR18" i="49" s="1"/>
  <c r="BB18" i="49" s="1"/>
  <c r="AQ19" i="49"/>
  <c r="AR19" i="49" s="1"/>
  <c r="AQ20" i="49"/>
  <c r="AR20" i="49" s="1"/>
  <c r="BB20" i="49" s="1"/>
  <c r="AQ21" i="49"/>
  <c r="AR21" i="49" s="1"/>
  <c r="AQ22" i="49"/>
  <c r="AR22" i="49" s="1"/>
  <c r="BB22" i="49" s="1"/>
  <c r="AQ23" i="49"/>
  <c r="AR23" i="49" s="1"/>
  <c r="AQ24" i="49"/>
  <c r="AR24" i="49" s="1"/>
  <c r="BB24" i="49" s="1"/>
  <c r="AQ25" i="49"/>
  <c r="AR25" i="49" s="1"/>
  <c r="AQ26" i="49"/>
  <c r="AR26" i="49" s="1"/>
  <c r="BB26" i="49" s="1"/>
  <c r="AQ27" i="49"/>
  <c r="AR27" i="49" s="1"/>
  <c r="AQ28" i="49"/>
  <c r="AR28" i="49" s="1"/>
  <c r="BB28" i="49" s="1"/>
  <c r="AQ29" i="49"/>
  <c r="AR29" i="49" s="1"/>
  <c r="AQ30" i="49"/>
  <c r="AR30" i="49" s="1"/>
  <c r="BB30" i="49" s="1"/>
  <c r="AQ31" i="49"/>
  <c r="AR31" i="49" s="1"/>
  <c r="AQ32" i="49"/>
  <c r="AR32" i="49" s="1"/>
  <c r="BB32" i="49" s="1"/>
  <c r="AQ33" i="49"/>
  <c r="AR33" i="49" s="1"/>
  <c r="AQ34" i="49"/>
  <c r="AR34" i="49" s="1"/>
  <c r="BB34" i="49" s="1"/>
  <c r="AQ35" i="49"/>
  <c r="AR35" i="49" s="1"/>
  <c r="AQ36" i="49"/>
  <c r="AR36" i="49" s="1"/>
  <c r="BB36" i="49" s="1"/>
  <c r="AQ37" i="49"/>
  <c r="AR37" i="49" s="1"/>
  <c r="AQ38" i="49"/>
  <c r="AR38" i="49" s="1"/>
  <c r="BB38" i="49" s="1"/>
  <c r="AQ39" i="49"/>
  <c r="AR39" i="49" s="1"/>
  <c r="AQ40" i="49"/>
  <c r="AR40" i="49" s="1"/>
  <c r="BB40" i="49" s="1"/>
  <c r="AQ41" i="49"/>
  <c r="AR41" i="49" s="1"/>
  <c r="AQ42" i="49"/>
  <c r="AR42" i="49" s="1"/>
  <c r="BB42" i="49" s="1"/>
  <c r="AQ43" i="49"/>
  <c r="AR43" i="49" s="1"/>
  <c r="AQ44" i="49"/>
  <c r="AR44" i="49" s="1"/>
  <c r="BB44" i="49" s="1"/>
  <c r="AQ45" i="49"/>
  <c r="AR45" i="49" s="1"/>
  <c r="AQ46" i="49"/>
  <c r="AR46" i="49" s="1"/>
  <c r="BB46" i="49" s="1"/>
  <c r="AQ47" i="49"/>
  <c r="AR47" i="49" s="1"/>
  <c r="AQ48" i="49"/>
  <c r="AR48" i="49" s="1"/>
  <c r="BB48" i="49" s="1"/>
  <c r="AQ49" i="49"/>
  <c r="AR49" i="49" s="1"/>
  <c r="AQ50" i="49"/>
  <c r="AR50" i="49" s="1"/>
  <c r="BB50" i="49" s="1"/>
  <c r="AQ51" i="49"/>
  <c r="AR51" i="49" s="1"/>
  <c r="AQ52" i="49"/>
  <c r="AR52" i="49" s="1"/>
  <c r="BB52" i="49" s="1"/>
  <c r="AQ53" i="49"/>
  <c r="AR53" i="49" s="1"/>
  <c r="AQ54" i="49"/>
  <c r="AR54" i="49" s="1"/>
  <c r="BB54" i="49" s="1"/>
  <c r="AQ55" i="49"/>
  <c r="AR55" i="49" s="1"/>
  <c r="AQ61" i="49"/>
  <c r="AQ59" i="49"/>
  <c r="AQ57" i="49"/>
  <c r="AQ6" i="49"/>
  <c r="AR6" i="49"/>
  <c r="BB6" i="49" s="1"/>
  <c r="U21" i="48" l="1"/>
  <c r="U30" i="48"/>
  <c r="Q6" i="48"/>
  <c r="R6" i="48"/>
  <c r="P6" i="48"/>
  <c r="P11" i="48"/>
  <c r="Q30" i="48"/>
  <c r="R30" i="48"/>
  <c r="P30" i="48"/>
  <c r="S6" i="48"/>
  <c r="S30" i="48"/>
  <c r="T6" i="48"/>
  <c r="T30" i="48"/>
  <c r="B30" i="78"/>
  <c r="B27" i="78"/>
  <c r="H5" i="71"/>
  <c r="H29" i="71"/>
  <c r="AR6" i="64"/>
  <c r="AR65" i="76"/>
  <c r="AT65" i="76" s="1"/>
  <c r="AS65" i="76" s="1"/>
  <c r="AR7" i="76"/>
  <c r="AT7" i="76" s="1"/>
  <c r="AS7" i="76" s="1"/>
  <c r="AR8" i="76"/>
  <c r="AT8" i="76" s="1"/>
  <c r="AR9" i="76"/>
  <c r="AT9" i="76" s="1"/>
  <c r="AS9" i="76" s="1"/>
  <c r="AR10" i="76"/>
  <c r="AT10" i="76" s="1"/>
  <c r="AR11" i="76"/>
  <c r="AT11" i="76" s="1"/>
  <c r="AS11" i="76" s="1"/>
  <c r="AR13" i="76"/>
  <c r="AT13" i="76" s="1"/>
  <c r="AS13" i="76" s="1"/>
  <c r="AR14" i="76"/>
  <c r="AT14" i="76" s="1"/>
  <c r="AR15" i="76"/>
  <c r="AT15" i="76" s="1"/>
  <c r="AS15" i="76" s="1"/>
  <c r="AR16" i="76"/>
  <c r="AT16" i="76" s="1"/>
  <c r="AR17" i="76"/>
  <c r="AT17" i="76" s="1"/>
  <c r="AS17" i="76" s="1"/>
  <c r="AR18" i="76"/>
  <c r="AT18" i="76" s="1"/>
  <c r="AR19" i="76"/>
  <c r="AT19" i="76" s="1"/>
  <c r="AS19" i="76" s="1"/>
  <c r="AR20" i="76"/>
  <c r="AT20" i="76" s="1"/>
  <c r="AR21" i="76"/>
  <c r="AT21" i="76" s="1"/>
  <c r="AS21" i="76" s="1"/>
  <c r="AR23" i="76"/>
  <c r="AT23" i="76" s="1"/>
  <c r="AS23" i="76" s="1"/>
  <c r="AR25" i="76"/>
  <c r="AT25" i="76" s="1"/>
  <c r="AS25" i="76" s="1"/>
  <c r="AR26" i="76"/>
  <c r="AT26" i="76" s="1"/>
  <c r="AR27" i="76"/>
  <c r="AT27" i="76" s="1"/>
  <c r="AS27" i="76" s="1"/>
  <c r="AR28" i="76"/>
  <c r="AT28" i="76" s="1"/>
  <c r="AR29" i="76"/>
  <c r="AT29" i="76" s="1"/>
  <c r="AS29" i="76" s="1"/>
  <c r="AR30" i="76"/>
  <c r="AT30" i="76" s="1"/>
  <c r="AR31" i="76"/>
  <c r="AT31" i="76" s="1"/>
  <c r="AS31" i="76" s="1"/>
  <c r="AR32" i="76"/>
  <c r="AT32" i="76" s="1"/>
  <c r="AR33" i="76"/>
  <c r="AT33" i="76" s="1"/>
  <c r="AS33" i="76" s="1"/>
  <c r="AR34" i="76"/>
  <c r="AT34" i="76" s="1"/>
  <c r="AR35" i="76"/>
  <c r="AT35" i="76" s="1"/>
  <c r="AS35" i="76" s="1"/>
  <c r="AR36" i="76"/>
  <c r="AT36" i="76" s="1"/>
  <c r="AR37" i="76"/>
  <c r="AT37" i="76" s="1"/>
  <c r="AS37" i="76" s="1"/>
  <c r="AR38" i="76"/>
  <c r="AT38" i="76" s="1"/>
  <c r="AR39" i="76"/>
  <c r="AT39" i="76" s="1"/>
  <c r="AS39" i="76" s="1"/>
  <c r="AR41" i="76"/>
  <c r="AT41" i="76" s="1"/>
  <c r="AS41" i="76" s="1"/>
  <c r="AR42" i="76"/>
  <c r="AT42" i="76" s="1"/>
  <c r="AR43" i="76"/>
  <c r="AT43" i="76" s="1"/>
  <c r="AS43" i="76" s="1"/>
  <c r="AR44" i="76"/>
  <c r="AT44" i="76" s="1"/>
  <c r="AR45" i="76"/>
  <c r="AT45" i="76" s="1"/>
  <c r="AS45" i="76" s="1"/>
  <c r="AR46" i="76"/>
  <c r="AT46" i="76" s="1"/>
  <c r="AR47" i="76"/>
  <c r="AT47" i="76" s="1"/>
  <c r="AS47" i="76" s="1"/>
  <c r="AR48" i="76"/>
  <c r="AT48" i="76" s="1"/>
  <c r="AR49" i="76"/>
  <c r="AT49" i="76" s="1"/>
  <c r="AS49" i="76" s="1"/>
  <c r="AR50" i="76"/>
  <c r="AT50" i="76" s="1"/>
  <c r="AR51" i="76"/>
  <c r="AT51" i="76" s="1"/>
  <c r="AS51" i="76" s="1"/>
  <c r="AR52" i="76"/>
  <c r="AT52" i="76" s="1"/>
  <c r="AR53" i="76"/>
  <c r="AT53" i="76" s="1"/>
  <c r="AS53" i="76" s="1"/>
  <c r="AR54" i="76"/>
  <c r="AT54" i="76" s="1"/>
  <c r="AR55" i="76"/>
  <c r="AT55" i="76" s="1"/>
  <c r="AS55" i="76" s="1"/>
  <c r="AR56" i="76"/>
  <c r="AT56" i="76" s="1"/>
  <c r="AR57" i="76"/>
  <c r="AT57" i="76" s="1"/>
  <c r="AS57" i="76" s="1"/>
  <c r="AR59" i="76"/>
  <c r="AT59" i="76" s="1"/>
  <c r="AS59" i="76" s="1"/>
  <c r="AR60" i="76"/>
  <c r="AT60" i="76" s="1"/>
  <c r="AR61" i="76"/>
  <c r="AT61" i="76" s="1"/>
  <c r="AS61" i="76" s="1"/>
  <c r="AR62" i="76"/>
  <c r="AT62" i="76" s="1"/>
  <c r="AR63" i="76"/>
  <c r="AT63" i="76" s="1"/>
  <c r="AS63" i="76" s="1"/>
  <c r="AR64" i="76"/>
  <c r="AT64" i="76" s="1"/>
  <c r="AR66" i="76"/>
  <c r="AT66" i="76" s="1"/>
  <c r="AR6" i="76"/>
  <c r="AR12" i="76"/>
  <c r="AR22" i="76"/>
  <c r="AR24" i="76"/>
  <c r="AR40" i="76"/>
  <c r="AR58" i="76"/>
  <c r="AR6" i="72"/>
  <c r="AT6" i="72" s="1"/>
  <c r="AR8" i="72"/>
  <c r="AR10" i="72"/>
  <c r="AR14" i="72"/>
  <c r="AR16" i="72"/>
  <c r="AR18" i="72"/>
  <c r="AR20" i="72"/>
  <c r="AR26" i="72"/>
  <c r="AR28" i="72"/>
  <c r="AR30" i="72"/>
  <c r="AR32" i="72"/>
  <c r="AR34" i="72"/>
  <c r="AR36" i="72"/>
  <c r="AR38" i="72"/>
  <c r="AR42" i="72"/>
  <c r="AR44" i="72"/>
  <c r="AR46" i="72"/>
  <c r="AR48" i="72"/>
  <c r="AR50" i="72"/>
  <c r="AR52" i="72"/>
  <c r="AR54" i="72"/>
  <c r="AR56" i="72"/>
  <c r="AR60" i="72"/>
  <c r="AR62" i="72"/>
  <c r="AR64" i="72"/>
  <c r="AR66" i="72"/>
  <c r="AR12" i="72"/>
  <c r="AR22" i="72"/>
  <c r="AR24" i="72"/>
  <c r="AR40" i="72"/>
  <c r="AR58" i="72"/>
  <c r="AS40" i="65"/>
  <c r="BD40" i="65"/>
  <c r="AS58" i="65"/>
  <c r="BD58" i="65"/>
  <c r="AS24" i="65"/>
  <c r="BD24" i="65"/>
  <c r="D5" i="71"/>
  <c r="E5" i="71"/>
  <c r="D10" i="71"/>
  <c r="D29" i="71"/>
  <c r="E29" i="71"/>
  <c r="G5" i="71"/>
  <c r="F5" i="71"/>
  <c r="G29" i="71"/>
  <c r="F29" i="71"/>
  <c r="E12" i="48"/>
  <c r="E21" i="48"/>
  <c r="C10" i="70"/>
  <c r="C7" i="70"/>
  <c r="AS60" i="60"/>
  <c r="BD60" i="60"/>
  <c r="F21" i="48" s="1"/>
  <c r="AS58" i="60"/>
  <c r="BD58" i="60"/>
  <c r="F11" i="48" s="1"/>
  <c r="AR7" i="60"/>
  <c r="AT7" i="60" s="1"/>
  <c r="AS7" i="60" s="1"/>
  <c r="AR8" i="60"/>
  <c r="AT8" i="60" s="1"/>
  <c r="AR9" i="60"/>
  <c r="AT9" i="60" s="1"/>
  <c r="AS9" i="60" s="1"/>
  <c r="AR10" i="60"/>
  <c r="AT10" i="60" s="1"/>
  <c r="AR11" i="60"/>
  <c r="AT11" i="60" s="1"/>
  <c r="AS11" i="60" s="1"/>
  <c r="AR12" i="60"/>
  <c r="AT12" i="60" s="1"/>
  <c r="AR13" i="60"/>
  <c r="AT13" i="60" s="1"/>
  <c r="AS13" i="60" s="1"/>
  <c r="AR14" i="60"/>
  <c r="AT14" i="60" s="1"/>
  <c r="AR15" i="60"/>
  <c r="AT15" i="60" s="1"/>
  <c r="AS15" i="60" s="1"/>
  <c r="AR16" i="60"/>
  <c r="AT16" i="60" s="1"/>
  <c r="AR17" i="60"/>
  <c r="AS17" i="60" s="1"/>
  <c r="AR18" i="60"/>
  <c r="AR19" i="60"/>
  <c r="AS19" i="60" s="1"/>
  <c r="AR20" i="60"/>
  <c r="AT20" i="60" s="1"/>
  <c r="AR21" i="60"/>
  <c r="AT21" i="60" s="1"/>
  <c r="AS21" i="60" s="1"/>
  <c r="AR22" i="60"/>
  <c r="AT22" i="60" s="1"/>
  <c r="AR23" i="60"/>
  <c r="AT23" i="60" s="1"/>
  <c r="AS23" i="60" s="1"/>
  <c r="AR24" i="60"/>
  <c r="AT24" i="60" s="1"/>
  <c r="AR25" i="60"/>
  <c r="AT25" i="60" s="1"/>
  <c r="AS25" i="60" s="1"/>
  <c r="AR26" i="60"/>
  <c r="AT26" i="60" s="1"/>
  <c r="AR27" i="60"/>
  <c r="AT27" i="60" s="1"/>
  <c r="AS27" i="60" s="1"/>
  <c r="AR28" i="60"/>
  <c r="AT28" i="60" s="1"/>
  <c r="AR29" i="60"/>
  <c r="AT29" i="60" s="1"/>
  <c r="AS29" i="60" s="1"/>
  <c r="AR30" i="60"/>
  <c r="AT30" i="60" s="1"/>
  <c r="AR31" i="60"/>
  <c r="AT31" i="60" s="1"/>
  <c r="AS31" i="60" s="1"/>
  <c r="AR32" i="60"/>
  <c r="AT32" i="60" s="1"/>
  <c r="AR33" i="60"/>
  <c r="AT33" i="60" s="1"/>
  <c r="AS33" i="60" s="1"/>
  <c r="AR34" i="60"/>
  <c r="AT34" i="60" s="1"/>
  <c r="AR35" i="60"/>
  <c r="AT35" i="60" s="1"/>
  <c r="AS35" i="60" s="1"/>
  <c r="AR36" i="60"/>
  <c r="AT36" i="60" s="1"/>
  <c r="AR37" i="60"/>
  <c r="AT37" i="60" s="1"/>
  <c r="AS37" i="60" s="1"/>
  <c r="AR38" i="60"/>
  <c r="AT38" i="60" s="1"/>
  <c r="AR39" i="60"/>
  <c r="AT39" i="60" s="1"/>
  <c r="AS39" i="60" s="1"/>
  <c r="AR40" i="60"/>
  <c r="AT40" i="60" s="1"/>
  <c r="AR41" i="60"/>
  <c r="AT41" i="60" s="1"/>
  <c r="AS41" i="60" s="1"/>
  <c r="AR42" i="60"/>
  <c r="AT42" i="60" s="1"/>
  <c r="AR43" i="60"/>
  <c r="AT43" i="60" s="1"/>
  <c r="AS43" i="60" s="1"/>
  <c r="AR44" i="60"/>
  <c r="AT44" i="60" s="1"/>
  <c r="AR45" i="60"/>
  <c r="AT45" i="60" s="1"/>
  <c r="AS45" i="60" s="1"/>
  <c r="AR46" i="60"/>
  <c r="AT46" i="60" s="1"/>
  <c r="AR47" i="60"/>
  <c r="AT47" i="60" s="1"/>
  <c r="AS47" i="60" s="1"/>
  <c r="AR48" i="60"/>
  <c r="AT48" i="60" s="1"/>
  <c r="AR49" i="60"/>
  <c r="AT49" i="60" s="1"/>
  <c r="AS49" i="60" s="1"/>
  <c r="AR50" i="60"/>
  <c r="AT50" i="60" s="1"/>
  <c r="AR51" i="60"/>
  <c r="AT51" i="60" s="1"/>
  <c r="AS51" i="60" s="1"/>
  <c r="AR52" i="60"/>
  <c r="AT52" i="60" s="1"/>
  <c r="AR53" i="60"/>
  <c r="AT53" i="60" s="1"/>
  <c r="AS53" i="60" s="1"/>
  <c r="AR54" i="60"/>
  <c r="AT54" i="60" s="1"/>
  <c r="AR55" i="60"/>
  <c r="AS55" i="60" s="1"/>
  <c r="AR57" i="60"/>
  <c r="AR58" i="60"/>
  <c r="AR59" i="60"/>
  <c r="AR60" i="60"/>
  <c r="AR61" i="60"/>
  <c r="AR62" i="60"/>
  <c r="AR6" i="60"/>
  <c r="AR56" i="60"/>
  <c r="BD40" i="60"/>
  <c r="F25" i="48" s="1"/>
  <c r="AS40" i="60"/>
  <c r="AR7" i="64"/>
  <c r="AR8" i="64"/>
  <c r="AR9" i="64"/>
  <c r="AR10" i="64"/>
  <c r="AR11" i="64"/>
  <c r="AR12" i="64"/>
  <c r="AR13" i="64"/>
  <c r="AR14" i="64"/>
  <c r="AR15" i="64"/>
  <c r="AR16" i="64"/>
  <c r="AR17" i="64"/>
  <c r="AR18" i="64"/>
  <c r="AR19" i="64"/>
  <c r="AR20" i="64"/>
  <c r="AR21" i="64"/>
  <c r="AR22" i="64"/>
  <c r="AR23" i="64"/>
  <c r="AR24" i="64"/>
  <c r="AR25" i="64"/>
  <c r="AR26" i="64"/>
  <c r="AR27" i="64"/>
  <c r="AR28" i="64"/>
  <c r="AR29" i="64"/>
  <c r="AR30" i="64"/>
  <c r="AR31" i="64"/>
  <c r="AR32" i="64"/>
  <c r="AR33" i="64"/>
  <c r="AR34" i="64"/>
  <c r="AR35" i="64"/>
  <c r="AR36" i="64"/>
  <c r="AR37" i="64"/>
  <c r="AR38" i="64"/>
  <c r="AR39" i="64"/>
  <c r="AR40" i="64"/>
  <c r="AR41" i="64"/>
  <c r="AR42" i="64"/>
  <c r="AR43" i="64"/>
  <c r="AR44" i="64"/>
  <c r="AR45" i="64"/>
  <c r="AR46" i="64"/>
  <c r="AR47" i="64"/>
  <c r="AR48" i="64"/>
  <c r="AR49" i="64"/>
  <c r="AR50" i="64"/>
  <c r="AR51" i="64"/>
  <c r="AR52" i="64"/>
  <c r="AR53" i="64"/>
  <c r="AR54" i="64"/>
  <c r="AR55" i="64"/>
  <c r="AR56" i="64"/>
  <c r="AR57" i="64"/>
  <c r="AR58" i="64"/>
  <c r="AR59" i="64"/>
  <c r="AR60" i="64"/>
  <c r="AR61" i="64"/>
  <c r="AR62" i="64"/>
  <c r="AR63" i="64"/>
  <c r="AR64" i="64"/>
  <c r="AR65" i="64"/>
  <c r="AR66" i="64"/>
  <c r="AR66" i="65"/>
  <c r="AR8" i="65"/>
  <c r="AR10" i="65"/>
  <c r="AR12" i="65"/>
  <c r="AR14" i="65"/>
  <c r="AR16" i="65"/>
  <c r="AR18" i="65"/>
  <c r="AR20" i="65"/>
  <c r="AR22" i="65"/>
  <c r="AR24" i="65"/>
  <c r="AR26" i="65"/>
  <c r="AR28" i="65"/>
  <c r="AR30" i="65"/>
  <c r="AR32" i="65"/>
  <c r="AR34" i="65"/>
  <c r="AR36" i="65"/>
  <c r="AR38" i="65"/>
  <c r="AR40" i="65"/>
  <c r="AR42" i="65"/>
  <c r="AR44" i="65"/>
  <c r="AR46" i="65"/>
  <c r="AR48" i="65"/>
  <c r="AR50" i="65"/>
  <c r="AR52" i="65"/>
  <c r="AR54" i="65"/>
  <c r="AR56" i="65"/>
  <c r="AR58" i="65"/>
  <c r="AR60" i="65"/>
  <c r="AR62" i="65"/>
  <c r="AR64" i="65"/>
  <c r="AR6" i="65"/>
  <c r="AR67" i="65" s="1"/>
  <c r="AR69" i="61"/>
  <c r="BB70" i="61"/>
  <c r="AQ5" i="57"/>
  <c r="AQ6" i="57"/>
  <c r="AR6" i="57" s="1"/>
  <c r="BB6" i="57" s="1"/>
  <c r="AQ7" i="57"/>
  <c r="AR7" i="57" s="1"/>
  <c r="BB7" i="57" s="1"/>
  <c r="AQ8" i="57"/>
  <c r="AR8" i="57" s="1"/>
  <c r="BB8" i="57" s="1"/>
  <c r="AQ9" i="57"/>
  <c r="AR9" i="57" s="1"/>
  <c r="BB9" i="57" s="1"/>
  <c r="AQ10" i="57"/>
  <c r="AR10" i="57" s="1"/>
  <c r="BB10" i="57" s="1"/>
  <c r="AQ11" i="57"/>
  <c r="AR11" i="57" s="1"/>
  <c r="BB11" i="57" s="1"/>
  <c r="AQ12" i="57"/>
  <c r="AR12" i="57" s="1"/>
  <c r="BB12" i="57" s="1"/>
  <c r="AQ13" i="57"/>
  <c r="AR13" i="57" s="1"/>
  <c r="BB13" i="57" s="1"/>
  <c r="AQ14" i="57"/>
  <c r="AR14" i="57" s="1"/>
  <c r="BB14" i="57" s="1"/>
  <c r="AQ15" i="57"/>
  <c r="AR15" i="57" s="1"/>
  <c r="BB15" i="57" s="1"/>
  <c r="AQ16" i="57"/>
  <c r="AR16" i="57" s="1"/>
  <c r="BB16" i="57" s="1"/>
  <c r="AQ19" i="57"/>
  <c r="AR19" i="57" s="1"/>
  <c r="BB19" i="57" s="1"/>
  <c r="AQ20" i="57"/>
  <c r="AR20" i="57" s="1"/>
  <c r="BB20" i="57" s="1"/>
  <c r="AQ21" i="57"/>
  <c r="AR21" i="57" s="1"/>
  <c r="BB21" i="57" s="1"/>
  <c r="AQ22" i="57"/>
  <c r="AR22" i="57" s="1"/>
  <c r="BB22" i="57" s="1"/>
  <c r="AQ23" i="57"/>
  <c r="AR23" i="57" s="1"/>
  <c r="BB23" i="57" s="1"/>
  <c r="AQ24" i="57"/>
  <c r="AR24" i="57" s="1"/>
  <c r="BB24" i="57" s="1"/>
  <c r="AQ25" i="57"/>
  <c r="AR25" i="57" s="1"/>
  <c r="BB25" i="57" s="1"/>
  <c r="AQ26" i="57"/>
  <c r="AR26" i="57" s="1"/>
  <c r="BB26" i="57" s="1"/>
  <c r="AQ27" i="57"/>
  <c r="AR27" i="57" s="1"/>
  <c r="BB27" i="57" s="1"/>
  <c r="AQ28" i="57"/>
  <c r="AR28" i="57" s="1"/>
  <c r="BB28" i="57" s="1"/>
  <c r="AQ29" i="57"/>
  <c r="AR29" i="57" s="1"/>
  <c r="BB29" i="57" s="1"/>
  <c r="AQ30" i="57"/>
  <c r="AR30" i="57" s="1"/>
  <c r="BB30" i="57" s="1"/>
  <c r="AQ31" i="57"/>
  <c r="AR31" i="57" s="1"/>
  <c r="BB31" i="57" s="1"/>
  <c r="AQ32" i="57"/>
  <c r="AR32" i="57" s="1"/>
  <c r="BB32" i="57" s="1"/>
  <c r="AQ33" i="57"/>
  <c r="AR33" i="57" s="1"/>
  <c r="BB33" i="57" s="1"/>
  <c r="AQ34" i="57"/>
  <c r="AR34" i="57" s="1"/>
  <c r="BB34" i="57" s="1"/>
  <c r="AQ35" i="57"/>
  <c r="AR35" i="57" s="1"/>
  <c r="BB35" i="57" s="1"/>
  <c r="AQ36" i="57"/>
  <c r="AR36" i="57" s="1"/>
  <c r="BB36" i="57" s="1"/>
  <c r="AQ37" i="57"/>
  <c r="AR37" i="57" s="1"/>
  <c r="BB37" i="57" s="1"/>
  <c r="AQ38" i="57"/>
  <c r="AR38" i="57" s="1"/>
  <c r="BB38" i="57" s="1"/>
  <c r="AQ39" i="57"/>
  <c r="AR39" i="57" s="1"/>
  <c r="BB39" i="57" s="1"/>
  <c r="AQ40" i="57"/>
  <c r="AR40" i="57" s="1"/>
  <c r="BB40" i="57" s="1"/>
  <c r="AQ41" i="57"/>
  <c r="AR41" i="57" s="1"/>
  <c r="BB41" i="57" s="1"/>
  <c r="AQ42" i="57"/>
  <c r="AR42" i="57" s="1"/>
  <c r="BB42" i="57" s="1"/>
  <c r="AQ45" i="57"/>
  <c r="AR45" i="57" s="1"/>
  <c r="BB45" i="57" s="1"/>
  <c r="AQ46" i="57"/>
  <c r="AR46" i="57" s="1"/>
  <c r="BB46" i="57" s="1"/>
  <c r="AQ47" i="57"/>
  <c r="AR47" i="57" s="1"/>
  <c r="BB47" i="57" s="1"/>
  <c r="AQ48" i="57"/>
  <c r="AR48" i="57" s="1"/>
  <c r="BB48" i="57" s="1"/>
  <c r="AQ49" i="57"/>
  <c r="AR49" i="57" s="1"/>
  <c r="BB49" i="57" s="1"/>
  <c r="AQ50" i="57"/>
  <c r="AR50" i="57" s="1"/>
  <c r="BB50" i="57" s="1"/>
  <c r="AQ51" i="57"/>
  <c r="AR51" i="57" s="1"/>
  <c r="BB51" i="57" s="1"/>
  <c r="AQ52" i="57"/>
  <c r="AR52" i="57" s="1"/>
  <c r="BB52" i="57" s="1"/>
  <c r="AQ53" i="57"/>
  <c r="AR53" i="57" s="1"/>
  <c r="BB53" i="57" s="1"/>
  <c r="AQ55" i="57"/>
  <c r="AR55" i="57" s="1"/>
  <c r="BB55" i="57" s="1"/>
  <c r="BB64" i="49"/>
  <c r="AR63" i="49"/>
  <c r="AR8" i="79" l="1"/>
  <c r="AR10" i="79"/>
  <c r="AT10" i="79" s="1"/>
  <c r="AR6" i="79"/>
  <c r="AT8" i="79"/>
  <c r="AR62" i="79"/>
  <c r="AT62" i="79" s="1"/>
  <c r="AR60" i="79"/>
  <c r="AT60" i="79" s="1"/>
  <c r="AR58" i="79"/>
  <c r="AT58" i="79" s="1"/>
  <c r="BD58" i="79" s="1"/>
  <c r="J32" i="48" s="1"/>
  <c r="AR56" i="79"/>
  <c r="AT56" i="79" s="1"/>
  <c r="AR54" i="79"/>
  <c r="AR52" i="79"/>
  <c r="AT52" i="79" s="1"/>
  <c r="AR50" i="79"/>
  <c r="AT50" i="79" s="1"/>
  <c r="AR48" i="79"/>
  <c r="AT48" i="79" s="1"/>
  <c r="AR46" i="79"/>
  <c r="AT46" i="79" s="1"/>
  <c r="AR44" i="79"/>
  <c r="AT44" i="79" s="1"/>
  <c r="AR42" i="79"/>
  <c r="AT42" i="79" s="1"/>
  <c r="AR40" i="79"/>
  <c r="AT40" i="79" s="1"/>
  <c r="AR38" i="79"/>
  <c r="AT38" i="79" s="1"/>
  <c r="AR36" i="79"/>
  <c r="AR34" i="79"/>
  <c r="AT34" i="79" s="1"/>
  <c r="AR32" i="79"/>
  <c r="AT32" i="79" s="1"/>
  <c r="AR30" i="79"/>
  <c r="AT30" i="79" s="1"/>
  <c r="AR28" i="79"/>
  <c r="AT28" i="79" s="1"/>
  <c r="AR26" i="79"/>
  <c r="AT26" i="79" s="1"/>
  <c r="AR24" i="79"/>
  <c r="AT24" i="79" s="1"/>
  <c r="AR22" i="79"/>
  <c r="AR20" i="79"/>
  <c r="AT20" i="79" s="1"/>
  <c r="AR18" i="79"/>
  <c r="AT18" i="79" s="1"/>
  <c r="AR16" i="79"/>
  <c r="AT16" i="79" s="1"/>
  <c r="AR14" i="79"/>
  <c r="AT14" i="79" s="1"/>
  <c r="AR12" i="79"/>
  <c r="Q11" i="48"/>
  <c r="R11" i="48"/>
  <c r="S11" i="48"/>
  <c r="T11" i="48"/>
  <c r="Q21" i="48"/>
  <c r="R21" i="48"/>
  <c r="P21" i="48"/>
  <c r="S21" i="48"/>
  <c r="T21" i="48"/>
  <c r="Q12" i="48"/>
  <c r="R12" i="48"/>
  <c r="P12" i="48"/>
  <c r="S12" i="48"/>
  <c r="T12" i="48"/>
  <c r="H11" i="71"/>
  <c r="AR36" i="74"/>
  <c r="AT36" i="74" s="1"/>
  <c r="AR38" i="74"/>
  <c r="AT38" i="74" s="1"/>
  <c r="AR40" i="74"/>
  <c r="AR42" i="74"/>
  <c r="AT42" i="74" s="1"/>
  <c r="AR44" i="74"/>
  <c r="AT44" i="74" s="1"/>
  <c r="AR46" i="74"/>
  <c r="AT46" i="74" s="1"/>
  <c r="AR48" i="74"/>
  <c r="AT48" i="74" s="1"/>
  <c r="AR50" i="74"/>
  <c r="AT50" i="74" s="1"/>
  <c r="AR52" i="74"/>
  <c r="AT52" i="74" s="1"/>
  <c r="AR54" i="74"/>
  <c r="AT54" i="74" s="1"/>
  <c r="AR56" i="74"/>
  <c r="AT56" i="74" s="1"/>
  <c r="AR58" i="74"/>
  <c r="AR60" i="74"/>
  <c r="AT60" i="74" s="1"/>
  <c r="AR62" i="74"/>
  <c r="AT62" i="74" s="1"/>
  <c r="BD62" i="74" s="1"/>
  <c r="I32" i="48" s="1"/>
  <c r="AR64" i="74"/>
  <c r="AT64" i="74" s="1"/>
  <c r="AR66" i="74"/>
  <c r="AT66" i="74" s="1"/>
  <c r="AR6" i="74"/>
  <c r="AT6" i="74" s="1"/>
  <c r="AR8" i="74"/>
  <c r="AT8" i="74" s="1"/>
  <c r="AR10" i="74"/>
  <c r="AT10" i="74" s="1"/>
  <c r="AR12" i="74"/>
  <c r="AR14" i="74"/>
  <c r="AT14" i="74" s="1"/>
  <c r="AR16" i="74"/>
  <c r="AT16" i="74" s="1"/>
  <c r="AR18" i="74"/>
  <c r="AT18" i="74" s="1"/>
  <c r="AR20" i="74"/>
  <c r="AT20" i="74" s="1"/>
  <c r="AR22" i="74"/>
  <c r="AR24" i="74"/>
  <c r="AR26" i="74"/>
  <c r="AT26" i="74" s="1"/>
  <c r="AR28" i="74"/>
  <c r="AT28" i="74" s="1"/>
  <c r="AR30" i="74"/>
  <c r="AT30" i="74" s="1"/>
  <c r="AR32" i="74"/>
  <c r="AT32" i="74" s="1"/>
  <c r="AR34" i="74"/>
  <c r="AT34" i="74" s="1"/>
  <c r="E10" i="71"/>
  <c r="H10" i="71"/>
  <c r="H20" i="71"/>
  <c r="AR67" i="76"/>
  <c r="AT6" i="76"/>
  <c r="AS66" i="76"/>
  <c r="BD66" i="76"/>
  <c r="AS64" i="76"/>
  <c r="BD64" i="76"/>
  <c r="AS62" i="76"/>
  <c r="BD62" i="76"/>
  <c r="AS60" i="76"/>
  <c r="BD60" i="76"/>
  <c r="AS56" i="76"/>
  <c r="BD56" i="76"/>
  <c r="AS54" i="76"/>
  <c r="BD54" i="76"/>
  <c r="AS52" i="76"/>
  <c r="BD52" i="76"/>
  <c r="AS50" i="76"/>
  <c r="BD50" i="76"/>
  <c r="AS48" i="76"/>
  <c r="BD48" i="76"/>
  <c r="AS46" i="76"/>
  <c r="BD46" i="76"/>
  <c r="AS44" i="76"/>
  <c r="BD44" i="76"/>
  <c r="AS42" i="76"/>
  <c r="BD42" i="76"/>
  <c r="AS38" i="76"/>
  <c r="BD38" i="76"/>
  <c r="AS36" i="76"/>
  <c r="BD36" i="76"/>
  <c r="AS34" i="76"/>
  <c r="BD34" i="76"/>
  <c r="AS32" i="76"/>
  <c r="BD32" i="76"/>
  <c r="AS30" i="76"/>
  <c r="BD30" i="76"/>
  <c r="AS28" i="76"/>
  <c r="BD28" i="76"/>
  <c r="AS26" i="76"/>
  <c r="BD26" i="76"/>
  <c r="AS20" i="76"/>
  <c r="BD20" i="76"/>
  <c r="AS18" i="76"/>
  <c r="BD18" i="76"/>
  <c r="AS16" i="76"/>
  <c r="BD16" i="76"/>
  <c r="AS14" i="76"/>
  <c r="BD14" i="76"/>
  <c r="BD68" i="76" s="1"/>
  <c r="AS10" i="76"/>
  <c r="BD10" i="76"/>
  <c r="AS8" i="76"/>
  <c r="BD8" i="76"/>
  <c r="AS66" i="74"/>
  <c r="BD66" i="74"/>
  <c r="I34" i="48" s="1"/>
  <c r="AS64" i="74"/>
  <c r="BD64" i="74"/>
  <c r="I33" i="48" s="1"/>
  <c r="AS60" i="74"/>
  <c r="BD60" i="74"/>
  <c r="I31" i="48" s="1"/>
  <c r="AS56" i="74"/>
  <c r="BD56" i="74"/>
  <c r="I29" i="48" s="1"/>
  <c r="AS54" i="74"/>
  <c r="BD54" i="74"/>
  <c r="I28" i="48" s="1"/>
  <c r="AS52" i="74"/>
  <c r="BD52" i="74"/>
  <c r="I27" i="48" s="1"/>
  <c r="AS50" i="74"/>
  <c r="BD50" i="74"/>
  <c r="I26" i="48" s="1"/>
  <c r="AS48" i="74"/>
  <c r="BD48" i="74"/>
  <c r="I25" i="48" s="1"/>
  <c r="AS46" i="74"/>
  <c r="BD46" i="74"/>
  <c r="I24" i="48" s="1"/>
  <c r="AS44" i="74"/>
  <c r="BD44" i="74"/>
  <c r="I23" i="48" s="1"/>
  <c r="AS42" i="74"/>
  <c r="BD42" i="74"/>
  <c r="I22" i="48" s="1"/>
  <c r="AS38" i="74"/>
  <c r="BD38" i="74"/>
  <c r="I20" i="48" s="1"/>
  <c r="AS36" i="74"/>
  <c r="BD36" i="74"/>
  <c r="I19" i="48" s="1"/>
  <c r="U19" i="48" s="1"/>
  <c r="AS34" i="74"/>
  <c r="BD34" i="74"/>
  <c r="I18" i="48" s="1"/>
  <c r="AS32" i="74"/>
  <c r="BD32" i="74"/>
  <c r="I16" i="48" s="1"/>
  <c r="AS30" i="74"/>
  <c r="BD30" i="74"/>
  <c r="I15" i="48" s="1"/>
  <c r="AS28" i="74"/>
  <c r="BD28" i="74"/>
  <c r="I14" i="48" s="1"/>
  <c r="AS26" i="74"/>
  <c r="BD26" i="74"/>
  <c r="I13" i="48" s="1"/>
  <c r="AS20" i="74"/>
  <c r="BD20" i="74"/>
  <c r="I10" i="48" s="1"/>
  <c r="AS18" i="74"/>
  <c r="BD18" i="74"/>
  <c r="I9" i="48" s="1"/>
  <c r="AS16" i="74"/>
  <c r="BD16" i="74"/>
  <c r="I8" i="48" s="1"/>
  <c r="AS14" i="74"/>
  <c r="BD14" i="74"/>
  <c r="I7" i="48" s="1"/>
  <c r="AS10" i="74"/>
  <c r="BD10" i="74"/>
  <c r="I5" i="48" s="1"/>
  <c r="AS8" i="74"/>
  <c r="BD8" i="74"/>
  <c r="I4" i="48" s="1"/>
  <c r="AR67" i="74"/>
  <c r="AR67" i="72"/>
  <c r="D20" i="71"/>
  <c r="E20" i="71"/>
  <c r="D11" i="71"/>
  <c r="E11" i="71"/>
  <c r="G10" i="71"/>
  <c r="F10" i="71"/>
  <c r="G20" i="71"/>
  <c r="F20" i="71"/>
  <c r="G11" i="71"/>
  <c r="F11" i="71"/>
  <c r="AT7" i="69"/>
  <c r="AS7" i="69" s="1"/>
  <c r="AT8" i="69"/>
  <c r="AT9" i="69"/>
  <c r="AS9" i="69" s="1"/>
  <c r="AT10" i="69"/>
  <c r="AT11" i="69"/>
  <c r="AS11" i="69" s="1"/>
  <c r="AT12" i="69"/>
  <c r="AT13" i="69"/>
  <c r="AS13" i="69" s="1"/>
  <c r="AT14" i="69"/>
  <c r="AT15" i="69"/>
  <c r="AS15" i="69" s="1"/>
  <c r="AT16" i="69"/>
  <c r="AT20" i="69"/>
  <c r="AT21" i="69"/>
  <c r="AS21" i="69" s="1"/>
  <c r="AT22" i="69"/>
  <c r="AT23" i="69"/>
  <c r="AS23" i="69" s="1"/>
  <c r="AT24" i="69"/>
  <c r="AT25" i="69"/>
  <c r="AS25" i="69" s="1"/>
  <c r="AT26" i="69"/>
  <c r="AT31" i="69"/>
  <c r="AS31" i="69" s="1"/>
  <c r="AT32" i="69"/>
  <c r="AT33" i="69"/>
  <c r="AS33" i="69" s="1"/>
  <c r="AT34" i="69"/>
  <c r="AT35" i="69"/>
  <c r="AS35" i="69" s="1"/>
  <c r="AT36" i="69"/>
  <c r="AT37" i="69"/>
  <c r="AS37" i="69" s="1"/>
  <c r="AT38" i="69"/>
  <c r="AT39" i="69"/>
  <c r="AS39" i="69" s="1"/>
  <c r="AT40" i="69"/>
  <c r="AT41" i="69"/>
  <c r="AS41" i="69" s="1"/>
  <c r="AT42" i="69"/>
  <c r="AT43" i="69"/>
  <c r="AS43" i="69" s="1"/>
  <c r="AT44" i="69"/>
  <c r="AT45" i="69"/>
  <c r="AS45" i="69" s="1"/>
  <c r="AT46" i="69"/>
  <c r="AT47" i="69"/>
  <c r="AS47" i="69" s="1"/>
  <c r="AT48" i="69"/>
  <c r="AT49" i="69"/>
  <c r="AS49" i="69" s="1"/>
  <c r="AT50" i="69"/>
  <c r="AT51" i="69"/>
  <c r="AS51" i="69" s="1"/>
  <c r="AT52" i="69"/>
  <c r="AT53" i="69"/>
  <c r="AS53" i="69" s="1"/>
  <c r="AT54" i="69"/>
  <c r="AT55" i="69"/>
  <c r="AS55" i="69" s="1"/>
  <c r="AT56" i="69"/>
  <c r="AT6" i="69"/>
  <c r="AT30" i="69"/>
  <c r="AT29" i="69"/>
  <c r="AS29" i="69" s="1"/>
  <c r="AT28" i="69"/>
  <c r="AT27" i="69"/>
  <c r="AS27" i="69" s="1"/>
  <c r="AT6" i="60"/>
  <c r="AR63" i="60"/>
  <c r="AS54" i="60"/>
  <c r="BD54" i="60"/>
  <c r="F34" i="48" s="1"/>
  <c r="AS52" i="60"/>
  <c r="BD52" i="60"/>
  <c r="F33" i="48" s="1"/>
  <c r="AS50" i="60"/>
  <c r="BD50" i="60"/>
  <c r="F32" i="48" s="1"/>
  <c r="AS48" i="60"/>
  <c r="BD48" i="60"/>
  <c r="F31" i="48" s="1"/>
  <c r="AS46" i="60"/>
  <c r="BD46" i="60"/>
  <c r="F29" i="48" s="1"/>
  <c r="AS44" i="60"/>
  <c r="BD44" i="60"/>
  <c r="F28" i="48" s="1"/>
  <c r="AS42" i="60"/>
  <c r="BD42" i="60"/>
  <c r="F27" i="48" s="1"/>
  <c r="AS38" i="60"/>
  <c r="BD38" i="60"/>
  <c r="F22" i="48" s="1"/>
  <c r="AS36" i="60"/>
  <c r="BD36" i="60"/>
  <c r="F24" i="48" s="1"/>
  <c r="AS34" i="60"/>
  <c r="BD34" i="60"/>
  <c r="F23" i="48" s="1"/>
  <c r="AS32" i="60"/>
  <c r="BD32" i="60"/>
  <c r="F19" i="48" s="1"/>
  <c r="AS30" i="60"/>
  <c r="BD30" i="60"/>
  <c r="F18" i="48" s="1"/>
  <c r="AS28" i="60"/>
  <c r="BD28" i="60"/>
  <c r="F20" i="48" s="1"/>
  <c r="AS26" i="60"/>
  <c r="BD26" i="60"/>
  <c r="F16" i="48" s="1"/>
  <c r="AS24" i="60"/>
  <c r="BD24" i="60"/>
  <c r="F15" i="48" s="1"/>
  <c r="AS22" i="60"/>
  <c r="BD22" i="60"/>
  <c r="F14" i="48" s="1"/>
  <c r="AS20" i="60"/>
  <c r="BD20" i="60"/>
  <c r="F13" i="48" s="1"/>
  <c r="AS16" i="60"/>
  <c r="BD16" i="60"/>
  <c r="F10" i="48" s="1"/>
  <c r="AS14" i="60"/>
  <c r="BD14" i="60"/>
  <c r="F8" i="48" s="1"/>
  <c r="AS12" i="60"/>
  <c r="BD12" i="60"/>
  <c r="F7" i="48" s="1"/>
  <c r="AS10" i="60"/>
  <c r="BD10" i="60"/>
  <c r="F5" i="48" s="1"/>
  <c r="AS8" i="60"/>
  <c r="BD8" i="60"/>
  <c r="F4" i="48" s="1"/>
  <c r="AT59" i="64"/>
  <c r="AS59" i="64" s="1"/>
  <c r="AT41" i="64"/>
  <c r="AS41" i="64" s="1"/>
  <c r="AT25" i="64"/>
  <c r="AS25" i="64" s="1"/>
  <c r="AT23" i="64"/>
  <c r="AS23" i="64" s="1"/>
  <c r="AT13" i="64"/>
  <c r="AS13" i="64" s="1"/>
  <c r="AR67" i="64"/>
  <c r="AR5" i="57"/>
  <c r="AQ57" i="57"/>
  <c r="U32" i="48" l="1"/>
  <c r="AS10" i="79"/>
  <c r="BD10" i="79"/>
  <c r="J5" i="48" s="1"/>
  <c r="U5" i="48" s="1"/>
  <c r="AS14" i="79"/>
  <c r="BD14" i="79"/>
  <c r="J7" i="48" s="1"/>
  <c r="U7" i="48" s="1"/>
  <c r="AS16" i="79"/>
  <c r="BD16" i="79"/>
  <c r="J8" i="48" s="1"/>
  <c r="U8" i="48" s="1"/>
  <c r="AS18" i="79"/>
  <c r="BD18" i="79"/>
  <c r="J9" i="48" s="1"/>
  <c r="U9" i="48" s="1"/>
  <c r="AS20" i="79"/>
  <c r="BD20" i="79"/>
  <c r="J10" i="48" s="1"/>
  <c r="U10" i="48" s="1"/>
  <c r="AS24" i="79"/>
  <c r="BD24" i="79"/>
  <c r="J13" i="48" s="1"/>
  <c r="U13" i="48" s="1"/>
  <c r="AS26" i="79"/>
  <c r="BD26" i="79"/>
  <c r="J14" i="48" s="1"/>
  <c r="U14" i="48" s="1"/>
  <c r="AS28" i="79"/>
  <c r="BD28" i="79"/>
  <c r="J15" i="48" s="1"/>
  <c r="U15" i="48" s="1"/>
  <c r="AS30" i="79"/>
  <c r="BD30" i="79"/>
  <c r="J16" i="48" s="1"/>
  <c r="U16" i="48" s="1"/>
  <c r="AS32" i="79"/>
  <c r="BD32" i="79"/>
  <c r="J18" i="48" s="1"/>
  <c r="U18" i="48" s="1"/>
  <c r="AS34" i="79"/>
  <c r="BD34" i="79"/>
  <c r="J20" i="48" s="1"/>
  <c r="U20" i="48" s="1"/>
  <c r="AS38" i="79"/>
  <c r="BD38" i="79"/>
  <c r="J22" i="48" s="1"/>
  <c r="U22" i="48" s="1"/>
  <c r="AS40" i="79"/>
  <c r="BD40" i="79"/>
  <c r="J23" i="48" s="1"/>
  <c r="U23" i="48" s="1"/>
  <c r="AS42" i="79"/>
  <c r="BD42" i="79"/>
  <c r="J24" i="48" s="1"/>
  <c r="U24" i="48" s="1"/>
  <c r="AS44" i="79"/>
  <c r="BD44" i="79"/>
  <c r="J25" i="48" s="1"/>
  <c r="U25" i="48" s="1"/>
  <c r="AS46" i="79"/>
  <c r="BD46" i="79"/>
  <c r="J26" i="48" s="1"/>
  <c r="U26" i="48" s="1"/>
  <c r="AS48" i="79"/>
  <c r="BD48" i="79"/>
  <c r="J27" i="48" s="1"/>
  <c r="U27" i="48" s="1"/>
  <c r="AS50" i="79"/>
  <c r="BD50" i="79"/>
  <c r="J28" i="48" s="1"/>
  <c r="U28" i="48" s="1"/>
  <c r="AS52" i="79"/>
  <c r="BD52" i="79"/>
  <c r="J29" i="48" s="1"/>
  <c r="U29" i="48" s="1"/>
  <c r="AS56" i="79"/>
  <c r="BD56" i="79"/>
  <c r="J31" i="48" s="1"/>
  <c r="U31" i="48" s="1"/>
  <c r="AS60" i="79"/>
  <c r="BD60" i="79"/>
  <c r="J33" i="48" s="1"/>
  <c r="U33" i="48" s="1"/>
  <c r="AS62" i="79"/>
  <c r="BD62" i="79"/>
  <c r="J34" i="48" s="1"/>
  <c r="U34" i="48" s="1"/>
  <c r="AS8" i="79"/>
  <c r="BD8" i="79"/>
  <c r="J4" i="48" s="1"/>
  <c r="U4" i="48" s="1"/>
  <c r="AT6" i="79"/>
  <c r="AR63" i="79"/>
  <c r="AT67" i="76"/>
  <c r="BD6" i="76"/>
  <c r="BD67" i="76" s="1"/>
  <c r="AS6" i="76"/>
  <c r="AS67" i="76" s="1"/>
  <c r="AT76" i="74" a="1"/>
  <c r="AT76" i="74" s="1"/>
  <c r="AT67" i="74"/>
  <c r="BD6" i="74"/>
  <c r="I3" i="48" s="1"/>
  <c r="AS6" i="74"/>
  <c r="AS28" i="69"/>
  <c r="BD28" i="69"/>
  <c r="AS30" i="69"/>
  <c r="BD30" i="69"/>
  <c r="AS6" i="69"/>
  <c r="BD6" i="69"/>
  <c r="AT65" i="69"/>
  <c r="AS56" i="69"/>
  <c r="BD56" i="69"/>
  <c r="AS54" i="69"/>
  <c r="BD54" i="69"/>
  <c r="AS52" i="69"/>
  <c r="BD52" i="69"/>
  <c r="AS50" i="69"/>
  <c r="BD50" i="69"/>
  <c r="AS48" i="69"/>
  <c r="BD48" i="69"/>
  <c r="AS46" i="69"/>
  <c r="BD46" i="69"/>
  <c r="AS44" i="69"/>
  <c r="BD44" i="69"/>
  <c r="AS42" i="69"/>
  <c r="BD42" i="69"/>
  <c r="AS40" i="69"/>
  <c r="BD40" i="69"/>
  <c r="AS38" i="69"/>
  <c r="BD38" i="69"/>
  <c r="AS36" i="69"/>
  <c r="BD36" i="69"/>
  <c r="AS34" i="69"/>
  <c r="BD34" i="69"/>
  <c r="AS32" i="69"/>
  <c r="BD32" i="69"/>
  <c r="AS26" i="69"/>
  <c r="BD26" i="69"/>
  <c r="AS24" i="69"/>
  <c r="BD24" i="69"/>
  <c r="AS22" i="69"/>
  <c r="BD22" i="69"/>
  <c r="AS20" i="69"/>
  <c r="BD20" i="69"/>
  <c r="AS16" i="69"/>
  <c r="BD16" i="69"/>
  <c r="AS14" i="69"/>
  <c r="BD14" i="69"/>
  <c r="AS12" i="69"/>
  <c r="BD12" i="69"/>
  <c r="AS10" i="69"/>
  <c r="BD10" i="69"/>
  <c r="AS8" i="69"/>
  <c r="BD8" i="69"/>
  <c r="AT63" i="60"/>
  <c r="AS6" i="60"/>
  <c r="AS63" i="60" s="1"/>
  <c r="BD6" i="60"/>
  <c r="BB5" i="57"/>
  <c r="AR57" i="57"/>
  <c r="AT63" i="79" l="1"/>
  <c r="AS6" i="79"/>
  <c r="BD6" i="79"/>
  <c r="J3" i="48" s="1"/>
  <c r="AT72" i="79" a="1"/>
  <c r="AT72" i="79" s="1"/>
  <c r="I35" i="48"/>
  <c r="I36" i="48"/>
  <c r="AS68" i="74"/>
  <c r="D9" i="78" s="1"/>
  <c r="AS67" i="74"/>
  <c r="BD68" i="74"/>
  <c r="BD67" i="74"/>
  <c r="BD63" i="60"/>
  <c r="F3" i="48"/>
  <c r="E4" i="48"/>
  <c r="E5" i="48"/>
  <c r="E7" i="48"/>
  <c r="E8" i="48"/>
  <c r="E10" i="48"/>
  <c r="E13" i="48"/>
  <c r="E14" i="48"/>
  <c r="E15" i="48"/>
  <c r="E16" i="48"/>
  <c r="E18" i="48"/>
  <c r="E19" i="48"/>
  <c r="E23" i="48"/>
  <c r="E24" i="48"/>
  <c r="E22" i="48"/>
  <c r="E25" i="48"/>
  <c r="E27" i="48"/>
  <c r="E28" i="48"/>
  <c r="E29" i="48"/>
  <c r="E31" i="48"/>
  <c r="E32" i="48"/>
  <c r="E33" i="48"/>
  <c r="E34" i="48"/>
  <c r="E3" i="48"/>
  <c r="BD65" i="69"/>
  <c r="BD66" i="69"/>
  <c r="AS65" i="69"/>
  <c r="E20" i="48"/>
  <c r="BD64" i="60"/>
  <c r="BB58" i="57"/>
  <c r="BB57" i="57"/>
  <c r="U3" i="48" l="1"/>
  <c r="U36" i="48" s="1"/>
  <c r="J35" i="48"/>
  <c r="J36" i="48"/>
  <c r="BD63" i="79"/>
  <c r="BD64" i="79"/>
  <c r="AS63" i="79"/>
  <c r="AS64" i="79"/>
  <c r="Q20" i="48"/>
  <c r="P20" i="48"/>
  <c r="Q3" i="48"/>
  <c r="P3" i="48"/>
  <c r="Q34" i="48"/>
  <c r="P34" i="48"/>
  <c r="Q33" i="48"/>
  <c r="P33" i="48"/>
  <c r="Q32" i="48"/>
  <c r="P32" i="48"/>
  <c r="Q31" i="48"/>
  <c r="P31" i="48"/>
  <c r="Q29" i="48"/>
  <c r="P29" i="48"/>
  <c r="Q28" i="48"/>
  <c r="P28" i="48"/>
  <c r="Q27" i="48"/>
  <c r="P27" i="48"/>
  <c r="Q25" i="48"/>
  <c r="P25" i="48"/>
  <c r="Q22" i="48"/>
  <c r="P22" i="48"/>
  <c r="Q24" i="48"/>
  <c r="P24" i="48"/>
  <c r="Q23" i="48"/>
  <c r="P23" i="48"/>
  <c r="Q19" i="48"/>
  <c r="P19" i="48"/>
  <c r="Q18" i="48"/>
  <c r="P18" i="48"/>
  <c r="Q16" i="48"/>
  <c r="P16" i="48"/>
  <c r="Q15" i="48"/>
  <c r="P15" i="48"/>
  <c r="Q14" i="48"/>
  <c r="P14" i="48"/>
  <c r="Q13" i="48"/>
  <c r="P13" i="48"/>
  <c r="Q10" i="48"/>
  <c r="P10" i="48"/>
  <c r="Q8" i="48"/>
  <c r="P8" i="48"/>
  <c r="Q7" i="48"/>
  <c r="P7" i="48"/>
  <c r="Q5" i="48"/>
  <c r="P5" i="48"/>
  <c r="Q4" i="48"/>
  <c r="P4" i="48"/>
  <c r="D19" i="71"/>
  <c r="E19" i="71"/>
  <c r="D2" i="71"/>
  <c r="E2" i="71"/>
  <c r="D33" i="71"/>
  <c r="E33" i="71"/>
  <c r="D32" i="71"/>
  <c r="E32" i="71"/>
  <c r="D31" i="71"/>
  <c r="E31" i="71"/>
  <c r="D30" i="71"/>
  <c r="E30" i="71"/>
  <c r="D28" i="71"/>
  <c r="E28" i="71"/>
  <c r="D27" i="71"/>
  <c r="E27" i="71"/>
  <c r="D26" i="71"/>
  <c r="E26" i="71"/>
  <c r="D24" i="71"/>
  <c r="E24" i="71"/>
  <c r="D21" i="71"/>
  <c r="E21" i="71"/>
  <c r="D23" i="71"/>
  <c r="E23" i="71"/>
  <c r="D22" i="71"/>
  <c r="E22" i="71"/>
  <c r="D18" i="71"/>
  <c r="E18" i="71"/>
  <c r="D17" i="71"/>
  <c r="E17" i="71"/>
  <c r="D15" i="71"/>
  <c r="E15" i="71"/>
  <c r="D14" i="71"/>
  <c r="E14" i="71"/>
  <c r="D13" i="71"/>
  <c r="E13" i="71"/>
  <c r="D12" i="71"/>
  <c r="E12" i="71"/>
  <c r="D9" i="71"/>
  <c r="E9" i="71"/>
  <c r="D7" i="71"/>
  <c r="E7" i="71"/>
  <c r="D6" i="71"/>
  <c r="E6" i="71"/>
  <c r="D4" i="71"/>
  <c r="E4" i="71"/>
  <c r="D3" i="71"/>
  <c r="E3" i="71"/>
  <c r="E36" i="48"/>
  <c r="F35" i="48"/>
  <c r="F36" i="48"/>
  <c r="E35" i="48"/>
  <c r="Q36" i="48" l="1"/>
  <c r="P36" i="48"/>
  <c r="AT6" i="64"/>
  <c r="AT66" i="64" l="1"/>
  <c r="AT65" i="64"/>
  <c r="AS65" i="64" s="1"/>
  <c r="AT64" i="64"/>
  <c r="AT62" i="64"/>
  <c r="AT60" i="64"/>
  <c r="AT63" i="64"/>
  <c r="AS63" i="64" s="1"/>
  <c r="AT61" i="64"/>
  <c r="AS61" i="64" s="1"/>
  <c r="BD6" i="64"/>
  <c r="G3" i="48" s="1"/>
  <c r="R3" i="48" s="1"/>
  <c r="AS6" i="64"/>
  <c r="AT43" i="64"/>
  <c r="AS43" i="64" s="1"/>
  <c r="AT44" i="64"/>
  <c r="AT45" i="64"/>
  <c r="AS45" i="64" s="1"/>
  <c r="AT46" i="64"/>
  <c r="AT47" i="64"/>
  <c r="AS47" i="64" s="1"/>
  <c r="AT48" i="64"/>
  <c r="AT49" i="64"/>
  <c r="AS49" i="64" s="1"/>
  <c r="AT50" i="64"/>
  <c r="AT51" i="64"/>
  <c r="AS51" i="64" s="1"/>
  <c r="AT52" i="64"/>
  <c r="AT53" i="64"/>
  <c r="AS53" i="64" s="1"/>
  <c r="AT54" i="64"/>
  <c r="AT55" i="64"/>
  <c r="AS55" i="64" s="1"/>
  <c r="AT56" i="64"/>
  <c r="AT57" i="64"/>
  <c r="AS57" i="64" s="1"/>
  <c r="AT42" i="64"/>
  <c r="AT27" i="64"/>
  <c r="AS27" i="64" s="1"/>
  <c r="AT28" i="64"/>
  <c r="AT29" i="64"/>
  <c r="AS29" i="64" s="1"/>
  <c r="AT30" i="64"/>
  <c r="AT31" i="64"/>
  <c r="AS31" i="64" s="1"/>
  <c r="AT32" i="64"/>
  <c r="AT33" i="64"/>
  <c r="AS33" i="64" s="1"/>
  <c r="AT34" i="64"/>
  <c r="AT35" i="64"/>
  <c r="AS35" i="64" s="1"/>
  <c r="AT36" i="64"/>
  <c r="AT37" i="64"/>
  <c r="AS37" i="64" s="1"/>
  <c r="AT38" i="64"/>
  <c r="AT39" i="64"/>
  <c r="AS39" i="64" s="1"/>
  <c r="AT26" i="64"/>
  <c r="AT15" i="64"/>
  <c r="AS15" i="64" s="1"/>
  <c r="AT16" i="64"/>
  <c r="AT17" i="64"/>
  <c r="AS17" i="64" s="1"/>
  <c r="AT18" i="64"/>
  <c r="AT19" i="64"/>
  <c r="AS19" i="64" s="1"/>
  <c r="AT20" i="64"/>
  <c r="AT21" i="64"/>
  <c r="AS21" i="64" s="1"/>
  <c r="AT14" i="64"/>
  <c r="AT7" i="64"/>
  <c r="AT8" i="64"/>
  <c r="AT9" i="64"/>
  <c r="AS9" i="64" s="1"/>
  <c r="AT10" i="64"/>
  <c r="AT11" i="64"/>
  <c r="AS11" i="64" s="1"/>
  <c r="F2" i="71" l="1"/>
  <c r="AS60" i="64"/>
  <c r="BD60" i="64"/>
  <c r="G31" i="48" s="1"/>
  <c r="R31" i="48" s="1"/>
  <c r="AS62" i="64"/>
  <c r="BD62" i="64"/>
  <c r="G32" i="48" s="1"/>
  <c r="R32" i="48" s="1"/>
  <c r="AS64" i="64"/>
  <c r="BD64" i="64"/>
  <c r="G33" i="48" s="1"/>
  <c r="R33" i="48" s="1"/>
  <c r="AS66" i="64"/>
  <c r="BD66" i="64"/>
  <c r="G34" i="48" s="1"/>
  <c r="R34" i="48" s="1"/>
  <c r="AS10" i="64"/>
  <c r="BD10" i="64"/>
  <c r="G5" i="48" s="1"/>
  <c r="R5" i="48" s="1"/>
  <c r="AS8" i="64"/>
  <c r="BD8" i="64"/>
  <c r="G4" i="48" s="1"/>
  <c r="R4" i="48" s="1"/>
  <c r="AS7" i="64"/>
  <c r="AT67" i="64"/>
  <c r="AS14" i="64"/>
  <c r="BD14" i="64"/>
  <c r="G7" i="48" s="1"/>
  <c r="R7" i="48" s="1"/>
  <c r="AS20" i="64"/>
  <c r="BD20" i="64"/>
  <c r="G10" i="48" s="1"/>
  <c r="R10" i="48" s="1"/>
  <c r="AS18" i="64"/>
  <c r="BD18" i="64"/>
  <c r="G9" i="48" s="1"/>
  <c r="R9" i="48" s="1"/>
  <c r="AS16" i="64"/>
  <c r="BD16" i="64"/>
  <c r="G8" i="48" s="1"/>
  <c r="R8" i="48" s="1"/>
  <c r="AS26" i="64"/>
  <c r="BD26" i="64"/>
  <c r="G13" i="48" s="1"/>
  <c r="R13" i="48" s="1"/>
  <c r="AS38" i="64"/>
  <c r="BD38" i="64"/>
  <c r="G20" i="48" s="1"/>
  <c r="R20" i="48" s="1"/>
  <c r="AS36" i="64"/>
  <c r="BD36" i="64"/>
  <c r="G19" i="48" s="1"/>
  <c r="R19" i="48" s="1"/>
  <c r="AS34" i="64"/>
  <c r="BD34" i="64"/>
  <c r="G18" i="48" s="1"/>
  <c r="R18" i="48" s="1"/>
  <c r="AS32" i="64"/>
  <c r="BD32" i="64"/>
  <c r="G16" i="48" s="1"/>
  <c r="R16" i="48" s="1"/>
  <c r="AS30" i="64"/>
  <c r="BD30" i="64"/>
  <c r="G15" i="48" s="1"/>
  <c r="R15" i="48" s="1"/>
  <c r="AS28" i="64"/>
  <c r="BD28" i="64"/>
  <c r="G14" i="48" s="1"/>
  <c r="R14" i="48" s="1"/>
  <c r="AS42" i="64"/>
  <c r="BD42" i="64"/>
  <c r="G22" i="48" s="1"/>
  <c r="R22" i="48" s="1"/>
  <c r="AS56" i="64"/>
  <c r="BD56" i="64"/>
  <c r="G29" i="48" s="1"/>
  <c r="R29" i="48" s="1"/>
  <c r="AS54" i="64"/>
  <c r="BD54" i="64"/>
  <c r="G28" i="48" s="1"/>
  <c r="R28" i="48" s="1"/>
  <c r="AS52" i="64"/>
  <c r="BD52" i="64"/>
  <c r="G27" i="48" s="1"/>
  <c r="R27" i="48" s="1"/>
  <c r="AS50" i="64"/>
  <c r="BD50" i="64"/>
  <c r="G26" i="48" s="1"/>
  <c r="R26" i="48" s="1"/>
  <c r="AS48" i="64"/>
  <c r="BD48" i="64"/>
  <c r="G25" i="48" s="1"/>
  <c r="R25" i="48" s="1"/>
  <c r="AS46" i="64"/>
  <c r="BD46" i="64"/>
  <c r="G24" i="48" s="1"/>
  <c r="R24" i="48" s="1"/>
  <c r="AS44" i="64"/>
  <c r="BD44" i="64"/>
  <c r="G23" i="48" s="1"/>
  <c r="R23" i="48" s="1"/>
  <c r="AS67" i="64"/>
  <c r="F22" i="71" l="1"/>
  <c r="F23" i="71"/>
  <c r="F24" i="71"/>
  <c r="F25" i="71"/>
  <c r="F26" i="71"/>
  <c r="F27" i="71"/>
  <c r="F28" i="71"/>
  <c r="F21" i="71"/>
  <c r="F13" i="71"/>
  <c r="F14" i="71"/>
  <c r="F15" i="71"/>
  <c r="F17" i="71"/>
  <c r="F18" i="71"/>
  <c r="F19" i="71"/>
  <c r="F12" i="71"/>
  <c r="F7" i="71"/>
  <c r="F8" i="71"/>
  <c r="F9" i="71"/>
  <c r="F6" i="71"/>
  <c r="F3" i="71"/>
  <c r="G36" i="48"/>
  <c r="F4" i="71"/>
  <c r="F33" i="71"/>
  <c r="F32" i="71"/>
  <c r="F31" i="71"/>
  <c r="F30" i="71"/>
  <c r="R36" i="48"/>
  <c r="G35" i="48"/>
  <c r="BD68" i="64"/>
  <c r="BD67" i="64"/>
  <c r="AT66" i="72"/>
  <c r="AS66" i="72" s="1"/>
  <c r="BD66" i="72"/>
  <c r="H34" i="48" s="1"/>
  <c r="AT66" i="65"/>
  <c r="AS66" i="65" s="1"/>
  <c r="BD66" i="65"/>
  <c r="AT64" i="72"/>
  <c r="AS64" i="72" s="1"/>
  <c r="BD64" i="72"/>
  <c r="H33" i="48" s="1"/>
  <c r="AT64" i="65"/>
  <c r="AS64" i="65" s="1"/>
  <c r="BD64" i="65"/>
  <c r="AT60" i="72"/>
  <c r="AS60" i="72" s="1"/>
  <c r="BD60" i="72"/>
  <c r="H31" i="48" s="1"/>
  <c r="AT60" i="65"/>
  <c r="AS60" i="65" s="1"/>
  <c r="BD60" i="65"/>
  <c r="AT56" i="72"/>
  <c r="AS56" i="72" s="1"/>
  <c r="BD56" i="72"/>
  <c r="H29" i="48" s="1"/>
  <c r="AT56" i="65"/>
  <c r="AS56" i="65" s="1"/>
  <c r="BD56" i="65"/>
  <c r="AT54" i="72"/>
  <c r="AS54" i="72" s="1"/>
  <c r="BD54" i="72"/>
  <c r="H28" i="48" s="1"/>
  <c r="AT54" i="65"/>
  <c r="AS54" i="65" s="1"/>
  <c r="BD54" i="65"/>
  <c r="AT52" i="72"/>
  <c r="AS52" i="72" s="1"/>
  <c r="BD52" i="72"/>
  <c r="H27" i="48" s="1"/>
  <c r="AT52" i="65"/>
  <c r="AS52" i="65" s="1"/>
  <c r="BD52" i="65"/>
  <c r="AT50" i="72"/>
  <c r="AS50" i="72" s="1"/>
  <c r="BD50" i="72"/>
  <c r="H26" i="48" s="1"/>
  <c r="AT50" i="65"/>
  <c r="AS50" i="65" s="1"/>
  <c r="BD50" i="65"/>
  <c r="AT48" i="72"/>
  <c r="AS48" i="72" s="1"/>
  <c r="BD48" i="72"/>
  <c r="H25" i="48" s="1"/>
  <c r="AT48" i="65"/>
  <c r="AS48" i="65" s="1"/>
  <c r="BD48" i="65"/>
  <c r="AT46" i="72"/>
  <c r="AS46" i="72" s="1"/>
  <c r="BD46" i="72"/>
  <c r="H24" i="48" s="1"/>
  <c r="AT46" i="65"/>
  <c r="AS46" i="65" s="1"/>
  <c r="BD46" i="65"/>
  <c r="AT44" i="72"/>
  <c r="AS44" i="72" s="1"/>
  <c r="BD44" i="72"/>
  <c r="H23" i="48" s="1"/>
  <c r="AT44" i="65"/>
  <c r="AS44" i="65" s="1"/>
  <c r="BD44" i="65"/>
  <c r="AT42" i="72"/>
  <c r="AS42" i="72" s="1"/>
  <c r="BD42" i="72"/>
  <c r="H22" i="48" s="1"/>
  <c r="AT42" i="65"/>
  <c r="AS42" i="65" s="1"/>
  <c r="BD42" i="65"/>
  <c r="AT38" i="72"/>
  <c r="AS38" i="72" s="1"/>
  <c r="BD38" i="72"/>
  <c r="H20" i="48" s="1"/>
  <c r="AT38" i="65"/>
  <c r="AS38" i="65" s="1"/>
  <c r="BD38" i="65"/>
  <c r="AT36" i="72"/>
  <c r="AS36" i="72" s="1"/>
  <c r="BD36" i="72"/>
  <c r="H19" i="48" s="1"/>
  <c r="AT36" i="65"/>
  <c r="AS36" i="65" s="1"/>
  <c r="BD36" i="65"/>
  <c r="AT34" i="72"/>
  <c r="AS34" i="72" s="1"/>
  <c r="BD34" i="72"/>
  <c r="H18" i="48" s="1"/>
  <c r="AT34" i="65"/>
  <c r="AS34" i="65" s="1"/>
  <c r="BD34" i="65"/>
  <c r="AT32" i="72"/>
  <c r="AS32" i="72" s="1"/>
  <c r="BD32" i="72"/>
  <c r="H16" i="48" s="1"/>
  <c r="AT32" i="65"/>
  <c r="AS32" i="65" s="1"/>
  <c r="BD32" i="65"/>
  <c r="AT30" i="72"/>
  <c r="AS30" i="72" s="1"/>
  <c r="BD30" i="72"/>
  <c r="H15" i="48" s="1"/>
  <c r="AT30" i="65"/>
  <c r="AS30" i="65" s="1"/>
  <c r="BD30" i="65"/>
  <c r="AT28" i="72"/>
  <c r="AS28" i="72" s="1"/>
  <c r="BD28" i="72"/>
  <c r="H14" i="48" s="1"/>
  <c r="AT28" i="65"/>
  <c r="AS28" i="65" s="1"/>
  <c r="BD28" i="65"/>
  <c r="AT26" i="72"/>
  <c r="AS26" i="72" s="1"/>
  <c r="BD26" i="72"/>
  <c r="H13" i="48" s="1"/>
  <c r="AT26" i="65"/>
  <c r="AS26" i="65" s="1"/>
  <c r="BD26" i="65"/>
  <c r="AT20" i="72"/>
  <c r="AS20" i="72" s="1"/>
  <c r="BD20" i="72"/>
  <c r="H10" i="48" s="1"/>
  <c r="AT20" i="65"/>
  <c r="AS20" i="65" s="1"/>
  <c r="BD20" i="65"/>
  <c r="AT18" i="72"/>
  <c r="AS18" i="72" s="1"/>
  <c r="BD18" i="72"/>
  <c r="H9" i="48" s="1"/>
  <c r="AT18" i="65"/>
  <c r="AS18" i="65" s="1"/>
  <c r="BD18" i="65"/>
  <c r="AT16" i="72"/>
  <c r="AS16" i="72" s="1"/>
  <c r="BD16" i="72"/>
  <c r="H8" i="48" s="1"/>
  <c r="AT16" i="65"/>
  <c r="AS16" i="65" s="1"/>
  <c r="BD16" i="65"/>
  <c r="AT10" i="72"/>
  <c r="AS10" i="72" s="1"/>
  <c r="BD10" i="72"/>
  <c r="H5" i="48" s="1"/>
  <c r="AT10" i="65"/>
  <c r="AS10" i="65" s="1"/>
  <c r="BD10" i="65"/>
  <c r="AT8" i="72"/>
  <c r="AS8" i="72" s="1"/>
  <c r="BD8" i="72"/>
  <c r="H4" i="48" s="1"/>
  <c r="AT8" i="65"/>
  <c r="AS8" i="65" s="1"/>
  <c r="BD8" i="65"/>
  <c r="AT14" i="72"/>
  <c r="AS14" i="72" s="1"/>
  <c r="BD14" i="72"/>
  <c r="H7" i="48" s="1"/>
  <c r="AT14" i="65"/>
  <c r="AS14" i="65" s="1"/>
  <c r="BD14" i="65"/>
  <c r="AT6" i="65"/>
  <c r="AT62" i="72"/>
  <c r="BD62" i="72"/>
  <c r="H32" i="48" s="1"/>
  <c r="AS6" i="72"/>
  <c r="AS67" i="72" s="1"/>
  <c r="AS68" i="72"/>
  <c r="D9" i="66"/>
  <c r="AT62" i="65"/>
  <c r="S32" i="48" l="1"/>
  <c r="T32" i="48"/>
  <c r="S7" i="48"/>
  <c r="T7" i="48"/>
  <c r="S4" i="48"/>
  <c r="T4" i="48"/>
  <c r="S5" i="48"/>
  <c r="T5" i="48"/>
  <c r="S8" i="48"/>
  <c r="T8" i="48"/>
  <c r="S9" i="48"/>
  <c r="T9" i="48"/>
  <c r="S10" i="48"/>
  <c r="T10" i="48"/>
  <c r="S13" i="48"/>
  <c r="T13" i="48"/>
  <c r="S14" i="48"/>
  <c r="T14" i="48"/>
  <c r="S15" i="48"/>
  <c r="T15" i="48"/>
  <c r="S16" i="48"/>
  <c r="T16" i="48"/>
  <c r="S18" i="48"/>
  <c r="T18" i="48"/>
  <c r="S19" i="48"/>
  <c r="T19" i="48"/>
  <c r="S20" i="48"/>
  <c r="T20" i="48"/>
  <c r="S22" i="48"/>
  <c r="T22" i="48"/>
  <c r="S23" i="48"/>
  <c r="T23" i="48"/>
  <c r="S24" i="48"/>
  <c r="T24" i="48"/>
  <c r="S25" i="48"/>
  <c r="T25" i="48"/>
  <c r="S26" i="48"/>
  <c r="T26" i="48"/>
  <c r="S27" i="48"/>
  <c r="T27" i="48"/>
  <c r="S28" i="48"/>
  <c r="T28" i="48"/>
  <c r="S29" i="48"/>
  <c r="T29" i="48"/>
  <c r="S31" i="48"/>
  <c r="T31" i="48"/>
  <c r="S33" i="48"/>
  <c r="T33" i="48"/>
  <c r="S34" i="48"/>
  <c r="T34" i="48"/>
  <c r="G31" i="71"/>
  <c r="H31" i="71"/>
  <c r="G6" i="71"/>
  <c r="H6" i="71"/>
  <c r="G3" i="71"/>
  <c r="H3" i="71"/>
  <c r="G4" i="71"/>
  <c r="H4" i="71"/>
  <c r="G7" i="71"/>
  <c r="H7" i="71"/>
  <c r="G8" i="71"/>
  <c r="H8" i="71"/>
  <c r="G9" i="71"/>
  <c r="H9" i="71"/>
  <c r="G12" i="71"/>
  <c r="H12" i="71"/>
  <c r="G13" i="71"/>
  <c r="H13" i="71"/>
  <c r="G14" i="71"/>
  <c r="H14" i="71"/>
  <c r="G15" i="71"/>
  <c r="H15" i="71"/>
  <c r="G17" i="71"/>
  <c r="H17" i="71"/>
  <c r="G18" i="71"/>
  <c r="H18" i="71"/>
  <c r="G19" i="71"/>
  <c r="H19" i="71"/>
  <c r="G21" i="71"/>
  <c r="H21" i="71"/>
  <c r="G22" i="71"/>
  <c r="H22" i="71"/>
  <c r="G23" i="71"/>
  <c r="H23" i="71"/>
  <c r="G24" i="71"/>
  <c r="H24" i="71"/>
  <c r="G25" i="71"/>
  <c r="H25" i="71"/>
  <c r="G26" i="71"/>
  <c r="H26" i="71"/>
  <c r="G27" i="71"/>
  <c r="H27" i="71"/>
  <c r="G28" i="71"/>
  <c r="H28" i="71"/>
  <c r="G30" i="71"/>
  <c r="H30" i="71"/>
  <c r="G32" i="71"/>
  <c r="H32" i="71"/>
  <c r="G33" i="71"/>
  <c r="H33" i="71"/>
  <c r="AT76" i="65" a="1"/>
  <c r="AT76" i="65" s="1"/>
  <c r="BD62" i="65"/>
  <c r="BD6" i="72"/>
  <c r="H3" i="48" s="1"/>
  <c r="AT67" i="72"/>
  <c r="AT76" i="72" a="1"/>
  <c r="AT76" i="72" s="1"/>
  <c r="AS6" i="65"/>
  <c r="BD6" i="65"/>
  <c r="AT67" i="65"/>
  <c r="S3" i="48" l="1"/>
  <c r="T3" i="48"/>
  <c r="H2" i="71"/>
  <c r="BD67" i="65"/>
  <c r="BD68" i="65"/>
  <c r="AS68" i="65"/>
  <c r="AS67" i="65"/>
  <c r="BD67" i="72"/>
  <c r="BD68" i="72"/>
  <c r="T36" i="48" l="1"/>
  <c r="H35" i="48"/>
  <c r="H36" i="48"/>
  <c r="G2" i="71" l="1"/>
  <c r="S36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Panchevre, Gabrielle F LT USN (USA)</author>
  </authors>
  <commentList>
    <comment ref="F7" authorId="0" shapeId="0" xr:uid="{F8923A06-39C3-48DC-87D9-20D8B78AB09B}">
      <text>
        <r>
          <rPr>
            <sz val="11"/>
            <color theme="1"/>
            <rFont val="Calibri"/>
            <family val="2"/>
            <scheme val="minor"/>
          </rPr>
          <t>Panchevre, Gabrielle F LT USN (USA):
Read ahead with CDRE. POC: N7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tc={2A8ED815-F8B1-440D-A7B2-7A0E0BD90C8C}</author>
  </authors>
  <commentList>
    <comment ref="V25" authorId="0" shapeId="0" xr:uid="{2A8ED815-F8B1-440D-A7B2-7A0E0BD90C8C}">
      <text>
        <t>[Threaded comment]
Your version of Excel allows you to read this threaded comment; however, any edits to it will get removed if the file is opened in a newer version of Excel. Learn more: https://go.microsoft.com/fwlink/?linkid=870924
Comment:
    Virtual most likely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<sst xmlns="http://schemas.openxmlformats.org/spreadsheetml/2006/main" count="13958" uniqueCount="1541">
  <si>
    <t>Cover Sheet</t>
  </si>
  <si>
    <t>TSC</t>
  </si>
  <si>
    <t>Event</t>
  </si>
  <si>
    <t>POC</t>
  </si>
  <si>
    <t>ORF</t>
  </si>
  <si>
    <t>IPC</t>
  </si>
  <si>
    <t>MPC</t>
  </si>
  <si>
    <t>IPR</t>
  </si>
  <si>
    <t>FPC</t>
  </si>
  <si>
    <t>CDB</t>
  </si>
  <si>
    <t>CONOP</t>
  </si>
  <si>
    <t>Event Start</t>
  </si>
  <si>
    <t>Carat Singapore</t>
  </si>
  <si>
    <t>N7</t>
  </si>
  <si>
    <t>17-18 Nov</t>
  </si>
  <si>
    <t xml:space="preserve">Carat Indonesia </t>
  </si>
  <si>
    <t>6-7 Oct</t>
  </si>
  <si>
    <t>9-10 Nov</t>
  </si>
  <si>
    <t>Carat Malaysia</t>
  </si>
  <si>
    <t>CTF 71</t>
  </si>
  <si>
    <t>20-21 Oct</t>
  </si>
  <si>
    <t>Carat Timor Leste</t>
  </si>
  <si>
    <t>Carat Bangladash</t>
  </si>
  <si>
    <t>SCC</t>
  </si>
  <si>
    <t>Exercise</t>
  </si>
  <si>
    <t>FST-J 23</t>
  </si>
  <si>
    <t>TAILSMAN SABER 23</t>
  </si>
  <si>
    <t>SWATT</t>
  </si>
  <si>
    <t>NOBLE FUSION 23.1</t>
  </si>
  <si>
    <t>Month</t>
  </si>
  <si>
    <t xml:space="preserve"> </t>
  </si>
  <si>
    <t>Day</t>
  </si>
  <si>
    <t>W-Day</t>
  </si>
  <si>
    <t>T</t>
  </si>
  <si>
    <t>W</t>
  </si>
  <si>
    <t>F</t>
  </si>
  <si>
    <t>S</t>
  </si>
  <si>
    <t>M</t>
  </si>
  <si>
    <t>Federal Holidays</t>
  </si>
  <si>
    <t>Veterans Day</t>
  </si>
  <si>
    <t>CDS7 Luncheon</t>
  </si>
  <si>
    <t>Thanksgiving Lib</t>
  </si>
  <si>
    <t>USS OAKLAND</t>
  </si>
  <si>
    <t>DSAR A-90</t>
  </si>
  <si>
    <t>A-90</t>
  </si>
  <si>
    <t>CONOPS</t>
  </si>
  <si>
    <t>RAV</t>
  </si>
  <si>
    <t>AT SEA OPS</t>
  </si>
  <si>
    <t>A-104</t>
  </si>
  <si>
    <t>USS CHARLESTON</t>
  </si>
  <si>
    <t>CARAT Malaysia</t>
  </si>
  <si>
    <t>C7F TSC SKED SYNC</t>
  </si>
  <si>
    <t>cc</t>
  </si>
  <si>
    <t xml:space="preserve"> C7F OAI Sync (JPN)</t>
  </si>
  <si>
    <t>CARAT INDONESIA</t>
  </si>
  <si>
    <t>Trvl</t>
  </si>
  <si>
    <t>IND FPC</t>
  </si>
  <si>
    <t>CARAT SINGAPORE</t>
  </si>
  <si>
    <t>SYNC</t>
  </si>
  <si>
    <t>SNG FPC</t>
  </si>
  <si>
    <t>CARAT MALAYSIA</t>
  </si>
  <si>
    <t>SEACAT 2023</t>
  </si>
  <si>
    <t>SEACAT 23 Pre-CDC</t>
  </si>
  <si>
    <t>CARAT TIMOR LESTE</t>
  </si>
  <si>
    <t>PAC GRIFFIN</t>
  </si>
  <si>
    <t>PAC GRIFFIN IPC</t>
  </si>
  <si>
    <t>CDRE</t>
  </si>
  <si>
    <t>CAPT</t>
  </si>
  <si>
    <t>LaBenz</t>
  </si>
  <si>
    <t>GRGB</t>
  </si>
  <si>
    <t>Leave (USA)</t>
  </si>
  <si>
    <t>SGP FPC</t>
  </si>
  <si>
    <t>LV Vietnam</t>
  </si>
  <si>
    <t>DDRE</t>
  </si>
  <si>
    <t>Lewis</t>
  </si>
  <si>
    <t>LV Phuket</t>
  </si>
  <si>
    <t>FAO</t>
  </si>
  <si>
    <t>LCDR</t>
  </si>
  <si>
    <t>Chen</t>
  </si>
  <si>
    <t>Spec Lib - Malay</t>
  </si>
  <si>
    <t>PAO</t>
  </si>
  <si>
    <t>LTJG</t>
  </si>
  <si>
    <t>Issa</t>
  </si>
  <si>
    <t>Leave (Bali, IDN)</t>
  </si>
  <si>
    <t>N1</t>
  </si>
  <si>
    <t>YNC</t>
  </si>
  <si>
    <t>Jones</t>
  </si>
  <si>
    <t>LS1</t>
  </si>
  <si>
    <t>Nguyen</t>
  </si>
  <si>
    <t>Local Leave</t>
  </si>
  <si>
    <t>BM1</t>
  </si>
  <si>
    <t>Funk</t>
  </si>
  <si>
    <t>N2</t>
  </si>
  <si>
    <t>Kesluk</t>
  </si>
  <si>
    <t>Leave (THI)</t>
  </si>
  <si>
    <t>LT</t>
  </si>
  <si>
    <t>Lucic</t>
  </si>
  <si>
    <t>IS1</t>
  </si>
  <si>
    <t>Alumia</t>
  </si>
  <si>
    <t>N3</t>
  </si>
  <si>
    <t>CDR</t>
  </si>
  <si>
    <t>Campbell</t>
  </si>
  <si>
    <t>Fortunati</t>
  </si>
  <si>
    <t xml:space="preserve">TAD - TAPS (JPN) </t>
  </si>
  <si>
    <t>Flight Phys (JPN)</t>
  </si>
  <si>
    <t>Gustavson</t>
  </si>
  <si>
    <t>OSC</t>
  </si>
  <si>
    <t>Harris</t>
  </si>
  <si>
    <t>OS1</t>
  </si>
  <si>
    <t>Tillman</t>
  </si>
  <si>
    <t>N4</t>
  </si>
  <si>
    <t>Isip</t>
  </si>
  <si>
    <t>Leave</t>
  </si>
  <si>
    <t xml:space="preserve">GSCS </t>
  </si>
  <si>
    <t>Wiggan</t>
  </si>
  <si>
    <t>LV Malaysia</t>
  </si>
  <si>
    <t>Jeanpierre</t>
  </si>
  <si>
    <t>Leave (Tokyo, JP)</t>
  </si>
  <si>
    <t xml:space="preserve">ENCS </t>
  </si>
  <si>
    <t>Zarate</t>
  </si>
  <si>
    <t xml:space="preserve">ENC </t>
  </si>
  <si>
    <t>Goshay</t>
  </si>
  <si>
    <t>ENC</t>
  </si>
  <si>
    <t>Hernandez</t>
  </si>
  <si>
    <t xml:space="preserve">EMC </t>
  </si>
  <si>
    <t>Legleiter</t>
  </si>
  <si>
    <t>Peredo</t>
  </si>
  <si>
    <t>ETC</t>
  </si>
  <si>
    <t>Mai</t>
  </si>
  <si>
    <t>FC1</t>
  </si>
  <si>
    <t>Brewer</t>
  </si>
  <si>
    <t>ET1</t>
  </si>
  <si>
    <t>Navarra</t>
  </si>
  <si>
    <t>SPEC LIB(MYS)</t>
  </si>
  <si>
    <t xml:space="preserve">GM1 </t>
  </si>
  <si>
    <t>Ogle</t>
  </si>
  <si>
    <t>N5</t>
  </si>
  <si>
    <t>Travers</t>
  </si>
  <si>
    <t>TS23 MPC</t>
  </si>
  <si>
    <t>Panchevre</t>
  </si>
  <si>
    <t>JDOCS (Yoko)</t>
  </si>
  <si>
    <t>ILWC Orders DEV (OKI)</t>
  </si>
  <si>
    <t>STGCS</t>
  </si>
  <si>
    <t>Hall</t>
  </si>
  <si>
    <t>N6</t>
  </si>
  <si>
    <t>ITC</t>
  </si>
  <si>
    <t>Conanan</t>
  </si>
  <si>
    <t>Leave (Manila, RP)</t>
  </si>
  <si>
    <t>Antero</t>
  </si>
  <si>
    <t>IT1</t>
  </si>
  <si>
    <t>Robinson</t>
  </si>
  <si>
    <t>Lucas</t>
  </si>
  <si>
    <t>(T) Leave (THI)</t>
  </si>
  <si>
    <t>Woewiyu</t>
  </si>
  <si>
    <t>(T) Leave (PH)</t>
  </si>
  <si>
    <t>GMC</t>
  </si>
  <si>
    <t>Collins</t>
  </si>
  <si>
    <t>MPC (V)</t>
  </si>
  <si>
    <t>(T) Leave</t>
  </si>
  <si>
    <t>December</t>
  </si>
  <si>
    <t>CDS7 XMAS Party</t>
  </si>
  <si>
    <t>CHRISTMAS 96-Hour</t>
  </si>
  <si>
    <t>NYE 96 Hour</t>
  </si>
  <si>
    <t xml:space="preserve">CDB </t>
  </si>
  <si>
    <t>PMAV</t>
  </si>
  <si>
    <t>USS MBL</t>
  </si>
  <si>
    <t>CDB - VR</t>
  </si>
  <si>
    <t>VR CDB</t>
  </si>
  <si>
    <t>CHL PMAV</t>
  </si>
  <si>
    <t>CHL Crew Turnover</t>
  </si>
  <si>
    <t>CHL VR Ride</t>
  </si>
  <si>
    <t>CARAT BANGLADESH</t>
  </si>
  <si>
    <t>IFR</t>
  </si>
  <si>
    <t>PHASE 1: SHORE</t>
  </si>
  <si>
    <t>PHASE 2: REHERSAL</t>
  </si>
  <si>
    <t>PHASE 3: C2</t>
  </si>
  <si>
    <t>CARAT SRI LANKA</t>
  </si>
  <si>
    <t>LKA FPC</t>
  </si>
  <si>
    <t>TL FPC</t>
  </si>
  <si>
    <t>FST 23-72</t>
  </si>
  <si>
    <t>FST 23-72 MPC (AUS)</t>
  </si>
  <si>
    <t>TS23 MPC (AUS)</t>
  </si>
  <si>
    <t xml:space="preserve">CARAT IDN </t>
  </si>
  <si>
    <t>LV Cambobia</t>
  </si>
  <si>
    <t>LV Thailand</t>
  </si>
  <si>
    <t>CARAT IDN  SHORE + EXCON</t>
  </si>
  <si>
    <t>(updated) FEML Leave (USA)</t>
  </si>
  <si>
    <t>Special Liberty - Malaysia</t>
  </si>
  <si>
    <t>(T) FEML LEAVE (USA)</t>
  </si>
  <si>
    <t>FEML LEAVE (FR &amp; IT)</t>
  </si>
  <si>
    <t>CARAT IDN SHORE + EXCON</t>
  </si>
  <si>
    <t>(T) LEAVE (IDN) - Need to resubmit for approval due to EXCON</t>
  </si>
  <si>
    <t>CARAT IDN SHORE</t>
  </si>
  <si>
    <t>Leave (Local/Vietnam)</t>
  </si>
  <si>
    <t>(T) LEAVE (Argentina)</t>
  </si>
  <si>
    <t>(T) LEAVE (Canada/CONUS)</t>
  </si>
  <si>
    <t>(T) LEAVE Local</t>
  </si>
  <si>
    <t>Leave (Local)</t>
  </si>
  <si>
    <t>Leave (PI)</t>
  </si>
  <si>
    <t>CHLCrew Turnover</t>
  </si>
  <si>
    <t>LEAVE (CONUS-Hawaii)</t>
  </si>
  <si>
    <t>Huntley</t>
  </si>
  <si>
    <t>TGPS YOK, JPN</t>
  </si>
  <si>
    <t>OKL PMAV</t>
  </si>
  <si>
    <t>CFL Course</t>
  </si>
  <si>
    <t>CHL Crew XoC</t>
  </si>
  <si>
    <t>TBEC Training CONUS (SD)</t>
  </si>
  <si>
    <t>LEAVE(local)</t>
  </si>
  <si>
    <t>Leave (Indonesia)</t>
  </si>
  <si>
    <t>(T) Leave (Local)</t>
  </si>
  <si>
    <t>TS23 MPC (BRISBANE)</t>
  </si>
  <si>
    <t>TAD TAPS Japan</t>
  </si>
  <si>
    <t>Leave (Manila or local)</t>
  </si>
  <si>
    <t>BGD FPC</t>
  </si>
  <si>
    <t>TLS FPC (Virtual)</t>
  </si>
  <si>
    <t>LEAVE (IDN)</t>
  </si>
  <si>
    <t>(T) Leave (USA)</t>
  </si>
  <si>
    <t>January 2023</t>
  </si>
  <si>
    <t>NY 96</t>
  </si>
  <si>
    <t>MLK</t>
  </si>
  <si>
    <t>E7 EXAM</t>
  </si>
  <si>
    <t>CREW TURNOVER</t>
  </si>
  <si>
    <t>COC</t>
  </si>
  <si>
    <t>A-90 /VR</t>
  </si>
  <si>
    <t>TSRA</t>
  </si>
  <si>
    <t>CARAT THAILAND</t>
  </si>
  <si>
    <t>THA IPC</t>
  </si>
  <si>
    <t>AAR</t>
  </si>
  <si>
    <t>US Only Pre-CDC w/ Embassy</t>
  </si>
  <si>
    <t>BRN</t>
  </si>
  <si>
    <t>VNM</t>
  </si>
  <si>
    <t>MYS</t>
  </si>
  <si>
    <t>CARAT/MAREX SRI LANKA</t>
  </si>
  <si>
    <t>MAREX SINGAPORE</t>
  </si>
  <si>
    <t>SGP</t>
  </si>
  <si>
    <t>VR</t>
  </si>
  <si>
    <t>LV Cambodia</t>
  </si>
  <si>
    <t>SRI LANKA</t>
  </si>
  <si>
    <t>(T, updated) FEML Leave (USA)</t>
  </si>
  <si>
    <t>Leave (Lipe, Thailand)</t>
  </si>
  <si>
    <t>Exam ESO</t>
  </si>
  <si>
    <t>E7 EXAM      (T) LEAVE (VIET NAM) NEW YEAR</t>
  </si>
  <si>
    <t>Leave (Vietnam)</t>
  </si>
  <si>
    <t>LT Lucic</t>
  </si>
  <si>
    <t xml:space="preserve">   </t>
  </si>
  <si>
    <t>Baglini</t>
  </si>
  <si>
    <t>(T) LEAVE (Borneo, Indonesia)</t>
  </si>
  <si>
    <t xml:space="preserve">LEAVE (Local) </t>
  </si>
  <si>
    <t xml:space="preserve">LT </t>
  </si>
  <si>
    <t>Cambe</t>
  </si>
  <si>
    <t xml:space="preserve">LV (Cambodia) </t>
  </si>
  <si>
    <t>TRVL</t>
  </si>
  <si>
    <t>SUBIC SITE VISIT</t>
  </si>
  <si>
    <t>LV (Thailand)</t>
  </si>
  <si>
    <t>FEML LEAVE CONUS - HAWAII</t>
  </si>
  <si>
    <t>GM1</t>
  </si>
  <si>
    <t>CAP</t>
  </si>
  <si>
    <t>(T) Leave (Cruise)</t>
  </si>
  <si>
    <t>(T) Leave (Bali)</t>
  </si>
  <si>
    <t xml:space="preserve">(T) Leave </t>
  </si>
  <si>
    <t>Pres Day Wknd</t>
  </si>
  <si>
    <t>Ops</t>
  </si>
  <si>
    <t>USS MCH</t>
  </si>
  <si>
    <t>CHL PMAV/RAV</t>
  </si>
  <si>
    <t>MPC THA</t>
  </si>
  <si>
    <t>NEA VIETNAM</t>
  </si>
  <si>
    <t>CDC VNM</t>
  </si>
  <si>
    <t>IDN PCDC</t>
  </si>
  <si>
    <t>SAMA PCDC</t>
  </si>
  <si>
    <t>THA MPC</t>
  </si>
  <si>
    <t>Sama CDC</t>
  </si>
  <si>
    <t>CARAT/MAREX TIMOR LESTE EXECUTION</t>
  </si>
  <si>
    <t>CARAT BRUNEI</t>
  </si>
  <si>
    <t>CDC BRN</t>
  </si>
  <si>
    <t>MTA SAMA SAMA</t>
  </si>
  <si>
    <t>CDC SAMA</t>
  </si>
  <si>
    <t>FST J SCC COI w/ TTGP (SG)</t>
  </si>
  <si>
    <t>NPP (OKI)</t>
  </si>
  <si>
    <t>TIMOR LESTE</t>
  </si>
  <si>
    <t>ELD Iwakuni</t>
  </si>
  <si>
    <t>(T) FEML (CH, NL, SE)</t>
  </si>
  <si>
    <t>GFHGDHGTD</t>
  </si>
  <si>
    <t>C7F SKEDS CONF (VTC)</t>
  </si>
  <si>
    <t xml:space="preserve">LCDR </t>
  </si>
  <si>
    <t>TAPS class plus Employment Track (in Singpaore)</t>
  </si>
  <si>
    <t>FST J SCC</t>
  </si>
  <si>
    <t>CHL Fly-off</t>
  </si>
  <si>
    <t>COI w/ TTGP (SG)</t>
  </si>
  <si>
    <t>CONVO LV</t>
  </si>
  <si>
    <t>LEAVE (LOCAL)</t>
  </si>
  <si>
    <t>OKL PMAV &amp; CHL PMAV/RAV</t>
  </si>
  <si>
    <t>BRUNEI SITE VISIT</t>
  </si>
  <si>
    <t>LEAVE (SG)</t>
  </si>
  <si>
    <t>EMC</t>
  </si>
  <si>
    <t>FML CONUS</t>
  </si>
  <si>
    <t>LEAVE (T) THA</t>
  </si>
  <si>
    <t>FST-J CAP</t>
  </si>
  <si>
    <t>C7F Fires Symposium</t>
  </si>
  <si>
    <t>Leave ROK</t>
  </si>
  <si>
    <t>ELD Yokosuka</t>
  </si>
  <si>
    <t>SAMA</t>
  </si>
  <si>
    <t>SGP AAR</t>
  </si>
  <si>
    <t>(T) Leave. Bali</t>
  </si>
  <si>
    <t>Parra</t>
  </si>
  <si>
    <t>March 2023</t>
  </si>
  <si>
    <t>SAS/Stamford Spring Break</t>
  </si>
  <si>
    <t>XCL Spring Break</t>
  </si>
  <si>
    <t xml:space="preserve">RAV/PMAV </t>
  </si>
  <si>
    <t>Operations</t>
  </si>
  <si>
    <t>THA IPR</t>
  </si>
  <si>
    <t>FPC THA</t>
  </si>
  <si>
    <t>IPC BRUNEI (V)</t>
  </si>
  <si>
    <t>BRN IPC</t>
  </si>
  <si>
    <t>THL IPC</t>
  </si>
  <si>
    <t>MYS CDC</t>
  </si>
  <si>
    <t>SAMA SAMA LUMBAS</t>
  </si>
  <si>
    <t>PCDC IDN</t>
  </si>
  <si>
    <t>SEACAT 23</t>
  </si>
  <si>
    <t>SEACAT 23 / MULTI-LAT CARAT CDC (SGP)</t>
  </si>
  <si>
    <t>FPC (SVT)</t>
  </si>
  <si>
    <t>SVT MPC</t>
  </si>
  <si>
    <t>TS23 FPC (Brisbane)</t>
  </si>
  <si>
    <t>NOBLE FUSION</t>
  </si>
  <si>
    <t xml:space="preserve">XPG23 MPC </t>
  </si>
  <si>
    <t xml:space="preserve">  </t>
  </si>
  <si>
    <t>FEML</t>
  </si>
  <si>
    <t>CTTC</t>
  </si>
  <si>
    <t>Thompson</t>
  </si>
  <si>
    <t>CHL/OKL RAV/PMAV Changi</t>
  </si>
  <si>
    <t>Leave (SG)</t>
  </si>
  <si>
    <t>Medical/Capstone/Ent track JPN</t>
  </si>
  <si>
    <t>OKL RAV/PMAV Changi</t>
  </si>
  <si>
    <t>CHL WOO/PMAV Changi</t>
  </si>
  <si>
    <t>DC1</t>
  </si>
  <si>
    <t>Allen</t>
  </si>
  <si>
    <t>ri</t>
  </si>
  <si>
    <t>Leave (Thailand)</t>
  </si>
  <si>
    <t>XPG23 MPC</t>
  </si>
  <si>
    <t>Leave Bali, Indonesia</t>
  </si>
  <si>
    <t xml:space="preserve">FEML (USA)														</t>
  </si>
  <si>
    <t>Herzinger</t>
  </si>
  <si>
    <t>CNSP BW</t>
  </si>
  <si>
    <t>Total LoEs</t>
  </si>
  <si>
    <t xml:space="preserve">LoEs In Planning </t>
  </si>
  <si>
    <t>Maintenance</t>
  </si>
  <si>
    <t>Maitenance</t>
  </si>
  <si>
    <t>CARAT</t>
  </si>
  <si>
    <t>LCS ISIC</t>
  </si>
  <si>
    <t xml:space="preserve">LoEs in Execution </t>
  </si>
  <si>
    <t>Total Personnel Available</t>
  </si>
  <si>
    <t>LCS OPS / SCC</t>
  </si>
  <si>
    <t>Personnel In Planning</t>
  </si>
  <si>
    <t>Personnel In Execution</t>
  </si>
  <si>
    <t>Engagment Ratio</t>
  </si>
  <si>
    <t>Engaged Ratio</t>
  </si>
  <si>
    <t>Assignment Coefficient</t>
  </si>
  <si>
    <t>Maintenance Assignment Coefficient</t>
  </si>
  <si>
    <t>CARAT Assignment Coefficient</t>
  </si>
  <si>
    <t>SCC Assignment Coefficient</t>
  </si>
  <si>
    <t>Effort Loading</t>
  </si>
  <si>
    <t>Level Loading</t>
  </si>
  <si>
    <t>Special Liberty</t>
  </si>
  <si>
    <t>Expeditionary PMAV</t>
  </si>
  <si>
    <t>MPC BRN</t>
  </si>
  <si>
    <t>SAMA SAMA IPC</t>
  </si>
  <si>
    <t>CARAT LKA/BANGLADESH</t>
  </si>
  <si>
    <t>SEACAT</t>
  </si>
  <si>
    <t>SEACAT IPC</t>
  </si>
  <si>
    <t>76/3 CDR's CONF</t>
  </si>
  <si>
    <t>FST-J</t>
  </si>
  <si>
    <t>NOBEL FUSION</t>
  </si>
  <si>
    <t>Leave - Vietnam</t>
  </si>
  <si>
    <t>Special LIB (SOY)</t>
  </si>
  <si>
    <t>Liberty KL</t>
  </si>
  <si>
    <t>Leave Cambodia</t>
  </si>
  <si>
    <t>Leave - Philippines</t>
  </si>
  <si>
    <t>PCSed</t>
  </si>
  <si>
    <t>MBL PMAV</t>
  </si>
  <si>
    <t>Leave-CONUS/PI/SINGAPORE</t>
  </si>
  <si>
    <t>CONVO leave</t>
  </si>
  <si>
    <t>CHL WOO/EPMAV GUAM</t>
  </si>
  <si>
    <t>CHL EM GUAM</t>
  </si>
  <si>
    <t>OKL E-PMAV Brunei</t>
  </si>
  <si>
    <t>(T) Leave - Bali, Indonesia</t>
  </si>
  <si>
    <t>MBL GUAM NSM XFER</t>
  </si>
  <si>
    <t>Leave - Singapore</t>
  </si>
  <si>
    <t>C7F III MEF FIGHTS ON OPT</t>
  </si>
  <si>
    <t>(T) Leave - Phuket, Thailand</t>
  </si>
  <si>
    <t>Leave-SG</t>
  </si>
  <si>
    <t>Leave - SG</t>
  </si>
  <si>
    <t>Leave - Manila, Philippines</t>
  </si>
  <si>
    <t>Leave - Pattaya, Thailand</t>
  </si>
  <si>
    <t xml:space="preserve">CDR </t>
  </si>
  <si>
    <t>FEML (USA)</t>
  </si>
  <si>
    <t>Liberty Malacca, MYS</t>
  </si>
  <si>
    <t>ENS</t>
  </si>
  <si>
    <t>Moore</t>
  </si>
  <si>
    <t>Arrive</t>
  </si>
  <si>
    <t>BRN MPC</t>
  </si>
  <si>
    <t>FEML (UAE)</t>
  </si>
  <si>
    <t>May 2023</t>
  </si>
  <si>
    <t>SAS Graduation</t>
  </si>
  <si>
    <t>Memorial Day Weekend</t>
  </si>
  <si>
    <t>DESRON SEVEN</t>
  </si>
  <si>
    <t>Staff Talks w/ CTF 71</t>
  </si>
  <si>
    <t>IMDEX SINGAPORE</t>
  </si>
  <si>
    <t>RAV/PMAV</t>
  </si>
  <si>
    <t>USS GABBY GIFFORD</t>
  </si>
  <si>
    <t>BRN MPC (V)</t>
  </si>
  <si>
    <t>LKA/BGD CDC</t>
  </si>
  <si>
    <t>SEACAT MPC</t>
  </si>
  <si>
    <t xml:space="preserve">SAMA SAMA </t>
  </si>
  <si>
    <t xml:space="preserve">MPC SAMA SAMA </t>
  </si>
  <si>
    <t>XPG FPC</t>
  </si>
  <si>
    <t>CARAT THA 23</t>
  </si>
  <si>
    <t xml:space="preserve">LV </t>
  </si>
  <si>
    <t>EOC</t>
  </si>
  <si>
    <t>FEML (CONUS, Panama)</t>
  </si>
  <si>
    <t>FEML (CONUS)</t>
  </si>
  <si>
    <t>Leave - Thailand</t>
  </si>
  <si>
    <t>Liberty Bintan</t>
  </si>
  <si>
    <t xml:space="preserve">TDY USS Oakland </t>
  </si>
  <si>
    <t>Medical</t>
  </si>
  <si>
    <t>LEAVE VNM</t>
  </si>
  <si>
    <t>IBP 23.2 MPC (SDG)</t>
  </si>
  <si>
    <t>CPO-ELD</t>
  </si>
  <si>
    <t>.</t>
  </si>
  <si>
    <t>Guam- CNSP SeaRAM CONF</t>
  </si>
  <si>
    <t>Leave-CONUS/PI/Singapore</t>
  </si>
  <si>
    <t>Convo LV</t>
  </si>
  <si>
    <t>P</t>
  </si>
  <si>
    <t>LEAVE (T) Singapore/CONUS</t>
  </si>
  <si>
    <t>DEI CONFERENCE</t>
  </si>
  <si>
    <t>LEAVE (T) Thailand</t>
  </si>
  <si>
    <t>OKL CREW TURNOVER</t>
  </si>
  <si>
    <t>Leave Malaysia</t>
  </si>
  <si>
    <t>Leave (T) Japan</t>
  </si>
  <si>
    <t>Medical/Convo Leave (T)</t>
  </si>
  <si>
    <t>Leave CONUS</t>
  </si>
  <si>
    <t>Leave - Bangkok, THA</t>
  </si>
  <si>
    <t>Trvl/Leave Thai</t>
  </si>
  <si>
    <t>SAMA MPC</t>
  </si>
  <si>
    <t>Depart</t>
  </si>
  <si>
    <t xml:space="preserve">ENS </t>
  </si>
  <si>
    <t>June 2023</t>
  </si>
  <si>
    <t>JUNETEENTH</t>
  </si>
  <si>
    <t>RAV/ PMAV</t>
  </si>
  <si>
    <t>Crew T/O</t>
  </si>
  <si>
    <t>EM/ WOO/ PMAV</t>
  </si>
  <si>
    <t>PAC GRIFFIN 23</t>
  </si>
  <si>
    <t>EPMAV</t>
  </si>
  <si>
    <t>NEA</t>
  </si>
  <si>
    <t>SEACAT FPC</t>
  </si>
  <si>
    <t>IPC MYS(Virtual)</t>
  </si>
  <si>
    <t>CDC (IDN)</t>
  </si>
  <si>
    <t>CDC LKA</t>
  </si>
  <si>
    <t>Multi-Lat</t>
  </si>
  <si>
    <t>PAC GRIFFIN (GUAM)</t>
  </si>
  <si>
    <t>Scarlett</t>
  </si>
  <si>
    <t>Arrive (T)</t>
  </si>
  <si>
    <t>(T) Batam Spec Lib</t>
  </si>
  <si>
    <t>Leave Vietnam</t>
  </si>
  <si>
    <t>Leave Requested Philippines</t>
  </si>
  <si>
    <t>USV FPC</t>
  </si>
  <si>
    <t>LEAVE (local)</t>
  </si>
  <si>
    <t>FEML LEAVE (CONUS)</t>
  </si>
  <si>
    <t>Leave KHM + THA</t>
  </si>
  <si>
    <t>LEAVE (T) Singapore</t>
  </si>
  <si>
    <t>LEAVE Singapore</t>
  </si>
  <si>
    <t>OKL RAV/PMAV</t>
  </si>
  <si>
    <t>Hernadez</t>
  </si>
  <si>
    <t>FEML LEAVE SD</t>
  </si>
  <si>
    <t>Medical/CONVO Leave</t>
  </si>
  <si>
    <t>FEML LEAVE(CONUS)</t>
  </si>
  <si>
    <t>Fernandez</t>
  </si>
  <si>
    <t>MBL CREW TURNOVER</t>
  </si>
  <si>
    <t>Leave (local)</t>
  </si>
  <si>
    <t xml:space="preserve">FEML </t>
  </si>
  <si>
    <t>LEAVE PI</t>
  </si>
  <si>
    <t>Liberty, Batam</t>
  </si>
  <si>
    <t>Liberty, JB, Malay</t>
  </si>
  <si>
    <t>Liberty, Kuala Lumpur, Malay</t>
  </si>
  <si>
    <t>LEAVE</t>
  </si>
  <si>
    <t>HHG</t>
  </si>
  <si>
    <t>WPS Course Virtual</t>
  </si>
  <si>
    <t>ARRIVE</t>
  </si>
  <si>
    <t>July 2023</t>
  </si>
  <si>
    <t>Fouth of July Weekend</t>
  </si>
  <si>
    <t>TAILSMAN SABER</t>
  </si>
  <si>
    <t>OMSI</t>
  </si>
  <si>
    <t>THAILAND</t>
  </si>
  <si>
    <t>SGP/THA PreCDC</t>
  </si>
  <si>
    <t>(T) MPC MYS</t>
  </si>
  <si>
    <t>BGD/LKA IPC</t>
  </si>
  <si>
    <t>SAMA SAMA FPC</t>
  </si>
  <si>
    <t>TS23 EMBARK WOO</t>
  </si>
  <si>
    <t>TAILSMAN SABER EXECUTION</t>
  </si>
  <si>
    <t>Leave (CONUS)</t>
  </si>
  <si>
    <t>U/W TRAINING USS OAKLAND</t>
  </si>
  <si>
    <t>GUAM GBG SUPPORT</t>
  </si>
  <si>
    <t>EMCS</t>
  </si>
  <si>
    <t xml:space="preserve">FEML (USA) </t>
  </si>
  <si>
    <t>FEML (JPN)</t>
  </si>
  <si>
    <t>SAPR VA SCHOOL (L)</t>
  </si>
  <si>
    <t>FEML Europe</t>
  </si>
  <si>
    <t>Checkout</t>
  </si>
  <si>
    <t>PCS</t>
  </si>
  <si>
    <t>Local Lv</t>
  </si>
  <si>
    <t>RCNSC, NDU</t>
  </si>
  <si>
    <t>IDN ISS</t>
  </si>
  <si>
    <t>Leave HI</t>
  </si>
  <si>
    <t>August 2023</t>
  </si>
  <si>
    <t>SAS starts school</t>
  </si>
  <si>
    <t>Singapore Nat'l Day</t>
  </si>
  <si>
    <t>WARCOM Fallon, NV</t>
  </si>
  <si>
    <t>EPMAV/WOO</t>
  </si>
  <si>
    <t>SGP/THAILAND</t>
  </si>
  <si>
    <t>FPC Brunei</t>
  </si>
  <si>
    <t>IDN IPC</t>
  </si>
  <si>
    <t>IPC LKA</t>
  </si>
  <si>
    <t>SGP/THA</t>
  </si>
  <si>
    <t>Pre-CDC</t>
  </si>
  <si>
    <t>GSCS</t>
  </si>
  <si>
    <t>Leave Bali</t>
  </si>
  <si>
    <t>MTU SCHOOL (CONUS)</t>
  </si>
  <si>
    <t>DEI INSPECTIONS GUAM</t>
  </si>
  <si>
    <t xml:space="preserve">Leave PHILIPPINES </t>
  </si>
  <si>
    <t xml:space="preserve">FEML US Leave </t>
  </si>
  <si>
    <t>MCH RAV/PMAV</t>
  </si>
  <si>
    <t>LEAVE PHILIPPINES</t>
  </si>
  <si>
    <t>Leave (MYS)</t>
  </si>
  <si>
    <t>Local/MYS leave</t>
  </si>
  <si>
    <t>Bartelmey</t>
  </si>
  <si>
    <t>September 2023</t>
  </si>
  <si>
    <t>Labor Day</t>
  </si>
  <si>
    <t>AOR Training</t>
  </si>
  <si>
    <t>PCDC MYS/TS</t>
  </si>
  <si>
    <t>FPC MYS</t>
  </si>
  <si>
    <t>IPC LKA FASTPAC OCE</t>
  </si>
  <si>
    <t>CDC</t>
  </si>
  <si>
    <t>FST J</t>
  </si>
  <si>
    <t>Valient Shield 24</t>
  </si>
  <si>
    <t>SCC Road Show (SD, CA)</t>
  </si>
  <si>
    <t>CMDCM</t>
  </si>
  <si>
    <t>Barnby</t>
  </si>
  <si>
    <t>Leave CA</t>
  </si>
  <si>
    <t>CONUS FEML</t>
  </si>
  <si>
    <t>Leave (Bali)</t>
  </si>
  <si>
    <t>Wohletz</t>
  </si>
  <si>
    <t>Deposta</t>
  </si>
  <si>
    <t>GBG PMAV Guam</t>
  </si>
  <si>
    <t>MBL RAV/PMAV</t>
  </si>
  <si>
    <t>OKL EPMAV GUAM</t>
  </si>
  <si>
    <t>Tran</t>
  </si>
  <si>
    <t>LSC</t>
  </si>
  <si>
    <t>Smith</t>
  </si>
  <si>
    <t>Re-Up</t>
  </si>
  <si>
    <t>Leave Local</t>
  </si>
  <si>
    <t>LEAVE (L)</t>
  </si>
  <si>
    <t>FEML (EGYPT / ISRAEL)</t>
  </si>
  <si>
    <t>Special Lib (Bintan)</t>
  </si>
  <si>
    <t xml:space="preserve">LTJG </t>
  </si>
  <si>
    <t>PA COURSE BALI</t>
  </si>
  <si>
    <t>30%-45%</t>
  </si>
  <si>
    <t>Q'1 23</t>
  </si>
  <si>
    <t>Q'2 23</t>
  </si>
  <si>
    <t>Q'3 23</t>
  </si>
  <si>
    <t>Q'4 23</t>
  </si>
  <si>
    <t>45%-50%</t>
  </si>
  <si>
    <t>50%&lt;</t>
  </si>
  <si>
    <t>Days on Travel</t>
  </si>
  <si>
    <t>TOTAL</t>
  </si>
  <si>
    <t>OCT</t>
  </si>
  <si>
    <t>NOV</t>
  </si>
  <si>
    <t>DEC</t>
  </si>
  <si>
    <t>Total</t>
  </si>
  <si>
    <t>JAN</t>
  </si>
  <si>
    <t>FEB</t>
  </si>
  <si>
    <t>MAR</t>
  </si>
  <si>
    <t>APR</t>
  </si>
  <si>
    <t>MAY</t>
  </si>
  <si>
    <t>JUN</t>
  </si>
  <si>
    <t>JULT</t>
  </si>
  <si>
    <t>AUG</t>
  </si>
  <si>
    <t>SEP</t>
  </si>
  <si>
    <t>Byrd</t>
  </si>
  <si>
    <t xml:space="preserve">DC1 </t>
  </si>
  <si>
    <t>Cambre</t>
  </si>
  <si>
    <t>October 2023</t>
  </si>
  <si>
    <t>Columbus Day</t>
  </si>
  <si>
    <t>SAS Fall Break</t>
  </si>
  <si>
    <t>GBG RAV/PMAV</t>
  </si>
  <si>
    <t>CDC MYS/TS</t>
  </si>
  <si>
    <t>SAMA SAMA</t>
  </si>
  <si>
    <t>MPC LKA FASTPAC OCE</t>
  </si>
  <si>
    <t>BK24 MPC</t>
  </si>
  <si>
    <t>RESOLUTE DRAGON</t>
  </si>
  <si>
    <t>RD 23.2 (Japan)</t>
  </si>
  <si>
    <t>leave</t>
  </si>
  <si>
    <t>CMC</t>
  </si>
  <si>
    <t>Leave (UAE)</t>
  </si>
  <si>
    <t>R-TAP GPS</t>
  </si>
  <si>
    <t>BMC</t>
  </si>
  <si>
    <t>96 Hour Special Liberty</t>
  </si>
  <si>
    <t>Leave Japan</t>
  </si>
  <si>
    <t>U/W</t>
  </si>
  <si>
    <t>ISC</t>
  </si>
  <si>
    <t>Leave Requested Phil</t>
  </si>
  <si>
    <t>FEML CONUS</t>
  </si>
  <si>
    <r>
      <rPr>
        <b/>
        <sz val="11"/>
        <color rgb="FFFFFFFF"/>
        <rFont val="Arial"/>
      </rPr>
      <t xml:space="preserve">Checkout / PCS	</t>
    </r>
    <r>
      <rPr>
        <b/>
        <sz val="11"/>
        <color rgb="FFFF0000"/>
        <rFont val="Calibri"/>
      </rPr>
      <t xml:space="preserve">							</t>
    </r>
  </si>
  <si>
    <t>Despota</t>
  </si>
  <si>
    <t>Special Lib PI</t>
  </si>
  <si>
    <t>Enlisted Leader Develpment Faclitator course (Korea)</t>
  </si>
  <si>
    <t>PHB DEI SUPPORT</t>
  </si>
  <si>
    <t>GBG DEI SUPPORT</t>
  </si>
  <si>
    <t>Special Lib Bali</t>
  </si>
  <si>
    <t xml:space="preserve"> Leave</t>
  </si>
  <si>
    <t>TAP</t>
  </si>
  <si>
    <t>Valencia</t>
  </si>
  <si>
    <t>LEAVE (CONUS)</t>
  </si>
  <si>
    <t>Graham</t>
  </si>
  <si>
    <t>December 2023</t>
  </si>
  <si>
    <t>SAS/ SAIS/XCL Winter Holiday                                                                                             Christmas Holiday                                                                             New Year Holiday</t>
  </si>
  <si>
    <t>EM/WOO</t>
  </si>
  <si>
    <t>UAS Install</t>
  </si>
  <si>
    <t>CDC MEA VNM</t>
  </si>
  <si>
    <t>BGD MPC</t>
  </si>
  <si>
    <t>AUREUS BLADE</t>
  </si>
  <si>
    <t>AUREUS BLADE 23 (NUWC Wargame)</t>
  </si>
  <si>
    <t>ADV TEAM PUERTO PRINCESA</t>
  </si>
  <si>
    <t>MPC (SD)</t>
  </si>
  <si>
    <t>FECC (OKI)</t>
  </si>
  <si>
    <t>AB Inbrief</t>
  </si>
  <si>
    <t>Game 2</t>
  </si>
  <si>
    <t>Outbrief</t>
  </si>
  <si>
    <t>FEML Australia</t>
  </si>
  <si>
    <t>SMS San Diego</t>
  </si>
  <si>
    <t>Leave - CONUS</t>
  </si>
  <si>
    <t>SG MCPON</t>
  </si>
  <si>
    <t>(T) LEAVE - LOCAL</t>
  </si>
  <si>
    <t>(T) LEAVE (Local)</t>
  </si>
  <si>
    <t>AUREUS BLADE 23 Wargame</t>
  </si>
  <si>
    <t>Liberty Bali</t>
  </si>
  <si>
    <t>Leave US</t>
  </si>
  <si>
    <t>Leave Phil</t>
  </si>
  <si>
    <t>AB Inbrief / Game 1</t>
  </si>
  <si>
    <t>Leave - Cambodia</t>
  </si>
  <si>
    <t xml:space="preserve">AUREUS BLADE 23 </t>
  </si>
  <si>
    <t>LEAVE- Local</t>
  </si>
  <si>
    <t>8000 S.</t>
  </si>
  <si>
    <t>MCH DEI</t>
  </si>
  <si>
    <t>MPDE WOO</t>
  </si>
  <si>
    <t>Leave- Australia</t>
  </si>
  <si>
    <t>OKL WOO/PMAV GUAM</t>
  </si>
  <si>
    <t>MCH PMAV</t>
  </si>
  <si>
    <t xml:space="preserve">GSMC </t>
  </si>
  <si>
    <t>Mckewon</t>
  </si>
  <si>
    <t>Pearson</t>
  </si>
  <si>
    <t>CFS</t>
  </si>
  <si>
    <t>(T) LEAVE</t>
  </si>
  <si>
    <t>Fuentes</t>
  </si>
  <si>
    <t>November 2023</t>
  </si>
  <si>
    <t>Veteran's Day</t>
  </si>
  <si>
    <t>Thanksgiving</t>
  </si>
  <si>
    <t>MTA MALAYSIA</t>
  </si>
  <si>
    <t>CDC TLS</t>
  </si>
  <si>
    <t>IPC TL(T)</t>
  </si>
  <si>
    <t>IDN MPC</t>
  </si>
  <si>
    <t>FORCE PROTECTION</t>
  </si>
  <si>
    <t>Advance FP Survey</t>
  </si>
  <si>
    <t>Maritime Security Conference</t>
  </si>
  <si>
    <t>TSUWC Coalition Confrence</t>
  </si>
  <si>
    <t>CDR's Training Symposium (CONUS)</t>
  </si>
  <si>
    <t>Checkout / PCS</t>
  </si>
  <si>
    <t>Leave Italy/UK</t>
  </si>
  <si>
    <t>Sydney, Australia Conference with RAN</t>
  </si>
  <si>
    <t>(T) Leave US</t>
  </si>
  <si>
    <t>Out of Area Liberty (Philippines)</t>
  </si>
  <si>
    <t>Leave (Phuket)</t>
  </si>
  <si>
    <t>Special Liberty (Batam)</t>
  </si>
  <si>
    <t xml:space="preserve">TSUWC Coalition Confrence (Sembawang)			</t>
  </si>
  <si>
    <t>FLCY Symposium</t>
  </si>
  <si>
    <t>(T) Leave- PI</t>
  </si>
  <si>
    <t>MBL PMAV SUBIC</t>
  </si>
  <si>
    <t>FEML LEAVE</t>
  </si>
  <si>
    <t>MTU 8000 School CONUS</t>
  </si>
  <si>
    <t>(T) Leave- Thailand</t>
  </si>
  <si>
    <t>OKL WOO/PMAV</t>
  </si>
  <si>
    <t>GBG PMAV</t>
  </si>
  <si>
    <t>MTU School CONUS</t>
  </si>
  <si>
    <t>Special liberty (Malaysia)</t>
  </si>
  <si>
    <t>Leave Conus</t>
  </si>
  <si>
    <t>GSMC</t>
  </si>
  <si>
    <t>Mckeown</t>
  </si>
  <si>
    <t xml:space="preserve"> Leave Vietnam</t>
  </si>
  <si>
    <t xml:space="preserve"> (T) CFS SCHOOL YOKO JAPAN</t>
  </si>
  <si>
    <t>Special Lib Phuket</t>
  </si>
  <si>
    <t>Leave (Japan)</t>
  </si>
  <si>
    <t>IPC TL</t>
  </si>
  <si>
    <t xml:space="preserve">GMC </t>
  </si>
  <si>
    <t>July 2024</t>
  </si>
  <si>
    <t xml:space="preserve">Independence Day </t>
  </si>
  <si>
    <t>USS SAVANNAH</t>
  </si>
  <si>
    <t>D-30 Brief WOO</t>
  </si>
  <si>
    <t>BRN MPC(V)</t>
  </si>
  <si>
    <t>SGP/THAI</t>
  </si>
  <si>
    <t xml:space="preserve">CARAT THAILAND </t>
  </si>
  <si>
    <t>SAMASAMA FPC</t>
  </si>
  <si>
    <t>FST IPC</t>
  </si>
  <si>
    <t>PSA / ROE Training</t>
  </si>
  <si>
    <t>AOR Trng</t>
  </si>
  <si>
    <t>LV</t>
  </si>
  <si>
    <t>BLR inport Singapore</t>
  </si>
  <si>
    <t>P-DDRE</t>
  </si>
  <si>
    <t>Baggett</t>
  </si>
  <si>
    <t>(T) LEAVE CONUS</t>
  </si>
  <si>
    <t>Ruiz</t>
  </si>
  <si>
    <t>U</t>
  </si>
  <si>
    <t>Bailey</t>
  </si>
  <si>
    <t>COI</t>
  </si>
  <si>
    <t>D</t>
  </si>
  <si>
    <t>SCC COI</t>
  </si>
  <si>
    <t>N</t>
  </si>
  <si>
    <t>Site Survey</t>
  </si>
  <si>
    <t>LV RQ Manila</t>
  </si>
  <si>
    <t>Ivey</t>
  </si>
  <si>
    <t>Maligsa</t>
  </si>
  <si>
    <t>SAMA (Virtual)</t>
  </si>
  <si>
    <t xml:space="preserve">SCC COI	</t>
  </si>
  <si>
    <t>MCH PMAV Guam</t>
  </si>
  <si>
    <t xml:space="preserve"> Spec Liberty ( THA)</t>
  </si>
  <si>
    <t xml:space="preserve">TAP Yokosuka </t>
  </si>
  <si>
    <t>PTDY</t>
  </si>
  <si>
    <t>Daves</t>
  </si>
  <si>
    <t>LEAVE CONUS</t>
  </si>
  <si>
    <t xml:space="preserve"> LV</t>
  </si>
  <si>
    <t xml:space="preserve"> Leave </t>
  </si>
  <si>
    <t>HHG Pack Out</t>
  </si>
  <si>
    <t>Hespen</t>
  </si>
  <si>
    <t>STGC</t>
  </si>
  <si>
    <t>Placencia</t>
  </si>
  <si>
    <t>Spec Liberty Manila</t>
  </si>
  <si>
    <t>Spec. Lib (IDN)</t>
  </si>
  <si>
    <t>SAFE TALK T4T</t>
  </si>
  <si>
    <t>Mason</t>
  </si>
  <si>
    <t>N7/TSC</t>
  </si>
  <si>
    <t>SAMA SAMA(V)</t>
  </si>
  <si>
    <t>Baby Leave</t>
  </si>
  <si>
    <t>GMAT</t>
  </si>
  <si>
    <t xml:space="preserve">LEAVE - CROATIA </t>
  </si>
  <si>
    <t>FEML- PORTUGAL/ SPAIN</t>
  </si>
  <si>
    <t>FP</t>
  </si>
  <si>
    <t>LV GUAM</t>
  </si>
  <si>
    <t>`</t>
  </si>
  <si>
    <t>ADVON</t>
  </si>
  <si>
    <t>ADV TEAM</t>
  </si>
  <si>
    <t>SAS Spring Break</t>
  </si>
  <si>
    <t>(T) GUARDIAN SEA</t>
  </si>
  <si>
    <t>IPC BRUNEI (T)</t>
  </si>
  <si>
    <t>IPC VNM</t>
  </si>
  <si>
    <t>NEA MPC</t>
  </si>
  <si>
    <t>IPC MYS</t>
  </si>
  <si>
    <t>IPC SAMASAMA</t>
  </si>
  <si>
    <t>P-CDC TL</t>
  </si>
  <si>
    <t>XPG23 MPC WOO2</t>
  </si>
  <si>
    <t>SC CDC</t>
  </si>
  <si>
    <t xml:space="preserve">(T) FEML (USA)														</t>
  </si>
  <si>
    <t>RAV/PMAV Changi</t>
  </si>
  <si>
    <t>EFfort Loading</t>
  </si>
  <si>
    <t>January 2024</t>
  </si>
  <si>
    <t>New Year Holiday</t>
  </si>
  <si>
    <t>Dr. Martin Luther King Holiday</t>
  </si>
  <si>
    <t>E7 Exam</t>
  </si>
  <si>
    <t>PMAV/MPDE Reapir RAV/UAS Install</t>
  </si>
  <si>
    <t>XOC</t>
  </si>
  <si>
    <t>C</t>
  </si>
  <si>
    <t xml:space="preserve"> PCDC</t>
  </si>
  <si>
    <t>ADV  TEAM SUBIC BAY</t>
  </si>
  <si>
    <t>VS24 MPC and Log Sync</t>
  </si>
  <si>
    <t>KEEN EDGE 24</t>
  </si>
  <si>
    <t>KE 24</t>
  </si>
  <si>
    <t>SNA (DC)</t>
  </si>
  <si>
    <t>FECC TRIP (OKI)</t>
  </si>
  <si>
    <t>NPASE Visit</t>
  </si>
  <si>
    <t>MSPC San Diego</t>
  </si>
  <si>
    <t>Reservist's Leadership Visit</t>
  </si>
  <si>
    <t>SGP/THAI(V)</t>
  </si>
  <si>
    <t>Leave  Taiwan</t>
  </si>
  <si>
    <t>Liberty JB</t>
  </si>
  <si>
    <t xml:space="preserve">CTTC </t>
  </si>
  <si>
    <t>Leave- Phillipines</t>
  </si>
  <si>
    <t>C7F Sked Conf (Virtual)</t>
  </si>
  <si>
    <t>Leave - Hawaii</t>
  </si>
  <si>
    <t>SUBIC/ MCH</t>
  </si>
  <si>
    <t>MCH TSRA</t>
  </si>
  <si>
    <t>Leave - CONUS, UAE, SG</t>
  </si>
  <si>
    <t>MBL MPDE WOO/ GBG DEI</t>
  </si>
  <si>
    <t>MBL MPDE WOO</t>
  </si>
  <si>
    <t>Spec Lib (Malaysia)</t>
  </si>
  <si>
    <t>SEPEC- San Diego</t>
  </si>
  <si>
    <t>School Conus</t>
  </si>
  <si>
    <t>GBG PMAV- Singapore</t>
  </si>
  <si>
    <t>FEML (Europe &amp; Africa)</t>
  </si>
  <si>
    <t>C7F Sked Conf</t>
  </si>
  <si>
    <t>ADV TEAM SUBIC BAY</t>
  </si>
  <si>
    <t xml:space="preserve">STGC </t>
  </si>
  <si>
    <t>DAPA via Web</t>
  </si>
  <si>
    <t>(T) FEML LEAVE HI</t>
  </si>
  <si>
    <t>CARAT  N7</t>
  </si>
  <si>
    <t>(T) Leave Requested CONUS</t>
  </si>
  <si>
    <t>Exam Proc</t>
  </si>
  <si>
    <t>Februray 2024</t>
  </si>
  <si>
    <t>Super Bowl LVIII</t>
  </si>
  <si>
    <t>Presidents/Washington's Day</t>
  </si>
  <si>
    <t>MPDE Repair WOO/UAS Install</t>
  </si>
  <si>
    <t>MPC TLS</t>
  </si>
  <si>
    <t>FPC LKA/BGD</t>
  </si>
  <si>
    <t>IPC SEACAT</t>
  </si>
  <si>
    <t>IRON FIST 24</t>
  </si>
  <si>
    <t>SS  CDC(V)</t>
  </si>
  <si>
    <t>FPC (US ONLY)</t>
  </si>
  <si>
    <t>FPC (Multi Lat)</t>
  </si>
  <si>
    <t>DV</t>
  </si>
  <si>
    <t>MSPC</t>
  </si>
  <si>
    <t>Leave - Germany</t>
  </si>
  <si>
    <t>LV requested Japan</t>
  </si>
  <si>
    <t xml:space="preserve">TAP Yoko </t>
  </si>
  <si>
    <t>Special Lib Malaysia</t>
  </si>
  <si>
    <t>CPO ELD Course</t>
  </si>
  <si>
    <t>ELD</t>
  </si>
  <si>
    <t>FEML- New Zealand</t>
  </si>
  <si>
    <t xml:space="preserve">Maritime Fires Course (Yoko) </t>
  </si>
  <si>
    <t>(T) Leave -Japan</t>
  </si>
  <si>
    <t>NPP Course (Yoko)</t>
  </si>
  <si>
    <t>CCC REVIEW</t>
  </si>
  <si>
    <t>MCH EMPAV</t>
  </si>
  <si>
    <t>FCPO ELD Course</t>
  </si>
  <si>
    <t>U/W USS MBL MPDE Testing</t>
  </si>
  <si>
    <t>T (Leave)</t>
  </si>
  <si>
    <t>CMEO Course</t>
  </si>
  <si>
    <t xml:space="preserve">MCH EPMAV </t>
  </si>
  <si>
    <t>ADV TEAM MALAYSIA</t>
  </si>
  <si>
    <t>Leave THAI</t>
  </si>
  <si>
    <t>Spec Lib (Vietnam)</t>
  </si>
  <si>
    <t>MPC TLS(V)</t>
  </si>
  <si>
    <t xml:space="preserve">Leave </t>
  </si>
  <si>
    <t>Media Training Yokosuka JPN</t>
  </si>
  <si>
    <t>FPC BGD (Virtual)</t>
  </si>
  <si>
    <t>March 2024</t>
  </si>
  <si>
    <t>SAS / XCL Spring Break</t>
  </si>
  <si>
    <t>CDS7 Spring Holiday</t>
  </si>
  <si>
    <t>MPC THAI</t>
  </si>
  <si>
    <t>C7F AOR Training</t>
  </si>
  <si>
    <t>MLY CDC(V)</t>
  </si>
  <si>
    <t>SG/TH MPC</t>
  </si>
  <si>
    <t>LV - Vietnam</t>
  </si>
  <si>
    <t>SBWG</t>
  </si>
  <si>
    <t xml:space="preserve"> Leave - Germany</t>
  </si>
  <si>
    <t>LEAVE - CONUS</t>
  </si>
  <si>
    <t>JESG Support</t>
  </si>
  <si>
    <t>Leave - Yokosuka</t>
  </si>
  <si>
    <t>THAI SITE VISIT</t>
  </si>
  <si>
    <t>MBL EPMAV</t>
  </si>
  <si>
    <t>U/W MPDE Testing</t>
  </si>
  <si>
    <t xml:space="preserve">GBG DEI </t>
  </si>
  <si>
    <t>TAP Yokosuka</t>
  </si>
  <si>
    <t>NSST Runs (Sasebo)</t>
  </si>
  <si>
    <t>Leave/VNM (t)</t>
  </si>
  <si>
    <t>BRN CDC(V)</t>
  </si>
  <si>
    <t>TSC/N7</t>
  </si>
  <si>
    <t>FAO Training (T)</t>
  </si>
  <si>
    <t>SG/TH MPC(V)</t>
  </si>
  <si>
    <t>SS IPR</t>
  </si>
  <si>
    <t>Leave local/JB</t>
  </si>
  <si>
    <t>LEAVE THAI</t>
  </si>
  <si>
    <t>WPS GFP 100 (Hawaii)</t>
  </si>
  <si>
    <t>Onboard with Flank Speed</t>
  </si>
  <si>
    <t>April 2024</t>
  </si>
  <si>
    <t>SAIS Spring Break</t>
  </si>
  <si>
    <t>FPC TLS</t>
  </si>
  <si>
    <t>CARAT LKA/(Shore)</t>
  </si>
  <si>
    <t>BGD Sea Phase</t>
  </si>
  <si>
    <t>CARATBangladesh/(Shore)</t>
  </si>
  <si>
    <t>FST J 24 OPCHECKS/ACADEMICS</t>
  </si>
  <si>
    <t>FST J 2024 Execution</t>
  </si>
  <si>
    <t>FPC (Hawaii)</t>
  </si>
  <si>
    <t>Maritime Sync Conference</t>
  </si>
  <si>
    <t>MSC</t>
  </si>
  <si>
    <t>FDNF-J FLT SS-S</t>
  </si>
  <si>
    <t>BALIKATAN 24</t>
  </si>
  <si>
    <t xml:space="preserve">             </t>
  </si>
  <si>
    <t>SW Summit (Yokosuka)</t>
  </si>
  <si>
    <t>FST-J in Run (OKI)</t>
  </si>
  <si>
    <t>SMS COURSE (SAN DIEGO)</t>
  </si>
  <si>
    <t>CARAT BGD (Shore)</t>
  </si>
  <si>
    <t>FST-J (Observing CDS15 in YOKO)</t>
  </si>
  <si>
    <t>LV Philippines</t>
  </si>
  <si>
    <t>PTDY - Retirement</t>
  </si>
  <si>
    <t>Leave Requested Laos/Vietnam</t>
  </si>
  <si>
    <t>FST-J Op Checks (OKI)</t>
  </si>
  <si>
    <t>LV Philippines Requested</t>
  </si>
  <si>
    <t>CARATBangladesh/(Shore)(T)</t>
  </si>
  <si>
    <t>TAD (Yoko)</t>
  </si>
  <si>
    <t>NSST (Yoko)</t>
  </si>
  <si>
    <t>Leave (Kuala Lumpur)</t>
  </si>
  <si>
    <t>PACK OUT</t>
  </si>
  <si>
    <t>Check Out</t>
  </si>
  <si>
    <t>Maritime Fires Course, Dam Neck VA</t>
  </si>
  <si>
    <t>ASTAC Proficiency Course (Yoko)</t>
  </si>
  <si>
    <t>LV - Yoko</t>
  </si>
  <si>
    <t>MSC/SEACard WG</t>
  </si>
  <si>
    <t>GBG DEI</t>
  </si>
  <si>
    <t>GBG RAV/ PMAV</t>
  </si>
  <si>
    <t>MCH RAV/ PMAV</t>
  </si>
  <si>
    <t>FDNF-J FLT Sailor Self-Sufficiency</t>
  </si>
  <si>
    <t>(T) Leave Thailand</t>
  </si>
  <si>
    <t>FPC TLS(T)</t>
  </si>
  <si>
    <t>Specia Lib PI</t>
  </si>
  <si>
    <t>FPC TLS(V)</t>
  </si>
  <si>
    <t>CHINFO</t>
  </si>
  <si>
    <t>May 2024</t>
  </si>
  <si>
    <t>Memorial Day Liberty</t>
  </si>
  <si>
    <t>CARAT THA/SGP</t>
  </si>
  <si>
    <t>THA/SGP FPC</t>
  </si>
  <si>
    <t>f</t>
  </si>
  <si>
    <t>CARAT Brunei IPC</t>
  </si>
  <si>
    <t>Seaphase</t>
  </si>
  <si>
    <t>Execution</t>
  </si>
  <si>
    <t>Katana Strike MPC</t>
  </si>
  <si>
    <t>PAC GRIFFIN (XPG-25)</t>
  </si>
  <si>
    <t>XPG CDC</t>
  </si>
  <si>
    <t>BALIKATAN</t>
  </si>
  <si>
    <t>BALIKITAN 24</t>
  </si>
  <si>
    <t>FST-J (OKI)</t>
  </si>
  <si>
    <t>FST-J (YOKO)</t>
  </si>
  <si>
    <t>OKINAWA</t>
  </si>
  <si>
    <t>SGP/THAI FPC</t>
  </si>
  <si>
    <t>PTDY - Retirement Leave</t>
  </si>
  <si>
    <t>Intel training</t>
  </si>
  <si>
    <t>LV SD</t>
  </si>
  <si>
    <t>PAC GRIFFIN CDC</t>
  </si>
  <si>
    <t>Leave (Australia/NZ)</t>
  </si>
  <si>
    <t>Spec Lib (Phuket)</t>
  </si>
  <si>
    <t>Senior Enlisted Academy</t>
  </si>
  <si>
    <t>Spec Lib (Penang)</t>
  </si>
  <si>
    <t xml:space="preserve">ISC </t>
  </si>
  <si>
    <t>FEML CONUS (T)</t>
  </si>
  <si>
    <t>SLiberty</t>
  </si>
  <si>
    <t>CONUS Leave</t>
  </si>
  <si>
    <t>CACO CLASS</t>
  </si>
  <si>
    <t>Special Lib (Indonesia)</t>
  </si>
  <si>
    <t>MBL RAV</t>
  </si>
  <si>
    <t>MCH PMAV/RAV</t>
  </si>
  <si>
    <t>(T) LV</t>
  </si>
  <si>
    <t>Pack Out</t>
  </si>
  <si>
    <t>Spec Lib (THL) (T)</t>
  </si>
  <si>
    <t>CARAT Brunei IPC(V)</t>
  </si>
  <si>
    <t>SGP/THAI FPC (V)</t>
  </si>
  <si>
    <t>TLS PDSS</t>
  </si>
  <si>
    <t>Jun 2024</t>
  </si>
  <si>
    <t>Juneteenth Holiday</t>
  </si>
  <si>
    <t>USS OMAHA</t>
  </si>
  <si>
    <t>D-45 Brief</t>
  </si>
  <si>
    <t>CARAT Malaysia IPC</t>
  </si>
  <si>
    <t>MPC PHL</t>
  </si>
  <si>
    <t>RIMPAC</t>
  </si>
  <si>
    <t>76/3 CDR's Conf.</t>
  </si>
  <si>
    <t>FEML (T) Portugal</t>
  </si>
  <si>
    <t>LV Rq MYS</t>
  </si>
  <si>
    <t>Liberty rq JB</t>
  </si>
  <si>
    <t>TSUWC Conf. (Vancouver)</t>
  </si>
  <si>
    <t>Leave Request (JAPAN)</t>
  </si>
  <si>
    <t>FEML (Submitted)</t>
  </si>
  <si>
    <t>CNSP LCS Working Group/OMA Pre-Deployment Brief (San Diego)</t>
  </si>
  <si>
    <t>Senior Enlisted Academy (CONUS)</t>
  </si>
  <si>
    <t>MBL RAV/PMAV DEI</t>
  </si>
  <si>
    <t>LEAVE EXT</t>
  </si>
  <si>
    <t>MBL PMAV/RAV</t>
  </si>
  <si>
    <t>SP LIB</t>
  </si>
  <si>
    <t xml:space="preserve"> Leave Conus</t>
  </si>
  <si>
    <t>OMAHA DEP BRIEF</t>
  </si>
  <si>
    <t xml:space="preserve">Japan MGTI </t>
  </si>
  <si>
    <t>PMAV/RAV</t>
  </si>
  <si>
    <t>GBG EPMAV</t>
  </si>
  <si>
    <t>ASIST CLASS</t>
  </si>
  <si>
    <t>CARAT Malaysia IPC(V)</t>
  </si>
  <si>
    <t>FEML FIJI</t>
  </si>
  <si>
    <t>FEML Leave CONUS</t>
  </si>
  <si>
    <t>August 2024</t>
  </si>
  <si>
    <t>MYS MPC (V)</t>
  </si>
  <si>
    <t>GARUDA SHIELD</t>
  </si>
  <si>
    <t>GARUDA SHIELD (IDN)</t>
  </si>
  <si>
    <t>TALISMAN SABER 25</t>
  </si>
  <si>
    <t>BALIKITAN 25</t>
  </si>
  <si>
    <t>BALIKITAN 25 IPC (Manila)</t>
  </si>
  <si>
    <t>WARCOM</t>
  </si>
  <si>
    <t>NEW PORT RI</t>
  </si>
  <si>
    <t>SP Lib</t>
  </si>
  <si>
    <t>SP LIB PI</t>
  </si>
  <si>
    <t>MCH EPMAV</t>
  </si>
  <si>
    <t>MBL  EPMAV</t>
  </si>
  <si>
    <t>SENIOR ENLISTED ACADEMY (V)</t>
  </si>
  <si>
    <t>(T) Convalscent Leave</t>
  </si>
  <si>
    <t>w</t>
  </si>
  <si>
    <t>Leave (IND/SG)</t>
  </si>
  <si>
    <t>DeSormier</t>
  </si>
  <si>
    <t>School Orientation</t>
  </si>
  <si>
    <t>Special Lib</t>
  </si>
  <si>
    <t>OTEIP Leave</t>
  </si>
  <si>
    <t>PDSS</t>
  </si>
  <si>
    <t>September 2024</t>
  </si>
  <si>
    <t>Labor Day Liberty</t>
  </si>
  <si>
    <t>VERIFICATION RIDE (SGP)</t>
  </si>
  <si>
    <t>VERIFICATION RIDE</t>
  </si>
  <si>
    <t>CARAT BRUNEI FPC</t>
  </si>
  <si>
    <t>CARAT MALAYSIA FPC</t>
  </si>
  <si>
    <t>INDONESIA</t>
  </si>
  <si>
    <t>FST J / SCC</t>
  </si>
  <si>
    <t>TAV / VR (SAV)</t>
  </si>
  <si>
    <t>Jakarta  Geopol Forum</t>
  </si>
  <si>
    <t>KHAKI BALL</t>
  </si>
  <si>
    <t>P-8 FAM</t>
  </si>
  <si>
    <t>CARAT Malaysia FPC</t>
  </si>
  <si>
    <t>CMDCS BOARD</t>
  </si>
  <si>
    <t>Guam</t>
  </si>
  <si>
    <t>TRAVEL</t>
  </si>
  <si>
    <t>MCA MPC</t>
  </si>
  <si>
    <t>Special Lib (JB)</t>
  </si>
  <si>
    <t>Spec Liberty (Bali)</t>
  </si>
  <si>
    <t>Spec Liberty (Chiang Mai) (T)</t>
  </si>
  <si>
    <t>Spec Liberty (PI)</t>
  </si>
  <si>
    <t>Spec Liberty (Vietnam)</t>
  </si>
  <si>
    <t xml:space="preserve"> LEAVE</t>
  </si>
  <si>
    <t>Terminal Leave</t>
  </si>
  <si>
    <t>SAV PMAV GUAM</t>
  </si>
  <si>
    <t>Leave (Yokosuka)</t>
  </si>
  <si>
    <t>Kim</t>
  </si>
  <si>
    <t>Decker</t>
  </si>
  <si>
    <t xml:space="preserve">ITC </t>
  </si>
  <si>
    <t>C7F CARAT WPS</t>
  </si>
  <si>
    <t>OTEIP LV</t>
  </si>
  <si>
    <t>gfxgxdzdfzdf</t>
  </si>
  <si>
    <t>OCTOBER 2024</t>
  </si>
  <si>
    <t>Verification Ride</t>
  </si>
  <si>
    <t>BALIKITAN 25 MPC (MANILA, PI)</t>
  </si>
  <si>
    <t>FST 23-72 SCC</t>
  </si>
  <si>
    <t>KEEN SWORD 25</t>
  </si>
  <si>
    <t>OMA Verification Ride</t>
  </si>
  <si>
    <t>RSN</t>
  </si>
  <si>
    <t>CARAT MYS</t>
  </si>
  <si>
    <t>PWD Visit</t>
  </si>
  <si>
    <t>Special Lib JB</t>
  </si>
  <si>
    <t>Leave PI (25 Oct - 22 Nov)</t>
  </si>
  <si>
    <t>FEML Conus</t>
  </si>
  <si>
    <t>Spec Lib</t>
  </si>
  <si>
    <t>GUAM PMAV / VR</t>
  </si>
  <si>
    <t>DCC</t>
  </si>
  <si>
    <t>N5 Road Show (Japan)</t>
  </si>
  <si>
    <t>Garcia</t>
  </si>
  <si>
    <t>LEAVE (THAILAND, LAOS, NEPAL)</t>
  </si>
  <si>
    <t>Spec Lib (Philippines)</t>
  </si>
  <si>
    <t xml:space="preserve">D - SPOUSE OUT OF THE COUNTRY </t>
  </si>
  <si>
    <t>November 2024</t>
  </si>
  <si>
    <t>Staff Thanksgiving Event</t>
  </si>
  <si>
    <t>AB Academics</t>
  </si>
  <si>
    <t>SAV AOR Brief</t>
  </si>
  <si>
    <t>MALAYSIA</t>
  </si>
  <si>
    <t>TSUWC</t>
  </si>
  <si>
    <t>TSUWC Conf (Sydney)</t>
  </si>
  <si>
    <t>FST J 25-72 MPC (Sydney)</t>
  </si>
  <si>
    <t>Talisman Sabre 25</t>
  </si>
  <si>
    <t>Talisman Sabre MPC (Sydney)</t>
  </si>
  <si>
    <t>Talisman Sabre MPC (Brisbane)</t>
  </si>
  <si>
    <t>76 N2 Sync</t>
  </si>
  <si>
    <t>T - FEML Leave CONUS</t>
  </si>
  <si>
    <t>LEAVE (T)</t>
  </si>
  <si>
    <t>Leave Australia (T)</t>
  </si>
  <si>
    <t>Special Lib Koh Samui, TH</t>
  </si>
  <si>
    <t>LV (T)</t>
  </si>
  <si>
    <t>Noriega</t>
  </si>
  <si>
    <t xml:space="preserve">PMAV </t>
  </si>
  <si>
    <t>Medical Convo Leave</t>
  </si>
  <si>
    <t>Special Lib Phuket, TH</t>
  </si>
  <si>
    <t>Spec Lib (Cambodia)</t>
  </si>
  <si>
    <t>WFH</t>
  </si>
  <si>
    <t>December 2024</t>
  </si>
  <si>
    <t>AUREUS BLADE 24</t>
  </si>
  <si>
    <t>BALIKITAN 25 FPC (Manila)</t>
  </si>
  <si>
    <t>ISIC VERIFICATION RIDE</t>
  </si>
  <si>
    <t>12-30 Dec 2024 1st Holiday Leave Period (30th tunover day at 0700)</t>
  </si>
  <si>
    <t>Aureus Blade 24</t>
  </si>
  <si>
    <t>Aureus Blade 24/LV</t>
  </si>
  <si>
    <t>1st Holiday Leave</t>
  </si>
  <si>
    <t>FEML Leave (KOR/JPN)</t>
  </si>
  <si>
    <t xml:space="preserve">1st Holiday Leave </t>
  </si>
  <si>
    <t>T- FEML Leave CONUS</t>
  </si>
  <si>
    <t>FEML Leave (KOR, JPN, PHL)</t>
  </si>
  <si>
    <t>1st Holiday Leave Period</t>
  </si>
  <si>
    <t>SL TH</t>
  </si>
  <si>
    <t>SL Viet</t>
  </si>
  <si>
    <t>Leave (T)</t>
  </si>
  <si>
    <t>CPO-ELD CONUS</t>
  </si>
  <si>
    <t>Mckweon</t>
  </si>
  <si>
    <t>(T) LEAVE CONUS/OCONUS</t>
  </si>
  <si>
    <t>Medical Leave</t>
  </si>
  <si>
    <t xml:space="preserve">LEAVE </t>
  </si>
  <si>
    <t>Lara</t>
  </si>
  <si>
    <t>AB24</t>
  </si>
  <si>
    <t>Last Day</t>
  </si>
  <si>
    <t>FEML/Holiday Leave</t>
  </si>
  <si>
    <t>Holiday Leave</t>
  </si>
  <si>
    <t>ATWG/TWG</t>
  </si>
  <si>
    <t>January 2025</t>
  </si>
  <si>
    <t>STWO Statistics</t>
  </si>
  <si>
    <t>Day of Week</t>
  </si>
  <si>
    <t>Personnel Stats</t>
  </si>
  <si>
    <t>Watch accumulation</t>
  </si>
  <si>
    <t>STWO</t>
  </si>
  <si>
    <t>Days in office</t>
  </si>
  <si>
    <t>Weekdays in office</t>
  </si>
  <si>
    <t>Fridays in office</t>
  </si>
  <si>
    <t>Weekend/Holidays in office</t>
  </si>
  <si>
    <t>Sundays in office</t>
  </si>
  <si>
    <t>Days on leave/TDY</t>
  </si>
  <si>
    <t>Days on special liberty</t>
  </si>
  <si>
    <t>Available QH</t>
  </si>
  <si>
    <t>Percentage of manning</t>
  </si>
  <si>
    <t>Expected Watch</t>
  </si>
  <si>
    <t>Weekday day</t>
  </si>
  <si>
    <t>Weekday night</t>
  </si>
  <si>
    <t>Friday Day</t>
  </si>
  <si>
    <t>Weekend day or night</t>
  </si>
  <si>
    <t>Sunday night</t>
  </si>
  <si>
    <t>Total Watches</t>
  </si>
  <si>
    <t>Total Quality Hours</t>
  </si>
  <si>
    <t>Watch to assign</t>
  </si>
  <si>
    <t>MAVEN TAV</t>
  </si>
  <si>
    <t>NSM WG (CHINA LAKE)</t>
  </si>
  <si>
    <t>E-7 EXAM</t>
  </si>
  <si>
    <t>PACKOUT</t>
  </si>
  <si>
    <t>MOVEOUT</t>
  </si>
  <si>
    <t>Spec Lib Vietnam</t>
  </si>
  <si>
    <t>Spec Lib - Da Nang Vietnam</t>
  </si>
  <si>
    <t>2nd Holiday Leave</t>
  </si>
  <si>
    <t>FEML LEAVE CONUS</t>
  </si>
  <si>
    <t>DEI School (San Diego)</t>
  </si>
  <si>
    <t>DEP MX CONF</t>
  </si>
  <si>
    <t>Special Lib - Taiwan</t>
  </si>
  <si>
    <t>HOLIDAY LEAVE</t>
  </si>
  <si>
    <t>CPO-ELD FACILITATOR COURSE</t>
  </si>
  <si>
    <t>Special Lib - Malaysia</t>
  </si>
  <si>
    <t>Total Day D</t>
  </si>
  <si>
    <t>Total Day 8</t>
  </si>
  <si>
    <t>Total Night N</t>
  </si>
  <si>
    <t>Total Night 9</t>
  </si>
  <si>
    <t>Days</t>
  </si>
  <si>
    <t>Quality Hours (QH)</t>
  </si>
  <si>
    <t>Notes</t>
  </si>
  <si>
    <t>Weekdays</t>
  </si>
  <si>
    <t>Fridays</t>
  </si>
  <si>
    <t>Saturdays/holidays</t>
  </si>
  <si>
    <t>Sundays</t>
  </si>
  <si>
    <t>Baseline watch per person</t>
  </si>
  <si>
    <t>Qualified Watchstanders</t>
  </si>
  <si>
    <t>Number</t>
  </si>
  <si>
    <t>Qualified STWOs minus N3,N4,N5 who are only allowed MON-FRI day watch. They are inserted on bottom of spreadsheet intentionally</t>
  </si>
  <si>
    <t>Available Manpower</t>
  </si>
  <si>
    <t>Mandays available per person</t>
  </si>
  <si>
    <t>February 2025</t>
  </si>
  <si>
    <t>SUPERBOWL</t>
  </si>
  <si>
    <t>Washington's Birthday/President's Day</t>
  </si>
  <si>
    <t>CDS 7</t>
  </si>
  <si>
    <t>SUB FORCE SYMPOSIUM (SD)</t>
  </si>
  <si>
    <t>C7F Fires WG</t>
  </si>
  <si>
    <t>USS SAV</t>
  </si>
  <si>
    <t>USS SAV TAVR</t>
  </si>
  <si>
    <t>USS OMA</t>
  </si>
  <si>
    <t>USS GBG</t>
  </si>
  <si>
    <t>THA CDC/IPC</t>
  </si>
  <si>
    <t>CARAT MULTILAT (M&amp;B)</t>
  </si>
  <si>
    <t>PRE-CDC</t>
  </si>
  <si>
    <t>TLS CDC/IPC</t>
  </si>
  <si>
    <t>IDN CDC/IPC</t>
  </si>
  <si>
    <t>**BLUE FORCE LAYDOWN (PENDLETON)</t>
  </si>
  <si>
    <t>FST-J: NPP (Camp Courtney)</t>
  </si>
  <si>
    <t>MNEK</t>
  </si>
  <si>
    <t>SAV TAVR</t>
  </si>
  <si>
    <t>Yoos</t>
  </si>
  <si>
    <t>San Diego FORMICA</t>
  </si>
  <si>
    <t xml:space="preserve">D </t>
  </si>
  <si>
    <t>TL CDC/IPC</t>
  </si>
  <si>
    <t>Williams</t>
  </si>
  <si>
    <t>Special Lib - Langkawi</t>
  </si>
  <si>
    <t>Log Summit (Yoko)</t>
  </si>
  <si>
    <t>DEI U/I I-Stop (San Diego)</t>
  </si>
  <si>
    <t>Hurtadogarzon</t>
  </si>
  <si>
    <t>USS SAV EPMAV</t>
  </si>
  <si>
    <t>Iwakuni, Japan - C-NLDF</t>
  </si>
  <si>
    <t>Underway USS Omaha</t>
  </si>
  <si>
    <t>San Diego CPO C-NLDF</t>
  </si>
  <si>
    <t xml:space="preserve">ET1 </t>
  </si>
  <si>
    <t>Villacrusis</t>
  </si>
  <si>
    <t>Special Lib - Indonesia</t>
  </si>
  <si>
    <t>Leave JPN</t>
  </si>
  <si>
    <t>TAP (Yokosuka)</t>
  </si>
  <si>
    <t>U(N)</t>
  </si>
  <si>
    <t>Special Lib - Vietnam</t>
  </si>
  <si>
    <t>Foxworth</t>
  </si>
  <si>
    <t>HHG/UB</t>
  </si>
  <si>
    <t>Special liberty</t>
  </si>
  <si>
    <t>C7F MC/PA Symposium</t>
  </si>
  <si>
    <t>MCC</t>
  </si>
  <si>
    <t>Wright</t>
  </si>
  <si>
    <t>N Head for WB</t>
  </si>
  <si>
    <t>N-Head Watch</t>
  </si>
  <si>
    <t>NOT QUALIFIED</t>
  </si>
  <si>
    <t xml:space="preserve">Qualified </t>
  </si>
  <si>
    <t>QUAL DATE</t>
  </si>
  <si>
    <t>Qualified</t>
  </si>
  <si>
    <t>RSS SUPREME</t>
  </si>
  <si>
    <t>MED</t>
  </si>
  <si>
    <t>P-CDC</t>
  </si>
  <si>
    <t>Number above should add to total watch amount and small error exists. Will continue to T/S. Note, N3/4/5 watch points is hard coded to be 3 weekday day watches.</t>
  </si>
  <si>
    <t>N-Head watch must be manually entered to avoid circular reference</t>
  </si>
  <si>
    <t>Total watch for remaining watchstanders</t>
  </si>
  <si>
    <t>N-Heads</t>
  </si>
  <si>
    <t>Standard Watchstanders</t>
  </si>
  <si>
    <t>N-Head</t>
  </si>
  <si>
    <t>Remaining Mandays</t>
  </si>
  <si>
    <t>March 2025</t>
  </si>
  <si>
    <t>SURFACE WARFARE SYMPOSIUM (Yokosuka, JPN)</t>
  </si>
  <si>
    <t>CAN/STB TAV</t>
  </si>
  <si>
    <t>TLS MPC</t>
  </si>
  <si>
    <t>XPG25 MPC (Guam)</t>
  </si>
  <si>
    <t>SCC Seminar (7-4)</t>
  </si>
  <si>
    <t>FPC(SVTC)</t>
  </si>
  <si>
    <t>IWC SEMINAR &amp; MARITIME FIRES COURSE (YOKO)</t>
  </si>
  <si>
    <t>IWC &amp; MARITIME FIRES COURSE (YOKO)</t>
  </si>
  <si>
    <t>LOCAL AREA LEAVE</t>
  </si>
  <si>
    <t>DelaCruz</t>
  </si>
  <si>
    <t>CTT1</t>
  </si>
  <si>
    <t>O'Neil</t>
  </si>
  <si>
    <t>ATSUGI (MEDICAL)</t>
  </si>
  <si>
    <t>MYS CDC/IPC</t>
  </si>
  <si>
    <t>Apostol</t>
  </si>
  <si>
    <t>SPEC LIB / LOCAL</t>
  </si>
  <si>
    <t>MARITIME FIRES COURSE (YOKO)</t>
  </si>
  <si>
    <t>LEAVE - JPN</t>
  </si>
  <si>
    <t>FEML: CONUS / Austria</t>
  </si>
  <si>
    <t>GRE</t>
  </si>
  <si>
    <t>Leave - Nepal</t>
  </si>
  <si>
    <t>Nuebauer</t>
  </si>
  <si>
    <t>Benz</t>
  </si>
  <si>
    <t>CFL COURSE (YOKO)</t>
  </si>
  <si>
    <t>School</t>
  </si>
  <si>
    <t>MA1</t>
  </si>
  <si>
    <t>Muller</t>
  </si>
  <si>
    <t>(T) FPC</t>
  </si>
  <si>
    <t>UB</t>
  </si>
  <si>
    <t>April 2025</t>
  </si>
  <si>
    <t>SAMA SAMA CDC/IPC</t>
  </si>
  <si>
    <t>San Diego - ICOP</t>
  </si>
  <si>
    <t>Leave (Philippines)</t>
  </si>
  <si>
    <t>FPC (SGP)</t>
  </si>
  <si>
    <t>TAP COURSE (YOKOSUKA)</t>
  </si>
  <si>
    <t>Leave (Korea)</t>
  </si>
  <si>
    <t>OMA EPMAV Sattahip, Thailand</t>
  </si>
  <si>
    <t>Convalescent Leave - Pending</t>
  </si>
  <si>
    <t>TS25 FPC (Brisbane)</t>
  </si>
  <si>
    <t xml:space="preserve"> Leave (JPN)</t>
  </si>
  <si>
    <t>BK25 Execution (MNL)</t>
  </si>
  <si>
    <t>MYS IPC</t>
  </si>
  <si>
    <t>ITCS</t>
  </si>
  <si>
    <t>TAPS-TRACK</t>
  </si>
  <si>
    <t>Convalescent Leave</t>
  </si>
  <si>
    <t>Watch stood down for SDO</t>
  </si>
  <si>
    <t>SDO Adjustment</t>
  </si>
  <si>
    <t>N3,N4,N5 are not considered in manpower statistics</t>
  </si>
  <si>
    <t>MAY 2025</t>
  </si>
  <si>
    <t>FST-J 25-72 Execution (Yoko)</t>
  </si>
  <si>
    <t>THA FPC</t>
  </si>
  <si>
    <t>FST-J 25-72 Execution (Sasebo)</t>
  </si>
  <si>
    <t>SPECIAL LIB - BALI (T)</t>
  </si>
  <si>
    <t>LAST STWO</t>
  </si>
  <si>
    <t>SPECIAL LIB - HANOI</t>
  </si>
  <si>
    <t>OMA EPMAV and Exercise</t>
  </si>
  <si>
    <t>CNV LV</t>
  </si>
  <si>
    <t>Special Liberty - Local (Pending Approval)</t>
  </si>
  <si>
    <t>IAMD Seminar (Yoko)</t>
  </si>
  <si>
    <t xml:space="preserve">BK25 Execution (Manilla) </t>
  </si>
  <si>
    <t>SPECIAL LIB - Lombok</t>
  </si>
  <si>
    <t>FST-J 25-72 Execution</t>
  </si>
  <si>
    <t>SPECIAL LIB - Cambodia</t>
  </si>
  <si>
    <t>SPECIAL LIB - Thailand</t>
  </si>
  <si>
    <t>Adjustment</t>
  </si>
  <si>
    <t>Check to ensure mandays is correct</t>
  </si>
  <si>
    <t>CUI</t>
  </si>
  <si>
    <t>COMDESRON SEVEN STWO WATCH BILL
MAY 2025 REV 1</t>
  </si>
  <si>
    <t>SUNDAY</t>
  </si>
  <si>
    <t>MONDAY</t>
  </si>
  <si>
    <t>TUESDAY</t>
  </si>
  <si>
    <t>WEDNESDAY</t>
  </si>
  <si>
    <t>THURSDAY</t>
  </si>
  <si>
    <t>FRIDAY</t>
  </si>
  <si>
    <t>SATURDAY</t>
  </si>
  <si>
    <t xml:space="preserve">Name </t>
  </si>
  <si>
    <t xml:space="preserve">Qualification </t>
  </si>
  <si>
    <t>0730-1930</t>
  </si>
  <si>
    <t>CTT1 O'NEAL</t>
  </si>
  <si>
    <t>1930-0730</t>
  </si>
  <si>
    <t>O'Neal</t>
  </si>
  <si>
    <t>DUTY IT</t>
  </si>
  <si>
    <t>IT1 LUCAS</t>
  </si>
  <si>
    <t>ITC NEUBAUER</t>
  </si>
  <si>
    <t>SWO</t>
  </si>
  <si>
    <t>OS1 CARR</t>
  </si>
  <si>
    <t>GSEC COOL</t>
  </si>
  <si>
    <t>ET1 VILLACRUSIS</t>
  </si>
  <si>
    <t>IS1 DELACRUZ</t>
  </si>
  <si>
    <t>ENC NORIEGA</t>
  </si>
  <si>
    <t>ITC NUEBAUER</t>
  </si>
  <si>
    <t>Martinez</t>
  </si>
  <si>
    <t>Carr</t>
  </si>
  <si>
    <t>PCS JUN</t>
  </si>
  <si>
    <t>OS1 MARTINEZ</t>
  </si>
  <si>
    <t>Apostl</t>
  </si>
  <si>
    <t>Hurtado</t>
  </si>
  <si>
    <t>ITC ANTERO</t>
  </si>
  <si>
    <t>ENC HURTADO</t>
  </si>
  <si>
    <t>LT APOSTOL</t>
  </si>
  <si>
    <t>IT1 FOXWORTH</t>
  </si>
  <si>
    <t>ITCS VALENCIA</t>
  </si>
  <si>
    <t>No SAT, 7th day</t>
  </si>
  <si>
    <t>Memorlal Day 96</t>
  </si>
  <si>
    <t>Nelms</t>
  </si>
  <si>
    <t>ASWO:</t>
  </si>
  <si>
    <t>STWO watch turnover shall occur between 0700-0730 and 1900-1930.</t>
  </si>
  <si>
    <t>Prior to an exercise STWO shall attend or be brifed on the CDS7 OPSINTEL and have a clear understanding of watchstanding duties.</t>
  </si>
  <si>
    <t>SWO:</t>
  </si>
  <si>
    <t>SWO will review the Watch Bill one week prior to scheduled exercise and assign surge watchstander to support STWO.</t>
  </si>
  <si>
    <t xml:space="preserve">Duty IT is on call for access issues regarding NIPR/SIPR. </t>
  </si>
  <si>
    <t>DDRE:</t>
  </si>
  <si>
    <t>Building, vehicles, and other watch related issues are handled by STWO or SDO.</t>
  </si>
  <si>
    <t>If sudden tasking impacts STWO's absence, the assigned STWO must ensure watch coverage is confirmed.</t>
  </si>
  <si>
    <r>
      <rPr>
        <b/>
        <sz val="11"/>
        <color rgb="FF305496"/>
        <rFont val="Calibri"/>
      </rPr>
      <t xml:space="preserve">Name in BLUE will stand watch if qualified before date. </t>
    </r>
    <r>
      <rPr>
        <b/>
        <sz val="11"/>
        <color rgb="FFFF0000"/>
        <rFont val="Calibri"/>
      </rPr>
      <t xml:space="preserve"> Names in Red are changes made during revision.</t>
    </r>
  </si>
  <si>
    <t>CDRE:</t>
  </si>
  <si>
    <t>Updated</t>
  </si>
  <si>
    <t>school sUN/Mon/Tue</t>
  </si>
  <si>
    <t>PSC TBD (JUN)</t>
  </si>
  <si>
    <t>LT DECKER</t>
  </si>
  <si>
    <t>OS1 TILLMAN</t>
  </si>
  <si>
    <t>LTJG MOORE</t>
  </si>
  <si>
    <t>CTTC THOMPSON</t>
  </si>
  <si>
    <t>U/I 0-120 Day</t>
  </si>
  <si>
    <t>OSC WILLAIMS</t>
  </si>
  <si>
    <t>BMC FUENTES</t>
  </si>
  <si>
    <t>Going DINK, &gt;120 Days</t>
  </si>
  <si>
    <t>ETC PEARSON</t>
  </si>
  <si>
    <t>ENC TRAN</t>
  </si>
  <si>
    <t>ISC ALUMIA</t>
  </si>
  <si>
    <t>STGC PLACENIA</t>
  </si>
  <si>
    <t>DINK not board ready</t>
  </si>
  <si>
    <t>DCC ALLEN</t>
  </si>
  <si>
    <t>RedText U/I  watches</t>
  </si>
  <si>
    <t>EMC DAVES</t>
  </si>
  <si>
    <t>FC1 FERNANDEZ</t>
  </si>
  <si>
    <t>GMC BARTELMEY</t>
  </si>
  <si>
    <t>GMC OGLE</t>
  </si>
  <si>
    <t>MA1 MULLER</t>
  </si>
  <si>
    <t>IT1 FOXWROTH</t>
  </si>
  <si>
    <t>LCDR DESORMIER</t>
  </si>
  <si>
    <t>LCDR DESPOTA</t>
  </si>
  <si>
    <t>LCDR HUNTLEY</t>
  </si>
  <si>
    <t>LCDR KIM</t>
  </si>
  <si>
    <t>LSC SMITH</t>
  </si>
  <si>
    <t>LT GARCIA</t>
  </si>
  <si>
    <t>LT HESPEN</t>
  </si>
  <si>
    <t>LT MALIGSA</t>
  </si>
  <si>
    <t>LT PARRA</t>
  </si>
  <si>
    <t>LTJG BAILEY</t>
  </si>
  <si>
    <t>OS1 LARA</t>
  </si>
  <si>
    <t>GSMC MCKEOWN</t>
  </si>
  <si>
    <t>LT GRAHAM</t>
  </si>
  <si>
    <t>CDR IVEY</t>
  </si>
  <si>
    <t>\</t>
  </si>
  <si>
    <t>CONUS/Local Leave</t>
  </si>
  <si>
    <t>Travel</t>
  </si>
  <si>
    <t>TAVR</t>
  </si>
  <si>
    <t>CARAT Indonesia Execution (23-30 Jun)</t>
  </si>
  <si>
    <t>OFF WATCHBILL JUNE/JULY</t>
  </si>
  <si>
    <t>CPOLDC Student - LOCAL</t>
  </si>
  <si>
    <t>Leave- FEML (T)</t>
  </si>
  <si>
    <t>MONTH OF TRANSFER</t>
  </si>
  <si>
    <t>OMA SWARMEX/PMAV</t>
  </si>
  <si>
    <t>OMA PMAV</t>
  </si>
  <si>
    <t>PAC GRIFFIN EXECUTION</t>
  </si>
  <si>
    <t>Transfer</t>
  </si>
  <si>
    <t>Medical - Convalescent Leave</t>
  </si>
  <si>
    <t>SPECIAL LIB - KOMODO</t>
  </si>
  <si>
    <t>OFF WATCH</t>
  </si>
  <si>
    <t>Leave Bali (T)</t>
  </si>
  <si>
    <t>Special Lib - Batam</t>
  </si>
  <si>
    <t>DLPT / OPI</t>
  </si>
  <si>
    <t>CFL Course - Local</t>
  </si>
  <si>
    <t>Special Liberty-MYS</t>
  </si>
  <si>
    <t>special lib</t>
  </si>
  <si>
    <r>
      <rPr>
        <b/>
        <sz val="24"/>
        <color rgb="FF000000"/>
        <rFont val="Times New Roman"/>
      </rPr>
      <t xml:space="preserve">COMDESRON SEVEN STWO WATCH BILL
JUN 2025 </t>
    </r>
    <r>
      <rPr>
        <b/>
        <sz val="24"/>
        <color rgb="FFFF0000"/>
        <rFont val="Times New Roman"/>
      </rPr>
      <t>REV 1</t>
    </r>
  </si>
  <si>
    <t>ENC HURTADO/           GSEC COOL</t>
  </si>
  <si>
    <t>CTT1 O'NEAL/                  ENC NORIEGA</t>
  </si>
  <si>
    <t>LT APOSTOL/                  OS1 CARR</t>
  </si>
  <si>
    <t>ITC NEUBAUER/               OS1 NGUYEN</t>
  </si>
  <si>
    <t>OS1 HARRISON</t>
  </si>
  <si>
    <t>JUNETEENTH HOLIDAY</t>
  </si>
  <si>
    <t>GSEC COOL/                              ENC NORIEGA</t>
  </si>
  <si>
    <t>OS1 NGUYEN/                  ENC HURTADO</t>
  </si>
  <si>
    <r>
      <rPr>
        <sz val="9"/>
        <color rgb="FFFF0000"/>
        <rFont val="Times New Roman"/>
      </rPr>
      <t xml:space="preserve">CTT1 O'NEAL/                 </t>
    </r>
    <r>
      <rPr>
        <sz val="9"/>
        <color rgb="FF000000"/>
        <rFont val="Times New Roman"/>
      </rPr>
      <t xml:space="preserve"> OS1 HARRISON</t>
    </r>
  </si>
  <si>
    <t>OSC NELMS</t>
  </si>
  <si>
    <t>OS1 NGUYEN</t>
  </si>
  <si>
    <t>TS 25</t>
  </si>
  <si>
    <t>THA EXE</t>
  </si>
  <si>
    <t>OFF Watchbill</t>
  </si>
  <si>
    <t>SPECIAL LIB -  KUALA LUMPUR (T)</t>
  </si>
  <si>
    <t xml:space="preserve"> TA/VR Pri</t>
  </si>
  <si>
    <t>TSUWC Conference - Yoko</t>
  </si>
  <si>
    <t>LEAVE - Yoko</t>
  </si>
  <si>
    <t>FEML - CONUS (Mississippi)</t>
  </si>
  <si>
    <t>Transfer Month</t>
  </si>
  <si>
    <t>CARAT THAILAND EXECUTION</t>
  </si>
  <si>
    <t>XFER 15 AUG</t>
  </si>
  <si>
    <t>Special Lib - Kuching</t>
  </si>
  <si>
    <t>TS 25 (AMA)</t>
  </si>
  <si>
    <t>TLS FPC</t>
  </si>
  <si>
    <t>SAMA FPC</t>
  </si>
  <si>
    <t>SPEC LIBERTY</t>
  </si>
  <si>
    <t>FEML - CONUS</t>
  </si>
  <si>
    <t>July 2025</t>
  </si>
  <si>
    <t>INDEPENDANCE DAY</t>
  </si>
  <si>
    <t>USS KIN</t>
  </si>
  <si>
    <t>USS CIN</t>
  </si>
  <si>
    <t>USS CIN TA/VR (Alt)</t>
  </si>
  <si>
    <t>TSUWC Conference</t>
  </si>
  <si>
    <t>PS2</t>
  </si>
  <si>
    <t>King</t>
  </si>
  <si>
    <t>Delacruz</t>
  </si>
  <si>
    <t>Hipple</t>
  </si>
  <si>
    <t>QM1</t>
  </si>
  <si>
    <t>Negronmenendez</t>
  </si>
  <si>
    <t>Harrison</t>
  </si>
  <si>
    <t>Watts</t>
  </si>
  <si>
    <t>James</t>
  </si>
  <si>
    <t>Choi</t>
  </si>
  <si>
    <t>Leave - Local</t>
  </si>
  <si>
    <t>GSEC</t>
  </si>
  <si>
    <t>Cool</t>
  </si>
  <si>
    <t>Bradley</t>
  </si>
  <si>
    <t xml:space="preserve">Dunford </t>
  </si>
  <si>
    <t>Reymont</t>
  </si>
  <si>
    <t>FEML (APPROVED)</t>
  </si>
  <si>
    <t>COMDESRON SEVEN STWO WATCH BILL
JUL 2025</t>
  </si>
  <si>
    <t>4th of July Weekend</t>
  </si>
  <si>
    <t>PCS JUL</t>
  </si>
  <si>
    <t>PSC TBD (JUL)</t>
  </si>
  <si>
    <t>Monthly Delta</t>
  </si>
  <si>
    <t>Rolling Sums</t>
  </si>
  <si>
    <t>Xfer Adjust</t>
  </si>
  <si>
    <t>Xfer Date</t>
  </si>
  <si>
    <t>Feb 25 Delta</t>
  </si>
  <si>
    <t>March 25 Delta</t>
  </si>
  <si>
    <t>April 25 Delta</t>
  </si>
  <si>
    <t>May 25 Delta</t>
  </si>
  <si>
    <t>Jun 25 Delta</t>
  </si>
  <si>
    <t>Jul 25 Delta</t>
  </si>
  <si>
    <t>Feb</t>
  </si>
  <si>
    <t>March</t>
  </si>
  <si>
    <t>April</t>
  </si>
  <si>
    <t>May</t>
  </si>
  <si>
    <t>Jun</t>
  </si>
  <si>
    <t>Jul</t>
  </si>
  <si>
    <t>sum</t>
  </si>
  <si>
    <t>stdv</t>
  </si>
  <si>
    <t>STWO U/Is</t>
  </si>
  <si>
    <t xml:space="preserve">Remedial </t>
  </si>
  <si>
    <t>Final Evaluated Watch</t>
  </si>
  <si>
    <t>CDR Ivey</t>
  </si>
  <si>
    <t>CDO 7-4</t>
  </si>
  <si>
    <t xml:space="preserve">YNC </t>
  </si>
  <si>
    <t>Rank</t>
  </si>
  <si>
    <t>Name</t>
  </si>
  <si>
    <t>Combined</t>
  </si>
  <si>
    <t>June</t>
  </si>
  <si>
    <t>Month Key</t>
  </si>
  <si>
    <t>Normal work days</t>
  </si>
  <si>
    <t>Days leading into a weekend</t>
  </si>
  <si>
    <t>Weekend/Holiday</t>
  </si>
  <si>
    <t>Final day of a weekend</t>
  </si>
  <si>
    <t>Body Key</t>
  </si>
  <si>
    <t>Available for duty, no restrictions</t>
  </si>
  <si>
    <t>First day of leave or travel day heading to a TDY trip</t>
  </si>
  <si>
    <t> On leave or TDY</t>
  </si>
  <si>
    <t>Final day of leave or travel day from a TDY trip</t>
  </si>
  <si>
    <t>First day of special liberty</t>
  </si>
  <si>
    <t>Special liberty. Unable to stand duty but no credit for watchbill purposes.</t>
  </si>
  <si>
    <t>Last day of special lib (next day can only stand night watch)</t>
  </si>
  <si>
    <t>Local event. Cannot stand watch and day before cannot stand nights</t>
  </si>
  <si>
    <t>STWO Day Watch</t>
  </si>
  <si>
    <t>STWO Night Watch</t>
  </si>
  <si>
    <t>Value Key</t>
  </si>
  <si>
    <t>Working hour</t>
  </si>
  <si>
    <t>Off duty hour</t>
  </si>
  <si>
    <t>Weekend/Holiday Hour</t>
  </si>
  <si>
    <t>Weekday QH</t>
  </si>
  <si>
    <t>Friday QH</t>
  </si>
  <si>
    <t>Saturday QH</t>
  </si>
  <si>
    <t>Sunday QH</t>
  </si>
  <si>
    <t>Weekday day watch</t>
  </si>
  <si>
    <t>Weekday night watch</t>
  </si>
  <si>
    <t>Friday day watch</t>
  </si>
  <si>
    <t>Friday night/Saturday/sunday day</t>
  </si>
  <si>
    <t>Expected N-Head watch monthly (one weekday and one friday)</t>
  </si>
  <si>
    <t>Expected SWO watch</t>
  </si>
  <si>
    <t>Rules</t>
  </si>
  <si>
    <t>N3, N4, N5, N7 can only stand weekday day watch. All other personnel are fair game. These are hard coded at 2 weekday watches at the moment</t>
  </si>
  <si>
    <t>No watch can be scheduled the day before leave/TDY/Special Liberty</t>
  </si>
  <si>
    <t>Two days before leave/ TDY/ special liberty, only day watch is authorized.</t>
  </si>
  <si>
    <t>No watch can be scheduled the day after leave or TDY</t>
  </si>
  <si>
    <t>Only night watch can be scheduled the day after special liberty</t>
  </si>
  <si>
    <t>Personnel are expected to stand an equivalent amount of watch quality points per day NOT on Leave/TDY</t>
  </si>
  <si>
    <t>Working day defined as 0800-1600. Off duty hours 0000-0800,1600-2400.</t>
  </si>
  <si>
    <t>Weekend/holiday hour defined from 1600 Friday until 0000 Monday morning.</t>
  </si>
  <si>
    <t>All personnel stand at least one watch per month when available (proficiency)</t>
  </si>
  <si>
    <t>Team priorities</t>
  </si>
  <si>
    <t>Track watchstanders and create consistent watchbills</t>
  </si>
  <si>
    <t>Track personnel check in dates and generate deliberate U/I watchbills with qual progress tracking</t>
  </si>
  <si>
    <t>Create a U/I qual card check in process to ensure progress is being made. (CICO long term)</t>
  </si>
  <si>
    <t>Automate STWO board generation for new check ins given specific milestones are met</t>
  </si>
  <si>
    <t>Need to establish a deadline on tentative leave by policy and validate T2T is retroactively updated.</t>
  </si>
  <si>
    <t>T2T audit process - LSC travel does not have travel built in</t>
  </si>
  <si>
    <t>STWO instruction process/ review</t>
  </si>
  <si>
    <t>Time since your last watch metric/ proficiency check/ UI etc</t>
  </si>
  <si>
    <t>Questions</t>
  </si>
  <si>
    <t>Can we do STWO boards when CDRE/DDRE are preoccupied with meetings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</si>
</sst>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[$-14809]d\ mmm\ yyyy"/>
  </numFmts>
  <fonts count="237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Arial"/>
      <family val="2"/>
    </font>
    <font>
      <sz val="10"/>
      <color rgb="FF000000"/>
      <name val="Arial"/>
    </font>
    <font>
      <b/>
      <sz val="11"/>
      <color rgb="FF000000"/>
      <name val="Arial"/>
    </font>
    <font>
      <sz val="10"/>
      <color rgb="FFFFFFFF"/>
      <name val="Arial"/>
    </font>
    <font>
      <b/>
      <sz val="11"/>
      <color rgb="FFFFFFFF"/>
      <name val="Arial"/>
    </font>
    <font>
      <sz val="11"/>
      <color rgb="FF000000"/>
      <name val="Arial"/>
    </font>
    <font>
      <sz val="11"/>
      <color rgb="FFFFFFFF"/>
      <name val="Arial"/>
    </font>
    <font>
      <sz val="12"/>
      <color theme="1"/>
      <name val="Calibri"/>
    </font>
    <font>
      <sz val="11"/>
      <color theme="1"/>
      <name val="Calibri"/>
    </font>
    <font>
      <sz val="10"/>
      <color rgb="FFFF0000"/>
      <name val="Arial"/>
    </font>
    <font>
      <sz val="10"/>
      <color theme="1"/>
      <name val="Arial"/>
    </font>
    <font>
      <b/>
      <sz val="11"/>
      <color theme="0"/>
      <name val="Arial"/>
    </font>
    <font>
      <sz val="10"/>
      <color theme="0"/>
      <name val="Arial"/>
    </font>
    <font>
      <sz val="9"/>
      <color theme="0"/>
      <name val="Arial"/>
    </font>
    <font>
      <b/>
      <sz val="9"/>
      <color theme="0"/>
      <name val="Arial"/>
    </font>
    <font>
      <sz val="9"/>
      <color rgb="FFFFFFFF"/>
      <name val="Arial"/>
    </font>
    <font>
      <sz val="11"/>
      <color theme="0"/>
      <name val="Arial"/>
    </font>
    <font>
      <b/>
      <sz val="10"/>
      <color theme="0"/>
      <name val="Arial"/>
    </font>
    <font>
      <sz val="11"/>
      <name val="Arial"/>
    </font>
    <font>
      <sz val="9"/>
      <color rgb="FF000000"/>
      <name val="Arial"/>
    </font>
    <font>
      <b/>
      <sz val="10"/>
      <color rgb="FF000000"/>
      <name val="Arial"/>
    </font>
    <font>
      <b/>
      <sz val="12"/>
      <color theme="0"/>
      <name val="Calibri"/>
    </font>
    <font>
      <sz val="12"/>
      <color rgb="FFFFFFFF"/>
      <name val="Calibri"/>
    </font>
    <font>
      <sz val="12"/>
      <color theme="0"/>
      <name val="Calibri"/>
    </font>
    <font>
      <sz val="12"/>
      <color rgb="FF000000"/>
      <name val="Calibri"/>
    </font>
    <font>
      <i/>
      <sz val="12"/>
      <color rgb="FF0070C0"/>
      <name val="Calibri"/>
    </font>
    <font>
      <i/>
      <sz val="12"/>
      <color rgb="FF4472C4"/>
      <name val="Calibri"/>
    </font>
    <font>
      <sz val="12"/>
      <name val="Calibri"/>
    </font>
    <font>
      <b/>
      <sz val="12"/>
      <color rgb="FFFFFFFF"/>
      <name val="Calibri"/>
    </font>
    <font>
      <b/>
      <sz val="12"/>
      <color rgb="FF000000"/>
      <name val="Calibri"/>
    </font>
    <font>
      <sz val="12"/>
      <color rgb="FFFF0000"/>
      <name val="Calibri"/>
    </font>
    <font>
      <b/>
      <sz val="12"/>
      <color theme="1"/>
      <name val="Calibri"/>
    </font>
    <font>
      <b/>
      <i/>
      <sz val="12"/>
      <color rgb="FF4472C4"/>
      <name val="Calibri"/>
    </font>
    <font>
      <b/>
      <sz val="11"/>
      <color rgb="FF4472C4"/>
      <name val="Arial"/>
    </font>
    <font>
      <sz val="11"/>
      <color rgb="FFFFFFFF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FFFFFF"/>
      <name val="Calibri"/>
    </font>
    <font>
      <b/>
      <sz val="11"/>
      <color rgb="FFFF0000"/>
      <name val="Arial"/>
    </font>
    <font>
      <sz val="12"/>
      <color rgb="FFFFFFFF"/>
      <name val="Calibri"/>
      <family val="2"/>
      <charset val="1"/>
    </font>
    <font>
      <b/>
      <sz val="10"/>
      <color theme="1"/>
      <name val="Calibri"/>
    </font>
    <font>
      <sz val="12"/>
      <color theme="0"/>
      <name val="Calibri"/>
      <family val="2"/>
      <scheme val="minor"/>
    </font>
    <font>
      <b/>
      <sz val="9"/>
      <color rgb="FFFFFFFF"/>
      <name val="Arial"/>
    </font>
    <font>
      <b/>
      <i/>
      <sz val="12"/>
      <color rgb="FF000000"/>
      <name val="Calibri"/>
    </font>
    <font>
      <sz val="11"/>
      <color theme="1"/>
      <name val="Arial"/>
    </font>
    <font>
      <b/>
      <sz val="10"/>
      <color rgb="FFFFFFFF"/>
      <name val="Arial"/>
    </font>
    <font>
      <i/>
      <sz val="9"/>
      <color rgb="FFFF0000"/>
      <name val="Calibri"/>
    </font>
    <font>
      <b/>
      <sz val="12"/>
      <color rgb="FFFFFFFF"/>
      <name val="Calibri"/>
      <charset val="1"/>
    </font>
    <font>
      <b/>
      <sz val="11"/>
      <color rgb="FF000000"/>
      <name val="Calibri"/>
    </font>
    <font>
      <sz val="11"/>
      <color rgb="FF000000"/>
      <name val="Calibri"/>
    </font>
    <font>
      <b/>
      <sz val="12"/>
      <name val="Calibri"/>
    </font>
    <font>
      <sz val="11"/>
      <color rgb="FFFFFFFF"/>
      <name val="Calibri"/>
    </font>
    <font>
      <b/>
      <sz val="11"/>
      <color rgb="FFFFFFFF"/>
      <name val="Calibri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charset val="1"/>
    </font>
    <font>
      <sz val="11"/>
      <color rgb="FF444444"/>
      <name val="Calibri"/>
      <charset val="1"/>
    </font>
    <font>
      <sz val="11"/>
      <color rgb="FFFF0000"/>
      <name val="Calibri"/>
      <family val="2"/>
      <scheme val="minor"/>
    </font>
    <font>
      <b/>
      <sz val="12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7030A0"/>
      <name val="Calibri"/>
    </font>
    <font>
      <b/>
      <sz val="12"/>
      <color rgb="FF000000"/>
      <name val="Arial"/>
    </font>
    <font>
      <sz val="10"/>
      <color rgb="FFFFFFFF"/>
      <name val="Calibri"/>
    </font>
    <font>
      <sz val="12"/>
      <color rgb="FF000000"/>
      <name val="Arial"/>
    </font>
    <font>
      <b/>
      <sz val="9"/>
      <color rgb="FF000000"/>
      <name val="Arial"/>
    </font>
    <font>
      <sz val="10"/>
      <color theme="1"/>
      <name val="Calibri"/>
      <family val="2"/>
      <scheme val="minor"/>
    </font>
    <font>
      <sz val="11"/>
      <color rgb="FFFF0000"/>
      <name val="Arial"/>
    </font>
    <font>
      <sz val="12"/>
      <name val="Calibri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.5"/>
      <color rgb="FF000000"/>
      <name val="Calibri"/>
    </font>
    <font>
      <b/>
      <sz val="10"/>
      <color rgb="FFFFFFFF"/>
      <name val="Calibri"/>
    </font>
    <font>
      <b/>
      <sz val="10"/>
      <color rgb="FF000000"/>
      <name val="Calibri"/>
    </font>
    <font>
      <b/>
      <sz val="12"/>
      <color rgb="FFFFFFFF"/>
      <name val="Arial"/>
    </font>
    <font>
      <sz val="12"/>
      <color rgb="FFFFFFFF"/>
      <name val="Arial"/>
    </font>
    <font>
      <sz val="11"/>
      <color rgb="FF4472C4"/>
      <name val="Arial"/>
    </font>
    <font>
      <b/>
      <sz val="11"/>
      <color rgb="FFFF0000"/>
      <name val="Calibri"/>
    </font>
    <font>
      <b/>
      <sz val="11"/>
      <color rgb="FFFFFFFF"/>
      <name val="Arial"/>
      <charset val="1"/>
    </font>
    <font>
      <b/>
      <sz val="11"/>
      <color rgb="FF000000"/>
      <name val="Calibri"/>
      <charset val="1"/>
    </font>
    <font>
      <sz val="12"/>
      <color rgb="FF4472C4"/>
      <name val="Arial"/>
    </font>
    <font>
      <b/>
      <sz val="11"/>
      <color rgb="FF0070C0"/>
      <name val="Arial"/>
    </font>
    <font>
      <sz val="11"/>
      <color rgb="FF000000"/>
      <name val="Calibri"/>
      <charset val="1"/>
    </font>
    <font>
      <sz val="11"/>
      <color rgb="FF000000"/>
      <name val="Calibri"/>
      <family val="2"/>
      <scheme val="minor"/>
    </font>
    <font>
      <b/>
      <sz val="9"/>
      <color rgb="FF000000"/>
      <name val="Calibri"/>
    </font>
    <font>
      <sz val="8"/>
      <color rgb="FF000000"/>
      <name val="Arial"/>
    </font>
    <font>
      <b/>
      <sz val="9"/>
      <color rgb="FFFF0000"/>
      <name val="Arial"/>
    </font>
    <font>
      <b/>
      <sz val="11"/>
      <color rgb="FF000000"/>
      <name val="Calibri"/>
      <family val="2"/>
      <charset val="1"/>
    </font>
    <font>
      <b/>
      <sz val="8"/>
      <color rgb="FF000000"/>
      <name val="Calibri"/>
    </font>
    <font>
      <b/>
      <sz val="11"/>
      <color rgb="FF808080"/>
      <name val="Arial"/>
    </font>
    <font>
      <b/>
      <sz val="11"/>
      <color rgb="FF00B0F0"/>
      <name val="Arial"/>
    </font>
    <font>
      <b/>
      <sz val="11"/>
      <color rgb="FF444444"/>
      <name val="Arial"/>
    </font>
    <font>
      <sz val="11"/>
      <color rgb="FF444444"/>
      <name val="Calibri"/>
    </font>
    <font>
      <b/>
      <sz val="8"/>
      <color rgb="FF000000"/>
      <name val="Arial"/>
    </font>
    <font>
      <sz val="11"/>
      <color theme="1"/>
      <name val="Arial Black"/>
    </font>
    <font>
      <sz val="12"/>
      <color theme="1"/>
      <name val="Arial"/>
    </font>
    <font>
      <b/>
      <sz val="11"/>
      <color theme="0"/>
      <name val="Calibri"/>
    </font>
    <font>
      <sz val="10"/>
      <color theme="0"/>
      <name val="Calibri"/>
    </font>
    <font>
      <b/>
      <sz val="11"/>
      <color rgb="FF4472C4"/>
      <name val="Calibri"/>
    </font>
    <font>
      <b/>
      <sz val="11"/>
      <color rgb="FF0070C0"/>
      <name val="Calibri"/>
    </font>
    <font>
      <sz val="11"/>
      <color rgb="FF4472C4"/>
      <name val="Calibri"/>
    </font>
    <font>
      <b/>
      <sz val="11"/>
      <color theme="1"/>
      <name val="Calibri"/>
    </font>
    <font>
      <b/>
      <sz val="8"/>
      <color rgb="FFFFFFFF"/>
      <name val="Arial"/>
    </font>
    <font>
      <sz val="10"/>
      <color rgb="FF000000"/>
      <name val="Arial"/>
      <family val="2"/>
    </font>
    <font>
      <sz val="12"/>
      <color rgb="FF000000"/>
      <name val="Calibri"/>
      <scheme val="minor"/>
    </font>
    <font>
      <sz val="12"/>
      <color rgb="FFFFFFFF"/>
      <name val="Calibri"/>
      <scheme val="minor"/>
    </font>
    <font>
      <b/>
      <sz val="12"/>
      <color rgb="FF000000"/>
      <name val="Calibri"/>
      <scheme val="minor"/>
    </font>
    <font>
      <sz val="10"/>
      <color rgb="FF000000"/>
      <name val="Calibri"/>
      <scheme val="minor"/>
    </font>
    <font>
      <b/>
      <sz val="12"/>
      <color theme="0"/>
      <name val="Calibri"/>
      <scheme val="minor"/>
    </font>
    <font>
      <b/>
      <sz val="12"/>
      <color rgb="FFFFFFFF"/>
      <name val="Calibri"/>
      <scheme val="minor"/>
    </font>
    <font>
      <sz val="12"/>
      <color theme="0"/>
      <name val="Calibri"/>
      <scheme val="minor"/>
    </font>
    <font>
      <b/>
      <sz val="12"/>
      <color rgb="FFFF0000"/>
      <name val="Calibri"/>
      <scheme val="minor"/>
    </font>
    <font>
      <b/>
      <sz val="12"/>
      <color rgb="FF4472C4"/>
      <name val="Calibri"/>
      <scheme val="minor"/>
    </font>
    <font>
      <sz val="12"/>
      <color theme="1"/>
      <name val="Calibri"/>
      <scheme val="minor"/>
    </font>
    <font>
      <sz val="12"/>
      <color rgb="FFFF0000"/>
      <name val="Calibri"/>
      <scheme val="minor"/>
    </font>
    <font>
      <b/>
      <sz val="13"/>
      <color rgb="FF000000"/>
      <name val="Arial"/>
    </font>
    <font>
      <b/>
      <sz val="11"/>
      <color theme="1"/>
      <name val="Arial"/>
    </font>
    <font>
      <b/>
      <sz val="11"/>
      <color rgb="FF000000"/>
      <name val="Calibri"/>
      <scheme val="minor"/>
    </font>
    <font>
      <sz val="13"/>
      <color rgb="FF000000"/>
      <name val="Arial"/>
    </font>
    <font>
      <b/>
      <sz val="11"/>
      <color rgb="FFFFFFFF"/>
      <name val="Calibri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b/>
      <sz val="12"/>
      <color rgb="FFFF0000"/>
      <name val="Arial"/>
      <family val="2"/>
    </font>
    <font>
      <sz val="11"/>
      <color rgb="FF444444"/>
      <name val="Arial"/>
    </font>
    <font>
      <b/>
      <sz val="12"/>
      <color rgb="FF0070C0"/>
      <name val="Arial"/>
    </font>
    <font>
      <b/>
      <sz val="11"/>
      <color rgb="FF000000"/>
      <name val="Calibri"/>
      <family val="2"/>
      <scheme val="minor"/>
    </font>
    <font>
      <b/>
      <sz val="8"/>
      <color theme="1"/>
      <name val="Times New Roman"/>
    </font>
    <font>
      <b/>
      <sz val="8"/>
      <color theme="1"/>
      <name val="Arial"/>
    </font>
    <font>
      <b/>
      <sz val="10"/>
      <color rgb="FFFF0000"/>
      <name val="Arial"/>
    </font>
    <font>
      <b/>
      <sz val="12"/>
      <color theme="1"/>
      <name val="Times New Roman"/>
    </font>
    <font>
      <sz val="11"/>
      <color rgb="FF000000"/>
      <name val="Arial"/>
      <charset val="1"/>
    </font>
    <font>
      <b/>
      <sz val="11"/>
      <color theme="4"/>
      <name val="Arial"/>
    </font>
    <font>
      <b/>
      <sz val="11"/>
      <color theme="4"/>
      <name val="Calibri"/>
      <family val="2"/>
      <scheme val="minor"/>
    </font>
    <font>
      <b/>
      <sz val="11"/>
      <color theme="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charset val="1"/>
    </font>
    <font>
      <sz val="11"/>
      <color rgb="FF0070C0"/>
      <name val="Arial"/>
    </font>
    <font>
      <b/>
      <sz val="11"/>
      <color theme="8"/>
      <name val="Arial"/>
    </font>
    <font>
      <sz val="12"/>
      <color rgb="FF000000"/>
      <name val="Calibri"/>
      <family val="2"/>
      <scheme val="minor"/>
    </font>
    <font>
      <b/>
      <sz val="12"/>
      <color theme="4"/>
      <name val="Arial"/>
    </font>
    <font>
      <b/>
      <sz val="12"/>
      <color theme="4"/>
      <name val="Calibri"/>
    </font>
    <font>
      <b/>
      <sz val="12"/>
      <color theme="4"/>
      <name val="Calibri"/>
      <family val="2"/>
      <scheme val="minor"/>
    </font>
    <font>
      <b/>
      <sz val="11"/>
      <color theme="0"/>
      <name val="Calibri"/>
      <family val="2"/>
      <charset val="1"/>
    </font>
    <font>
      <b/>
      <sz val="12"/>
      <color rgb="FFFF0000"/>
      <name val="Arial"/>
    </font>
    <font>
      <b/>
      <sz val="11"/>
      <color theme="1"/>
      <name val="Calibri"/>
      <scheme val="minor"/>
    </font>
    <font>
      <sz val="12"/>
      <color theme="0"/>
      <name val="Arial"/>
    </font>
    <font>
      <b/>
      <sz val="12"/>
      <color rgb="FFFF0000"/>
      <name val="Calibri"/>
      <family val="2"/>
      <scheme val="minor"/>
    </font>
    <font>
      <b/>
      <sz val="11"/>
      <color rgb="FF4472C4"/>
      <name val="Calibri"/>
      <scheme val="minor"/>
    </font>
    <font>
      <b/>
      <sz val="8"/>
      <color rgb="FF000000"/>
      <name val="Calibri"/>
      <scheme val="minor"/>
    </font>
    <font>
      <sz val="11"/>
      <color rgb="FF000000"/>
      <name val="Calibri"/>
      <scheme val="minor"/>
    </font>
    <font>
      <b/>
      <sz val="8"/>
      <color theme="0"/>
      <name val="Arial"/>
    </font>
    <font>
      <b/>
      <sz val="12"/>
      <color theme="1"/>
      <name val="Arial"/>
    </font>
    <font>
      <b/>
      <sz val="8"/>
      <color rgb="FF000000"/>
      <name val="Calibri"/>
      <family val="2"/>
      <scheme val="minor"/>
    </font>
    <font>
      <b/>
      <sz val="12"/>
      <color rgb="FF0070C0"/>
      <name val="Calibri"/>
    </font>
    <font>
      <b/>
      <sz val="11"/>
      <color rgb="FF0070C0"/>
      <name val="Calibri"/>
      <family val="2"/>
      <scheme val="minor"/>
    </font>
    <font>
      <sz val="8"/>
      <color rgb="FF000000"/>
      <name val="Calibri"/>
    </font>
    <font>
      <b/>
      <sz val="11"/>
      <color theme="1" tint="0.34998626667073579"/>
      <name val="Arial"/>
    </font>
    <font>
      <b/>
      <sz val="8"/>
      <color theme="0"/>
      <name val="Calibri"/>
      <family val="2"/>
      <scheme val="minor"/>
    </font>
    <font>
      <sz val="10"/>
      <color rgb="FF002060"/>
      <name val="Arial"/>
    </font>
    <font>
      <sz val="11"/>
      <color rgb="FF0070C0"/>
      <name val="Calibri"/>
      <family val="2"/>
      <scheme val="minor"/>
    </font>
    <font>
      <b/>
      <sz val="9"/>
      <color rgb="FF000000"/>
      <name val="Arial"/>
      <family val="2"/>
    </font>
    <font>
      <b/>
      <sz val="11"/>
      <color theme="4"/>
      <name val="Arial"/>
      <family val="2"/>
    </font>
    <font>
      <sz val="11"/>
      <color theme="1"/>
      <name val="Calibri"/>
      <family val="2"/>
      <charset val="1"/>
    </font>
    <font>
      <sz val="9"/>
      <color rgb="FFFF0000"/>
      <name val="Arial"/>
    </font>
    <font>
      <sz val="11"/>
      <color theme="1"/>
      <name val="Times New Roman"/>
    </font>
    <font>
      <sz val="11"/>
      <color rgb="FF0000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1"/>
      <color theme="1"/>
      <name val="Calibri"/>
      <family val="2"/>
    </font>
    <font>
      <b/>
      <sz val="11"/>
      <color rgb="FF002060"/>
      <name val="Arial"/>
    </font>
    <font>
      <sz val="11"/>
      <color rgb="FFFFC000"/>
      <name val="Arial"/>
    </font>
    <font>
      <b/>
      <sz val="11"/>
      <color rgb="FFFFC000"/>
      <name val="Arial"/>
    </font>
    <font>
      <b/>
      <sz val="18"/>
      <color theme="9"/>
      <name val="Calibri"/>
      <family val="2"/>
    </font>
    <font>
      <b/>
      <sz val="24"/>
      <color rgb="FF000000"/>
      <name val="Times New Roman"/>
    </font>
    <font>
      <sz val="14"/>
      <name val="Times New Roman"/>
      <family val="1"/>
    </font>
    <font>
      <b/>
      <sz val="10"/>
      <color rgb="FF000000"/>
      <name val="Times New Roman"/>
      <family val="1"/>
    </font>
    <font>
      <sz val="11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Arial"/>
      <scheme val="minor"/>
    </font>
    <font>
      <sz val="10"/>
      <color rgb="FF000000"/>
      <name val="Times New Roman"/>
      <family val="1"/>
    </font>
    <font>
      <sz val="11"/>
      <color theme="0"/>
      <name val="Arial"/>
      <scheme val="minor"/>
    </font>
    <font>
      <sz val="11"/>
      <color theme="1"/>
      <name val="Times New Roman"/>
      <family val="1"/>
    </font>
    <font>
      <sz val="11"/>
      <color rgb="FF92D050"/>
      <name val="Arial"/>
      <scheme val="minor"/>
    </font>
    <font>
      <sz val="11"/>
      <color rgb="FF000000"/>
      <name val="Times New Roman"/>
      <family val="1"/>
    </font>
    <font>
      <sz val="11"/>
      <name val="Arial"/>
      <family val="2"/>
      <scheme val="minor"/>
    </font>
    <font>
      <b/>
      <sz val="11"/>
      <color rgb="FF305496"/>
      <name val="Calibri"/>
    </font>
    <font>
      <sz val="11"/>
      <color rgb="FFFF0000"/>
      <name val="Calibri"/>
    </font>
    <font>
      <sz val="10"/>
      <color theme="1"/>
      <name val="Times New Roman"/>
      <family val="1"/>
    </font>
    <font>
      <b/>
      <i/>
      <sz val="9"/>
      <color rgb="FF000000"/>
      <name val="Arial"/>
    </font>
    <font>
      <sz val="9"/>
      <color rgb="FF000000"/>
      <name val="Arial"/>
      <scheme val="minor"/>
    </font>
    <font>
      <b/>
      <sz val="11"/>
      <color theme="4"/>
      <name val="Times New Roman"/>
      <family val="1"/>
    </font>
    <font>
      <sz val="9"/>
      <color theme="1"/>
      <name val="Arial"/>
      <scheme val="minor"/>
    </font>
    <font>
      <b/>
      <i/>
      <sz val="11"/>
      <color rgb="FFFF0000"/>
      <name val="Calibri"/>
    </font>
    <font>
      <sz val="11"/>
      <color rgb="FFFF0000"/>
      <name val="Times New Roman"/>
    </font>
    <font>
      <b/>
      <sz val="11"/>
      <color theme="0"/>
      <name val="Calibri"/>
      <family val="2"/>
      <scheme val="minor"/>
    </font>
    <font>
      <b/>
      <sz val="11"/>
      <color theme="0"/>
      <name val="Calibri"/>
      <charset val="1"/>
    </font>
    <font>
      <b/>
      <sz val="9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theme="9"/>
      <name val="Calibri"/>
    </font>
    <font>
      <sz val="11"/>
      <color rgb="FF92D050"/>
      <name val="Arial"/>
    </font>
    <font>
      <sz val="9"/>
      <color theme="1"/>
      <name val="Arial"/>
    </font>
    <font>
      <b/>
      <sz val="10"/>
      <color rgb="FF000000"/>
      <name val="Times New Roman"/>
      <charset val="1"/>
    </font>
    <font>
      <b/>
      <sz val="11"/>
      <color rgb="FFFF0000"/>
      <name val="Calibri"/>
      <family val="2"/>
      <scheme val="minor"/>
    </font>
    <font>
      <sz val="9"/>
      <color theme="1"/>
      <name val="Times New Roman"/>
    </font>
    <font>
      <sz val="9"/>
      <color rgb="FF000000"/>
      <name val="Times New Roman"/>
    </font>
    <font>
      <b/>
      <sz val="11"/>
      <color theme="0"/>
      <name val="Times New Roman"/>
    </font>
    <font>
      <sz val="11"/>
      <color theme="0"/>
      <name val="Calibri"/>
      <family val="2"/>
      <scheme val="minor"/>
    </font>
    <font>
      <b/>
      <sz val="11"/>
      <color theme="0"/>
      <name val="Calibri"/>
      <scheme val="minor"/>
    </font>
    <font>
      <sz val="9"/>
      <color rgb="FFFF0000"/>
      <name val="Times New Roman"/>
    </font>
    <font>
      <b/>
      <sz val="9"/>
      <color rgb="FFFF0000"/>
      <name val="Times New Roman"/>
      <charset val="1"/>
    </font>
    <font>
      <b/>
      <sz val="11"/>
      <color rgb="FFFF0000"/>
      <name val="Times New Roman"/>
    </font>
    <font>
      <b/>
      <sz val="11"/>
      <color rgb="FFFF0000"/>
      <name val="Calibri"/>
      <scheme val="minor"/>
    </font>
    <font>
      <b/>
      <sz val="11"/>
      <color theme="4" tint="-0.249977111117893"/>
      <name val="Calibri"/>
      <scheme val="minor"/>
    </font>
    <font>
      <b/>
      <sz val="24"/>
      <color rgb="FFFF0000"/>
      <name val="Times New Roman"/>
    </font>
    <font>
      <b/>
      <sz val="11"/>
      <color theme="0"/>
      <name val="Calibri Light"/>
      <scheme val="major"/>
    </font>
    <font>
      <b/>
      <sz val="12"/>
      <color rgb="FFFFFFFF"/>
      <name val="Calibri Light"/>
      <scheme val="major"/>
    </font>
    <font>
      <b/>
      <sz val="11"/>
      <color rgb="FFFF0000"/>
      <name val="Calibri Light"/>
      <scheme val="major"/>
    </font>
    <font>
      <b/>
      <sz val="11"/>
      <color rgb="FF000000"/>
      <name val="Calibri Light"/>
      <scheme val="major"/>
    </font>
    <font>
      <b/>
      <sz val="10"/>
      <color theme="0"/>
      <name val="Calibri Light"/>
      <scheme val="major"/>
    </font>
    <font>
      <b/>
      <sz val="11"/>
      <color theme="1"/>
      <name val="Calibri Light"/>
      <scheme val="major"/>
    </font>
    <font>
      <sz val="11"/>
      <color theme="1"/>
      <name val="Calibri Light"/>
      <scheme val="major"/>
    </font>
    <font>
      <b/>
      <sz val="11"/>
      <color rgb="FFFFFFFF"/>
      <name val="Calibri Light"/>
      <scheme val="major"/>
    </font>
    <font>
      <b/>
      <sz val="12"/>
      <color rgb="FF000000"/>
      <name val="Calibri Light"/>
      <scheme val="major"/>
    </font>
    <font>
      <b/>
      <sz val="10"/>
      <color rgb="FF000000"/>
      <name val="Calibri Light"/>
      <scheme val="major"/>
    </font>
    <font>
      <b/>
      <sz val="8"/>
      <color rgb="FF000000"/>
      <name val="Calibri Light"/>
      <scheme val="major"/>
    </font>
    <font>
      <b/>
      <sz val="9"/>
      <color rgb="FF000000"/>
      <name val="Calibri Light"/>
      <scheme val="major"/>
    </font>
    <font>
      <sz val="11"/>
      <color rgb="FFFF0000"/>
      <name val="Calibri Light"/>
      <scheme val="major"/>
    </font>
    <font>
      <sz val="10"/>
      <color rgb="FF000000"/>
      <name val="Calibri Light"/>
      <scheme val="major"/>
    </font>
    <font>
      <sz val="11"/>
      <color rgb="FF000000"/>
      <name val="Calibri Light"/>
      <scheme val="major"/>
    </font>
    <font>
      <b/>
      <sz val="11"/>
      <color rgb="FF4472C4"/>
      <name val="Calibri Light"/>
      <scheme val="major"/>
    </font>
    <font>
      <b/>
      <sz val="9"/>
      <color rgb="FFFF0000"/>
      <name val="Calibri Light"/>
      <scheme val="major"/>
    </font>
    <font>
      <b/>
      <sz val="11"/>
      <color rgb="FF0070C0"/>
      <name val="Calibri Light"/>
      <scheme val="major"/>
    </font>
    <font>
      <sz val="10"/>
      <color theme="1"/>
      <name val="Calibri Light"/>
      <scheme val="major"/>
    </font>
    <font>
      <b/>
      <sz val="10"/>
      <color rgb="FFFFFFFF"/>
      <name val="Calibri Light"/>
      <scheme val="major"/>
    </font>
    <font>
      <b/>
      <sz val="11"/>
      <color rgb="FF808080"/>
      <name val="Calibri Light"/>
      <scheme val="major"/>
    </font>
  </fonts>
  <fills count="11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theme="6"/>
        <bgColor rgb="FF002060"/>
      </patternFill>
    </fill>
    <fill>
      <patternFill patternType="solid">
        <fgColor theme="0" tint="-0.34998626667073579"/>
        <bgColor rgb="FF002060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34998626667073579"/>
        <bgColor rgb="FF002060"/>
      </patternFill>
    </fill>
    <fill>
      <patternFill patternType="solid">
        <fgColor rgb="FFC000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DD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3D0061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FFE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989494"/>
        <bgColor rgb="FF002060"/>
      </patternFill>
    </fill>
    <fill>
      <patternFill patternType="solid">
        <fgColor rgb="FFFFC000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33CCFF"/>
        <bgColor rgb="FF000000"/>
      </patternFill>
    </fill>
    <fill>
      <patternFill patternType="solid">
        <fgColor rgb="FF00FFE5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rgb="FF7F7F7F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989494"/>
        <bgColor indexed="64"/>
      </patternFill>
    </fill>
  </fills>
  <borders count="2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 style="medium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 style="thin">
        <color indexed="64"/>
      </right>
      <top/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6687">
    <xf numFmtId="0" fontId="0" fillId="0" borderId="0" xfId="0"/>
    <xf numFmtId="0" fontId="0" fillId="0" borderId="0" xfId="0" applyFill="1"/>
    <xf numFmtId="0" fontId="0" fillId="0" borderId="5" xfId="0" applyBorder="1"/>
    <xf numFmtId="0" fontId="9" fillId="0" borderId="12" xfId="0" applyFont="1" applyBorder="1" applyAlignment="1">
      <alignment horizontal="center" vertical="center"/>
    </xf>
    <xf numFmtId="0" fontId="9" fillId="0" borderId="1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vertical="center"/>
    </xf>
    <xf numFmtId="0" fontId="9" fillId="0" borderId="25" xfId="0" applyFont="1" applyBorder="1" applyAlignment="1">
      <alignment vertical="center"/>
    </xf>
    <xf numFmtId="0" fontId="10" fillId="0" borderId="0" xfId="0" applyFont="1"/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9" fillId="0" borderId="44" xfId="0" applyFont="1" applyBorder="1"/>
    <xf numFmtId="0" fontId="9" fillId="0" borderId="46" xfId="0" applyFont="1" applyBorder="1" applyAlignment="1">
      <alignment vertical="center"/>
    </xf>
    <xf numFmtId="0" fontId="9" fillId="0" borderId="17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5" fillId="0" borderId="5" xfId="1" applyFont="1" applyBorder="1" applyAlignment="1">
      <alignment vertical="center" wrapText="1"/>
    </xf>
    <xf numFmtId="0" fontId="13" fillId="20" borderId="15" xfId="0" applyFont="1" applyFill="1" applyBorder="1" applyAlignment="1">
      <alignment horizontal="center" vertical="center"/>
    </xf>
    <xf numFmtId="0" fontId="17" fillId="0" borderId="5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13" fillId="0" borderId="43" xfId="0" applyFont="1" applyBorder="1" applyAlignment="1">
      <alignment vertical="center"/>
    </xf>
    <xf numFmtId="0" fontId="19" fillId="0" borderId="5" xfId="1" applyFont="1" applyBorder="1" applyAlignment="1">
      <alignment vertical="center" wrapText="1"/>
    </xf>
    <xf numFmtId="0" fontId="13" fillId="0" borderId="5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13" fillId="0" borderId="15" xfId="0" applyFont="1" applyBorder="1" applyAlignment="1">
      <alignment vertical="center"/>
    </xf>
    <xf numFmtId="0" fontId="7" fillId="0" borderId="21" xfId="0" applyFont="1" applyBorder="1"/>
    <xf numFmtId="0" fontId="7" fillId="0" borderId="22" xfId="0" applyFont="1" applyBorder="1"/>
    <xf numFmtId="0" fontId="7" fillId="0" borderId="26" xfId="0" applyFont="1" applyBorder="1"/>
    <xf numFmtId="0" fontId="7" fillId="0" borderId="23" xfId="0" applyFont="1" applyBorder="1"/>
    <xf numFmtId="0" fontId="7" fillId="0" borderId="17" xfId="0" applyFont="1" applyBorder="1"/>
    <xf numFmtId="0" fontId="7" fillId="0" borderId="18" xfId="0" applyFont="1" applyBorder="1"/>
    <xf numFmtId="0" fontId="7" fillId="0" borderId="20" xfId="0" applyFont="1" applyBorder="1"/>
    <xf numFmtId="0" fontId="7" fillId="0" borderId="24" xfId="0" applyFont="1" applyBorder="1"/>
    <xf numFmtId="0" fontId="7" fillId="0" borderId="25" xfId="0" applyFont="1" applyBorder="1"/>
    <xf numFmtId="0" fontId="7" fillId="0" borderId="27" xfId="0" applyFont="1" applyBorder="1"/>
    <xf numFmtId="0" fontId="7" fillId="0" borderId="0" xfId="0" applyFont="1"/>
    <xf numFmtId="0" fontId="7" fillId="0" borderId="29" xfId="0" applyFont="1" applyBorder="1"/>
    <xf numFmtId="0" fontId="7" fillId="0" borderId="19" xfId="0" applyFont="1" applyBorder="1"/>
    <xf numFmtId="0" fontId="13" fillId="2" borderId="55" xfId="0" applyFont="1" applyFill="1" applyBorder="1" applyAlignment="1">
      <alignment horizontal="center" vertical="center"/>
    </xf>
    <xf numFmtId="0" fontId="13" fillId="2" borderId="67" xfId="0" applyFont="1" applyFill="1" applyBorder="1" applyAlignment="1">
      <alignment horizontal="center" vertical="center"/>
    </xf>
    <xf numFmtId="0" fontId="13" fillId="0" borderId="78" xfId="0" applyFont="1" applyBorder="1" applyAlignment="1">
      <alignment vertical="center"/>
    </xf>
    <xf numFmtId="0" fontId="13" fillId="0" borderId="60" xfId="0" applyFont="1" applyBorder="1" applyAlignment="1">
      <alignment vertical="center"/>
    </xf>
    <xf numFmtId="0" fontId="13" fillId="0" borderId="14" xfId="0" applyFont="1" applyBorder="1" applyAlignment="1">
      <alignment vertical="center"/>
    </xf>
    <xf numFmtId="0" fontId="13" fillId="0" borderId="62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3" fillId="0" borderId="5" xfId="1" applyFont="1" applyBorder="1" applyAlignment="1">
      <alignment vertical="center" wrapText="1"/>
    </xf>
    <xf numFmtId="0" fontId="6" fillId="0" borderId="5" xfId="0" applyFont="1" applyBorder="1" applyAlignment="1">
      <alignment vertical="center"/>
    </xf>
    <xf numFmtId="0" fontId="3" fillId="0" borderId="62" xfId="1" applyFont="1" applyBorder="1" applyAlignment="1">
      <alignment vertical="center" wrapText="1"/>
    </xf>
    <xf numFmtId="0" fontId="14" fillId="0" borderId="5" xfId="1" applyFont="1" applyBorder="1" applyAlignment="1">
      <alignment vertical="center" wrapText="1"/>
    </xf>
    <xf numFmtId="0" fontId="5" fillId="0" borderId="80" xfId="0" applyFont="1" applyBorder="1" applyAlignment="1">
      <alignment vertical="center"/>
    </xf>
    <xf numFmtId="0" fontId="5" fillId="0" borderId="64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4" fillId="0" borderId="62" xfId="0" applyFont="1" applyBorder="1" applyAlignment="1">
      <alignment vertical="center"/>
    </xf>
    <xf numFmtId="0" fontId="5" fillId="0" borderId="43" xfId="0" applyFont="1" applyBorder="1" applyAlignment="1">
      <alignment vertical="center"/>
    </xf>
    <xf numFmtId="0" fontId="7" fillId="0" borderId="5" xfId="0" applyFont="1" applyBorder="1"/>
    <xf numFmtId="0" fontId="8" fillId="0" borderId="5" xfId="0" applyFont="1" applyBorder="1"/>
    <xf numFmtId="0" fontId="6" fillId="0" borderId="5" xfId="0" applyFont="1" applyBorder="1"/>
    <xf numFmtId="0" fontId="22" fillId="0" borderId="5" xfId="0" applyFont="1" applyBorder="1"/>
    <xf numFmtId="0" fontId="6" fillId="0" borderId="5" xfId="0" applyFont="1" applyBorder="1" applyAlignment="1">
      <alignment wrapText="1"/>
    </xf>
    <xf numFmtId="0" fontId="20" fillId="0" borderId="5" xfId="0" applyFont="1" applyBorder="1"/>
    <xf numFmtId="0" fontId="4" fillId="0" borderId="5" xfId="0" applyFont="1" applyBorder="1"/>
    <xf numFmtId="0" fontId="7" fillId="0" borderId="62" xfId="0" applyFont="1" applyBorder="1"/>
    <xf numFmtId="0" fontId="7" fillId="0" borderId="64" xfId="0" applyFont="1" applyBorder="1"/>
    <xf numFmtId="0" fontId="8" fillId="0" borderId="64" xfId="0" applyFont="1" applyBorder="1"/>
    <xf numFmtId="0" fontId="4" fillId="0" borderId="62" xfId="0" applyFont="1" applyBorder="1"/>
    <xf numFmtId="0" fontId="8" fillId="0" borderId="62" xfId="0" applyFont="1" applyBorder="1"/>
    <xf numFmtId="0" fontId="7" fillId="0" borderId="43" xfId="0" applyFont="1" applyBorder="1"/>
    <xf numFmtId="0" fontId="22" fillId="0" borderId="43" xfId="0" applyFont="1" applyBorder="1"/>
    <xf numFmtId="0" fontId="7" fillId="0" borderId="44" xfId="0" applyFont="1" applyBorder="1" applyAlignment="1">
      <alignment wrapText="1"/>
    </xf>
    <xf numFmtId="0" fontId="23" fillId="3" borderId="15" xfId="0" applyFont="1" applyFill="1" applyBorder="1" applyAlignment="1">
      <alignment horizontal="center" vertical="center"/>
    </xf>
    <xf numFmtId="0" fontId="25" fillId="0" borderId="15" xfId="0" applyFont="1" applyFill="1" applyBorder="1" applyAlignment="1">
      <alignment vertical="center"/>
    </xf>
    <xf numFmtId="0" fontId="25" fillId="0" borderId="60" xfId="0" applyFont="1" applyFill="1" applyBorder="1" applyAlignment="1">
      <alignment vertical="center"/>
    </xf>
    <xf numFmtId="0" fontId="25" fillId="0" borderId="5" xfId="0" applyFont="1" applyFill="1" applyBorder="1" applyAlignment="1">
      <alignment vertical="center"/>
    </xf>
    <xf numFmtId="0" fontId="24" fillId="0" borderId="5" xfId="0" applyFont="1" applyFill="1" applyBorder="1" applyAlignment="1">
      <alignment vertical="center"/>
    </xf>
    <xf numFmtId="0" fontId="9" fillId="0" borderId="62" xfId="0" applyFont="1" applyFill="1" applyBorder="1" applyAlignment="1">
      <alignment vertical="center"/>
    </xf>
    <xf numFmtId="0" fontId="26" fillId="0" borderId="5" xfId="1" applyFont="1" applyFill="1" applyBorder="1" applyAlignment="1">
      <alignment vertical="center" wrapText="1"/>
    </xf>
    <xf numFmtId="0" fontId="25" fillId="0" borderId="62" xfId="0" applyFont="1" applyFill="1" applyBorder="1" applyAlignment="1">
      <alignment vertical="center"/>
    </xf>
    <xf numFmtId="0" fontId="25" fillId="0" borderId="15" xfId="1" applyFont="1" applyFill="1" applyBorder="1" applyAlignment="1">
      <alignment vertical="center" wrapText="1"/>
    </xf>
    <xf numFmtId="0" fontId="25" fillId="0" borderId="31" xfId="1" applyFont="1" applyFill="1" applyBorder="1" applyAlignment="1">
      <alignment vertical="center" wrapText="1"/>
    </xf>
    <xf numFmtId="0" fontId="9" fillId="0" borderId="15" xfId="0" applyFont="1" applyFill="1" applyBorder="1" applyAlignment="1">
      <alignment vertical="center"/>
    </xf>
    <xf numFmtId="0" fontId="9" fillId="0" borderId="67" xfId="0" applyFont="1" applyFill="1" applyBorder="1" applyAlignment="1">
      <alignment vertical="center"/>
    </xf>
    <xf numFmtId="0" fontId="9" fillId="0" borderId="60" xfId="0" applyFont="1" applyBorder="1" applyAlignment="1">
      <alignment horizontal="center" vertical="center"/>
    </xf>
    <xf numFmtId="0" fontId="25" fillId="0" borderId="60" xfId="0" applyFont="1" applyBorder="1" applyAlignment="1">
      <alignment vertical="center"/>
    </xf>
    <xf numFmtId="0" fontId="9" fillId="0" borderId="61" xfId="0" applyFont="1" applyBorder="1"/>
    <xf numFmtId="0" fontId="9" fillId="0" borderId="5" xfId="0" applyFont="1" applyBorder="1" applyAlignment="1">
      <alignment vertical="center"/>
    </xf>
    <xf numFmtId="0" fontId="9" fillId="0" borderId="62" xfId="0" applyFont="1" applyBorder="1"/>
    <xf numFmtId="0" fontId="9" fillId="0" borderId="5" xfId="0" applyFont="1" applyBorder="1"/>
    <xf numFmtId="0" fontId="25" fillId="0" borderId="5" xfId="0" applyFont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" xfId="0" applyFont="1" applyBorder="1" applyAlignment="1">
      <alignment vertical="center"/>
    </xf>
    <xf numFmtId="0" fontId="25" fillId="0" borderId="62" xfId="0" applyFont="1" applyBorder="1" applyAlignment="1">
      <alignment vertical="center"/>
    </xf>
    <xf numFmtId="0" fontId="9" fillId="0" borderId="5" xfId="0" applyFont="1" applyFill="1" applyBorder="1" applyAlignment="1">
      <alignment vertical="center"/>
    </xf>
    <xf numFmtId="0" fontId="9" fillId="19" borderId="5" xfId="0" applyFont="1" applyFill="1" applyBorder="1" applyAlignment="1">
      <alignment horizontal="left" vertical="center"/>
    </xf>
    <xf numFmtId="0" fontId="9" fillId="15" borderId="5" xfId="0" applyFont="1" applyFill="1" applyBorder="1" applyAlignment="1">
      <alignment vertical="center"/>
    </xf>
    <xf numFmtId="0" fontId="9" fillId="0" borderId="6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/>
    </xf>
    <xf numFmtId="0" fontId="9" fillId="0" borderId="43" xfId="0" applyFont="1" applyBorder="1" applyAlignment="1">
      <alignment vertical="center"/>
    </xf>
    <xf numFmtId="0" fontId="23" fillId="2" borderId="6" xfId="0" applyFont="1" applyFill="1" applyBorder="1" applyAlignment="1">
      <alignment horizontal="center" vertical="center"/>
    </xf>
    <xf numFmtId="0" fontId="25" fillId="0" borderId="15" xfId="0" applyFont="1" applyFill="1" applyBorder="1" applyAlignment="1">
      <alignment horizontal="center" vertical="center"/>
    </xf>
    <xf numFmtId="0" fontId="28" fillId="28" borderId="5" xfId="0" applyFont="1" applyFill="1" applyBorder="1" applyAlignment="1">
      <alignment vertical="center"/>
    </xf>
    <xf numFmtId="0" fontId="25" fillId="0" borderId="43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9" fillId="0" borderId="0" xfId="0" applyFont="1"/>
    <xf numFmtId="0" fontId="9" fillId="0" borderId="3" xfId="0" applyFont="1" applyBorder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7" fillId="0" borderId="5" xfId="0" applyFont="1" applyFill="1" applyBorder="1" applyAlignment="1">
      <alignment horizontal="center" vertical="center"/>
    </xf>
    <xf numFmtId="0" fontId="9" fillId="14" borderId="1" xfId="0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vertical="center"/>
    </xf>
    <xf numFmtId="0" fontId="9" fillId="0" borderId="2" xfId="0" applyFont="1" applyBorder="1" applyAlignment="1">
      <alignment horizontal="center" vertical="center"/>
    </xf>
    <xf numFmtId="0" fontId="27" fillId="0" borderId="15" xfId="0" applyFont="1" applyFill="1" applyBorder="1" applyAlignment="1">
      <alignment horizontal="center" vertical="center"/>
    </xf>
    <xf numFmtId="0" fontId="25" fillId="0" borderId="11" xfId="0" applyFont="1" applyBorder="1" applyAlignment="1">
      <alignment vertical="center"/>
    </xf>
    <xf numFmtId="0" fontId="25" fillId="0" borderId="6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vertical="center"/>
    </xf>
    <xf numFmtId="0" fontId="25" fillId="0" borderId="3" xfId="0" applyFont="1" applyBorder="1" applyAlignment="1">
      <alignment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/>
    <xf numFmtId="0" fontId="9" fillId="0" borderId="1" xfId="0" applyFont="1" applyBorder="1"/>
    <xf numFmtId="0" fontId="25" fillId="0" borderId="12" xfId="0" applyFont="1" applyBorder="1" applyAlignment="1">
      <alignment horizontal="center" vertical="center"/>
    </xf>
    <xf numFmtId="0" fontId="29" fillId="0" borderId="3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4" fillId="0" borderId="32" xfId="0" applyFont="1" applyFill="1" applyBorder="1" applyAlignment="1">
      <alignment vertical="center"/>
    </xf>
    <xf numFmtId="0" fontId="29" fillId="12" borderId="1" xfId="0" applyFont="1" applyFill="1" applyBorder="1" applyAlignment="1">
      <alignment vertical="center"/>
    </xf>
    <xf numFmtId="0" fontId="9" fillId="12" borderId="1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/>
    </xf>
    <xf numFmtId="0" fontId="24" fillId="16" borderId="6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9" borderId="51" xfId="0" applyFont="1" applyFill="1" applyBorder="1" applyAlignment="1">
      <alignment horizontal="center" vertical="center"/>
    </xf>
    <xf numFmtId="0" fontId="9" fillId="0" borderId="51" xfId="0" applyFont="1" applyBorder="1" applyAlignment="1">
      <alignment vertical="center"/>
    </xf>
    <xf numFmtId="0" fontId="9" fillId="0" borderId="52" xfId="0" applyFont="1" applyFill="1" applyBorder="1" applyAlignment="1">
      <alignment vertical="center"/>
    </xf>
    <xf numFmtId="0" fontId="9" fillId="0" borderId="51" xfId="0" applyFont="1" applyBorder="1" applyAlignment="1">
      <alignment horizontal="center" vertical="center" wrapText="1"/>
    </xf>
    <xf numFmtId="0" fontId="23" fillId="4" borderId="15" xfId="0" applyFont="1" applyFill="1" applyBorder="1" applyAlignment="1">
      <alignment horizontal="center" vertical="center"/>
    </xf>
    <xf numFmtId="0" fontId="23" fillId="0" borderId="15" xfId="0" applyFont="1" applyFill="1" applyBorder="1" applyAlignment="1">
      <alignment horizontal="center" vertical="center"/>
    </xf>
    <xf numFmtId="0" fontId="23" fillId="0" borderId="60" xfId="0" applyFont="1" applyFill="1" applyBorder="1" applyAlignment="1">
      <alignment horizontal="center" vertical="center"/>
    </xf>
    <xf numFmtId="0" fontId="23" fillId="0" borderId="74" xfId="0" applyFont="1" applyFill="1" applyBorder="1" applyAlignment="1">
      <alignment horizontal="center" vertical="center"/>
    </xf>
    <xf numFmtId="0" fontId="25" fillId="0" borderId="60" xfId="0" applyFont="1" applyFill="1" applyBorder="1" applyAlignment="1">
      <alignment horizontal="center" vertical="center"/>
    </xf>
    <xf numFmtId="0" fontId="9" fillId="0" borderId="61" xfId="0" applyFont="1" applyFill="1" applyBorder="1"/>
    <xf numFmtId="0" fontId="25" fillId="0" borderId="14" xfId="1" applyFont="1" applyFill="1" applyBorder="1" applyAlignment="1">
      <alignment vertical="center" wrapText="1"/>
    </xf>
    <xf numFmtId="0" fontId="25" fillId="15" borderId="14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15" borderId="5" xfId="0" applyFont="1" applyFill="1" applyBorder="1" applyAlignment="1">
      <alignment horizontal="center" vertical="center"/>
    </xf>
    <xf numFmtId="0" fontId="25" fillId="15" borderId="5" xfId="0" applyFont="1" applyFill="1" applyBorder="1" applyAlignment="1">
      <alignment vertical="center"/>
    </xf>
    <xf numFmtId="0" fontId="25" fillId="18" borderId="5" xfId="0" applyFont="1" applyFill="1" applyBorder="1" applyAlignment="1">
      <alignment horizontal="center" vertical="center"/>
    </xf>
    <xf numFmtId="0" fontId="24" fillId="15" borderId="5" xfId="0" applyFont="1" applyFill="1" applyBorder="1" applyAlignment="1">
      <alignment vertical="center"/>
    </xf>
    <xf numFmtId="0" fontId="25" fillId="15" borderId="5" xfId="0" applyFont="1" applyFill="1" applyBorder="1" applyAlignment="1">
      <alignment horizontal="center" vertical="center"/>
    </xf>
    <xf numFmtId="0" fontId="23" fillId="23" borderId="5" xfId="0" applyFont="1" applyFill="1" applyBorder="1" applyAlignment="1">
      <alignment horizontal="center" vertical="center"/>
    </xf>
    <xf numFmtId="0" fontId="26" fillId="15" borderId="5" xfId="1" applyFont="1" applyFill="1" applyBorder="1" applyAlignment="1">
      <alignment horizontal="center" vertical="center" wrapText="1"/>
    </xf>
    <xf numFmtId="0" fontId="23" fillId="15" borderId="15" xfId="0" applyFont="1" applyFill="1" applyBorder="1" applyAlignment="1">
      <alignment horizontal="center" vertical="center"/>
    </xf>
    <xf numFmtId="0" fontId="26" fillId="15" borderId="15" xfId="1" applyFont="1" applyFill="1" applyBorder="1" applyAlignment="1">
      <alignment horizontal="center" vertical="center" wrapText="1"/>
    </xf>
    <xf numFmtId="0" fontId="9" fillId="0" borderId="67" xfId="0" applyFont="1" applyBorder="1"/>
    <xf numFmtId="0" fontId="23" fillId="15" borderId="43" xfId="0" applyFont="1" applyFill="1" applyBorder="1" applyAlignment="1">
      <alignment horizontal="center" vertical="center"/>
    </xf>
    <xf numFmtId="0" fontId="25" fillId="15" borderId="43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72" xfId="0" applyFont="1" applyBorder="1" applyAlignment="1">
      <alignment vertical="center"/>
    </xf>
    <xf numFmtId="0" fontId="25" fillId="0" borderId="5" xfId="0" applyFont="1" applyFill="1" applyBorder="1" applyAlignment="1">
      <alignment horizontal="center" vertical="center"/>
    </xf>
    <xf numFmtId="0" fontId="25" fillId="0" borderId="12" xfId="0" applyFont="1" applyBorder="1" applyAlignment="1">
      <alignment vertical="center"/>
    </xf>
    <xf numFmtId="0" fontId="9" fillId="0" borderId="62" xfId="0" applyFont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vertical="center"/>
    </xf>
    <xf numFmtId="0" fontId="9" fillId="0" borderId="44" xfId="0" applyFont="1" applyBorder="1" applyAlignment="1">
      <alignment vertical="center"/>
    </xf>
    <xf numFmtId="0" fontId="9" fillId="9" borderId="5" xfId="0" applyFont="1" applyFill="1" applyBorder="1" applyAlignment="1">
      <alignment vertical="center"/>
    </xf>
    <xf numFmtId="0" fontId="24" fillId="0" borderId="5" xfId="0" applyFont="1" applyFill="1" applyBorder="1" applyAlignment="1">
      <alignment horizontal="center" vertical="center"/>
    </xf>
    <xf numFmtId="0" fontId="24" fillId="11" borderId="5" xfId="0" applyFont="1" applyFill="1" applyBorder="1" applyAlignment="1">
      <alignment horizontal="center" vertical="center"/>
    </xf>
    <xf numFmtId="0" fontId="23" fillId="11" borderId="5" xfId="0" applyFont="1" applyFill="1" applyBorder="1" applyAlignment="1">
      <alignment horizontal="center" vertical="center"/>
    </xf>
    <xf numFmtId="0" fontId="9" fillId="0" borderId="12" xfId="0" applyFont="1" applyBorder="1"/>
    <xf numFmtId="0" fontId="23" fillId="20" borderId="15" xfId="0" applyFont="1" applyFill="1" applyBorder="1" applyAlignment="1">
      <alignment horizontal="center" vertical="center"/>
    </xf>
    <xf numFmtId="0" fontId="31" fillId="0" borderId="15" xfId="0" applyFont="1" applyFill="1" applyBorder="1" applyAlignment="1">
      <alignment vertical="center"/>
    </xf>
    <xf numFmtId="0" fontId="34" fillId="0" borderId="15" xfId="0" applyFont="1" applyFill="1" applyBorder="1" applyAlignment="1">
      <alignment horizontal="center" vertical="center"/>
    </xf>
    <xf numFmtId="0" fontId="9" fillId="0" borderId="67" xfId="0" applyFont="1" applyFill="1" applyBorder="1"/>
    <xf numFmtId="0" fontId="23" fillId="0" borderId="60" xfId="0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5" fillId="0" borderId="5" xfId="1" applyFont="1" applyBorder="1" applyAlignment="1">
      <alignment vertical="center" wrapText="1"/>
    </xf>
    <xf numFmtId="0" fontId="23" fillId="0" borderId="5" xfId="0" applyFont="1" applyFill="1" applyBorder="1" applyAlignment="1">
      <alignment horizontal="center" vertical="center"/>
    </xf>
    <xf numFmtId="0" fontId="9" fillId="0" borderId="62" xfId="0" applyFont="1" applyFill="1" applyBorder="1"/>
    <xf numFmtId="0" fontId="26" fillId="0" borderId="5" xfId="1" applyFont="1" applyFill="1" applyBorder="1" applyAlignment="1">
      <alignment horizontal="center" vertical="center" wrapText="1"/>
    </xf>
    <xf numFmtId="0" fontId="9" fillId="0" borderId="5" xfId="0" applyFont="1" applyFill="1" applyBorder="1"/>
    <xf numFmtId="0" fontId="24" fillId="0" borderId="15" xfId="0" applyFont="1" applyFill="1" applyBorder="1" applyAlignment="1">
      <alignment horizontal="center" vertical="center"/>
    </xf>
    <xf numFmtId="0" fontId="26" fillId="0" borderId="60" xfId="1" applyFont="1" applyFill="1" applyBorder="1" applyAlignment="1">
      <alignment horizontal="center" vertical="center" wrapText="1"/>
    </xf>
    <xf numFmtId="0" fontId="32" fillId="0" borderId="15" xfId="0" applyFont="1" applyFill="1" applyBorder="1" applyAlignment="1">
      <alignment horizontal="center" vertical="center"/>
    </xf>
    <xf numFmtId="0" fontId="23" fillId="0" borderId="43" xfId="0" applyFont="1" applyFill="1" applyBorder="1" applyAlignment="1">
      <alignment vertical="center"/>
    </xf>
    <xf numFmtId="0" fontId="25" fillId="0" borderId="43" xfId="0" applyFont="1" applyFill="1" applyBorder="1" applyAlignment="1">
      <alignment vertical="center"/>
    </xf>
    <xf numFmtId="0" fontId="9" fillId="0" borderId="14" xfId="0" applyFont="1" applyFill="1" applyBorder="1" applyAlignment="1">
      <alignment vertical="center"/>
    </xf>
    <xf numFmtId="0" fontId="25" fillId="0" borderId="14" xfId="0" applyFont="1" applyFill="1" applyBorder="1" applyAlignment="1">
      <alignment vertical="center"/>
    </xf>
    <xf numFmtId="0" fontId="23" fillId="0" borderId="15" xfId="1" applyFont="1" applyFill="1" applyBorder="1" applyAlignment="1">
      <alignment vertical="center" wrapText="1"/>
    </xf>
    <xf numFmtId="0" fontId="23" fillId="0" borderId="5" xfId="1" applyFont="1" applyFill="1" applyBorder="1" applyAlignment="1">
      <alignment vertical="center" wrapText="1"/>
    </xf>
    <xf numFmtId="0" fontId="31" fillId="0" borderId="5" xfId="0" applyFont="1" applyFill="1" applyBorder="1" applyAlignment="1">
      <alignment horizontal="center" vertical="center"/>
    </xf>
    <xf numFmtId="0" fontId="26" fillId="0" borderId="5" xfId="0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3" fillId="0" borderId="5" xfId="0" applyFont="1" applyFill="1" applyBorder="1" applyAlignment="1">
      <alignment vertical="center"/>
    </xf>
    <xf numFmtId="0" fontId="23" fillId="2" borderId="67" xfId="0" applyFont="1" applyFill="1" applyBorder="1" applyAlignment="1">
      <alignment horizontal="center" vertical="center"/>
    </xf>
    <xf numFmtId="0" fontId="23" fillId="2" borderId="55" xfId="0" applyFont="1" applyFill="1" applyBorder="1" applyAlignment="1">
      <alignment horizontal="center" vertical="center"/>
    </xf>
    <xf numFmtId="0" fontId="31" fillId="0" borderId="74" xfId="0" applyFont="1" applyFill="1" applyBorder="1" applyAlignment="1">
      <alignment vertical="center"/>
    </xf>
    <xf numFmtId="0" fontId="25" fillId="0" borderId="74" xfId="0" applyFont="1" applyFill="1" applyBorder="1" applyAlignment="1">
      <alignment vertical="center"/>
    </xf>
    <xf numFmtId="0" fontId="23" fillId="0" borderId="15" xfId="0" applyFont="1" applyFill="1" applyBorder="1" applyAlignment="1">
      <alignment vertical="center"/>
    </xf>
    <xf numFmtId="0" fontId="24" fillId="0" borderId="43" xfId="0" applyFont="1" applyFill="1" applyBorder="1" applyAlignment="1">
      <alignment vertical="center"/>
    </xf>
    <xf numFmtId="0" fontId="26" fillId="0" borderId="24" xfId="0" applyFont="1" applyBorder="1"/>
    <xf numFmtId="0" fontId="26" fillId="0" borderId="25" xfId="0" applyFont="1" applyBorder="1"/>
    <xf numFmtId="0" fontId="26" fillId="0" borderId="12" xfId="0" applyFont="1" applyBorder="1"/>
    <xf numFmtId="0" fontId="24" fillId="0" borderId="12" xfId="0" applyFont="1" applyBorder="1"/>
    <xf numFmtId="0" fontId="24" fillId="0" borderId="47" xfId="0" applyFont="1" applyBorder="1"/>
    <xf numFmtId="0" fontId="26" fillId="0" borderId="22" xfId="0" applyFont="1" applyBorder="1"/>
    <xf numFmtId="0" fontId="26" fillId="0" borderId="18" xfId="0" applyFont="1" applyBorder="1"/>
    <xf numFmtId="0" fontId="26" fillId="30" borderId="1" xfId="0" applyFont="1" applyFill="1" applyBorder="1"/>
    <xf numFmtId="0" fontId="26" fillId="31" borderId="1" xfId="0" applyFont="1" applyFill="1" applyBorder="1"/>
    <xf numFmtId="0" fontId="31" fillId="31" borderId="1" xfId="0" applyFont="1" applyFill="1" applyBorder="1"/>
    <xf numFmtId="0" fontId="26" fillId="0" borderId="1" xfId="0" applyFont="1" applyBorder="1"/>
    <xf numFmtId="0" fontId="29" fillId="0" borderId="1" xfId="0" applyFont="1" applyBorder="1"/>
    <xf numFmtId="0" fontId="26" fillId="0" borderId="16" xfId="0" applyFont="1" applyBorder="1"/>
    <xf numFmtId="0" fontId="26" fillId="0" borderId="26" xfId="0" applyFont="1" applyBorder="1"/>
    <xf numFmtId="0" fontId="26" fillId="0" borderId="20" xfId="0" applyFont="1" applyBorder="1"/>
    <xf numFmtId="0" fontId="26" fillId="0" borderId="41" xfId="0" applyFont="1" applyBorder="1"/>
    <xf numFmtId="0" fontId="26" fillId="0" borderId="21" xfId="0" applyFont="1" applyBorder="1"/>
    <xf numFmtId="0" fontId="26" fillId="0" borderId="17" xfId="0" applyFont="1" applyBorder="1"/>
    <xf numFmtId="0" fontId="24" fillId="0" borderId="41" xfId="0" applyFont="1" applyBorder="1"/>
    <xf numFmtId="0" fontId="24" fillId="0" borderId="1" xfId="0" applyFont="1" applyBorder="1"/>
    <xf numFmtId="0" fontId="24" fillId="0" borderId="16" xfId="0" applyFont="1" applyBorder="1"/>
    <xf numFmtId="0" fontId="26" fillId="0" borderId="19" xfId="0" applyFont="1" applyBorder="1"/>
    <xf numFmtId="0" fontId="26" fillId="0" borderId="1" xfId="0" applyFont="1" applyBorder="1" applyAlignment="1">
      <alignment wrapText="1"/>
    </xf>
    <xf numFmtId="0" fontId="26" fillId="0" borderId="45" xfId="0" applyFont="1" applyBorder="1"/>
    <xf numFmtId="0" fontId="26" fillId="0" borderId="6" xfId="0" applyFont="1" applyBorder="1"/>
    <xf numFmtId="0" fontId="26" fillId="0" borderId="46" xfId="0" applyFont="1" applyBorder="1"/>
    <xf numFmtId="0" fontId="26" fillId="31" borderId="51" xfId="0" applyFont="1" applyFill="1" applyBorder="1"/>
    <xf numFmtId="0" fontId="31" fillId="31" borderId="51" xfId="0" applyFont="1" applyFill="1" applyBorder="1"/>
    <xf numFmtId="0" fontId="26" fillId="0" borderId="95" xfId="0" applyFont="1" applyBorder="1"/>
    <xf numFmtId="0" fontId="26" fillId="0" borderId="95" xfId="0" applyFont="1" applyBorder="1" applyAlignment="1">
      <alignment wrapText="1"/>
    </xf>
    <xf numFmtId="0" fontId="26" fillId="0" borderId="100" xfId="0" applyFont="1" applyBorder="1" applyAlignment="1">
      <alignment wrapText="1"/>
    </xf>
    <xf numFmtId="0" fontId="9" fillId="0" borderId="24" xfId="0" applyFont="1" applyBorder="1" applyAlignment="1">
      <alignment horizontal="left" vertical="center"/>
    </xf>
    <xf numFmtId="0" fontId="9" fillId="0" borderId="25" xfId="0" applyFont="1" applyBorder="1" applyAlignment="1">
      <alignment horizontal="left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9" fontId="0" fillId="0" borderId="0" xfId="0" applyNumberFormat="1"/>
    <xf numFmtId="0" fontId="14" fillId="0" borderId="15" xfId="0" applyFont="1" applyBorder="1" applyAlignment="1">
      <alignment vertical="center"/>
    </xf>
    <xf numFmtId="0" fontId="14" fillId="0" borderId="67" xfId="0" applyFont="1" applyBorder="1" applyAlignment="1">
      <alignment vertical="center"/>
    </xf>
    <xf numFmtId="0" fontId="6" fillId="0" borderId="116" xfId="0" applyFont="1" applyBorder="1" applyAlignment="1">
      <alignment vertical="center"/>
    </xf>
    <xf numFmtId="0" fontId="6" fillId="0" borderId="74" xfId="0" applyFont="1" applyBorder="1" applyAlignment="1">
      <alignment vertical="center"/>
    </xf>
    <xf numFmtId="0" fontId="13" fillId="0" borderId="74" xfId="0" applyFont="1" applyBorder="1" applyAlignment="1">
      <alignment vertical="center"/>
    </xf>
    <xf numFmtId="0" fontId="4" fillId="0" borderId="74" xfId="0" applyFont="1" applyBorder="1" applyAlignment="1">
      <alignment vertical="center"/>
    </xf>
    <xf numFmtId="0" fontId="14" fillId="0" borderId="74" xfId="0" applyFont="1" applyBorder="1" applyAlignment="1">
      <alignment vertical="center"/>
    </xf>
    <xf numFmtId="0" fontId="13" fillId="0" borderId="89" xfId="0" applyFont="1" applyBorder="1" applyAlignment="1">
      <alignment vertical="center"/>
    </xf>
    <xf numFmtId="0" fontId="15" fillId="0" borderId="91" xfId="1" applyFont="1" applyBorder="1" applyAlignment="1">
      <alignment vertical="center" wrapText="1"/>
    </xf>
    <xf numFmtId="0" fontId="15" fillId="0" borderId="14" xfId="1" applyFont="1" applyBorder="1" applyAlignment="1">
      <alignment vertical="center" wrapText="1"/>
    </xf>
    <xf numFmtId="0" fontId="6" fillId="0" borderId="14" xfId="0" applyFont="1" applyBorder="1" applyAlignment="1">
      <alignment wrapText="1"/>
    </xf>
    <xf numFmtId="0" fontId="14" fillId="0" borderId="14" xfId="0" applyFont="1" applyBorder="1" applyAlignment="1">
      <alignment vertical="center"/>
    </xf>
    <xf numFmtId="0" fontId="3" fillId="0" borderId="60" xfId="1" applyFont="1" applyBorder="1" applyAlignment="1">
      <alignment vertical="center" wrapText="1"/>
    </xf>
    <xf numFmtId="0" fontId="11" fillId="0" borderId="60" xfId="0" applyFont="1" applyBorder="1" applyAlignment="1">
      <alignment vertical="center"/>
    </xf>
    <xf numFmtId="0" fontId="3" fillId="0" borderId="61" xfId="1" applyFont="1" applyBorder="1" applyAlignment="1">
      <alignment vertical="center" wrapText="1"/>
    </xf>
    <xf numFmtId="0" fontId="13" fillId="0" borderId="4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7" fillId="0" borderId="14" xfId="0" applyFont="1" applyBorder="1"/>
    <xf numFmtId="0" fontId="8" fillId="0" borderId="14" xfId="0" applyFont="1" applyBorder="1"/>
    <xf numFmtId="0" fontId="21" fillId="0" borderId="14" xfId="0" applyFont="1" applyBorder="1"/>
    <xf numFmtId="0" fontId="8" fillId="0" borderId="72" xfId="0" applyFont="1" applyBorder="1"/>
    <xf numFmtId="0" fontId="13" fillId="0" borderId="109" xfId="0" applyFont="1" applyBorder="1" applyAlignment="1">
      <alignment vertical="center"/>
    </xf>
    <xf numFmtId="9" fontId="0" fillId="0" borderId="5" xfId="0" applyNumberFormat="1" applyBorder="1"/>
    <xf numFmtId="9" fontId="0" fillId="0" borderId="60" xfId="0" applyNumberFormat="1" applyBorder="1"/>
    <xf numFmtId="9" fontId="0" fillId="0" borderId="34" xfId="0" applyNumberFormat="1" applyBorder="1"/>
    <xf numFmtId="9" fontId="0" fillId="0" borderId="85" xfId="0" applyNumberFormat="1" applyBorder="1"/>
    <xf numFmtId="9" fontId="0" fillId="0" borderId="73" xfId="0" applyNumberFormat="1" applyBorder="1"/>
    <xf numFmtId="9" fontId="0" fillId="32" borderId="119" xfId="0" applyNumberFormat="1" applyFill="1" applyBorder="1"/>
    <xf numFmtId="9" fontId="0" fillId="32" borderId="120" xfId="0" applyNumberFormat="1" applyFill="1" applyBorder="1"/>
    <xf numFmtId="0" fontId="9" fillId="29" borderId="32" xfId="0" applyFont="1" applyFill="1" applyBorder="1" applyAlignment="1">
      <alignment vertical="center"/>
    </xf>
    <xf numFmtId="9" fontId="0" fillId="13" borderId="33" xfId="0" applyNumberFormat="1" applyFill="1" applyBorder="1" applyAlignment="1"/>
    <xf numFmtId="0" fontId="0" fillId="34" borderId="5" xfId="0" applyFill="1" applyBorder="1"/>
    <xf numFmtId="0" fontId="36" fillId="24" borderId="14" xfId="0" applyFont="1" applyFill="1" applyBorder="1"/>
    <xf numFmtId="0" fontId="36" fillId="24" borderId="5" xfId="0" applyFont="1" applyFill="1" applyBorder="1"/>
    <xf numFmtId="0" fontId="0" fillId="0" borderId="0" xfId="0" applyBorder="1"/>
    <xf numFmtId="0" fontId="9" fillId="0" borderId="0" xfId="0" applyFont="1" applyBorder="1"/>
    <xf numFmtId="0" fontId="26" fillId="0" borderId="123" xfId="0" applyFont="1" applyBorder="1"/>
    <xf numFmtId="0" fontId="26" fillId="0" borderId="93" xfId="0" applyFont="1" applyBorder="1"/>
    <xf numFmtId="0" fontId="26" fillId="0" borderId="76" xfId="0" applyFont="1" applyBorder="1"/>
    <xf numFmtId="0" fontId="26" fillId="0" borderId="3" xfId="0" applyFont="1" applyBorder="1"/>
    <xf numFmtId="0" fontId="26" fillId="0" borderId="30" xfId="0" applyFont="1" applyBorder="1"/>
    <xf numFmtId="0" fontId="26" fillId="31" borderId="30" xfId="0" applyFont="1" applyFill="1" applyBorder="1"/>
    <xf numFmtId="0" fontId="9" fillId="0" borderId="30" xfId="0" applyFont="1" applyBorder="1" applyAlignment="1">
      <alignment horizontal="center" vertical="center"/>
    </xf>
    <xf numFmtId="0" fontId="25" fillId="0" borderId="5" xfId="1" applyFont="1" applyFill="1" applyBorder="1" applyAlignment="1">
      <alignment horizontal="center" vertical="center" wrapText="1"/>
    </xf>
    <xf numFmtId="0" fontId="24" fillId="0" borderId="5" xfId="0" applyFont="1" applyFill="1" applyBorder="1" applyAlignment="1"/>
    <xf numFmtId="0" fontId="26" fillId="0" borderId="5" xfId="0" applyFont="1" applyFill="1" applyBorder="1" applyAlignment="1"/>
    <xf numFmtId="0" fontId="26" fillId="31" borderId="53" xfId="0" applyFont="1" applyFill="1" applyBorder="1"/>
    <xf numFmtId="0" fontId="26" fillId="0" borderId="128" xfId="0" applyFont="1" applyBorder="1"/>
    <xf numFmtId="0" fontId="30" fillId="0" borderId="5" xfId="0" applyFont="1" applyFill="1" applyBorder="1" applyAlignment="1">
      <alignment vertical="center"/>
    </xf>
    <xf numFmtId="0" fontId="23" fillId="0" borderId="14" xfId="0" applyFont="1" applyFill="1" applyBorder="1" applyAlignment="1">
      <alignment vertical="center"/>
    </xf>
    <xf numFmtId="0" fontId="26" fillId="0" borderId="14" xfId="1" applyFont="1" applyFill="1" applyBorder="1" applyAlignment="1">
      <alignment vertical="center" wrapText="1"/>
    </xf>
    <xf numFmtId="0" fontId="9" fillId="0" borderId="61" xfId="0" applyFont="1" applyBorder="1" applyAlignment="1">
      <alignment vertical="center"/>
    </xf>
    <xf numFmtId="0" fontId="26" fillId="15" borderId="5" xfId="0" applyFont="1" applyFill="1" applyBorder="1" applyAlignment="1">
      <alignment vertical="center"/>
    </xf>
    <xf numFmtId="0" fontId="26" fillId="29" borderId="5" xfId="0" applyFont="1" applyFill="1" applyBorder="1" applyAlignment="1">
      <alignment horizontal="center" vertical="center"/>
    </xf>
    <xf numFmtId="0" fontId="23" fillId="15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horizontal="center" vertical="center"/>
    </xf>
    <xf numFmtId="0" fontId="25" fillId="0" borderId="62" xfId="0" applyFont="1" applyFill="1" applyBorder="1" applyAlignment="1">
      <alignment horizontal="center" vertical="center"/>
    </xf>
    <xf numFmtId="0" fontId="37" fillId="0" borderId="0" xfId="0" applyFont="1"/>
    <xf numFmtId="0" fontId="25" fillId="11" borderId="11" xfId="0" applyFont="1" applyFill="1" applyBorder="1" applyAlignment="1">
      <alignment vertical="center"/>
    </xf>
    <xf numFmtId="0" fontId="9" fillId="11" borderId="6" xfId="0" applyFont="1" applyFill="1" applyBorder="1" applyAlignment="1">
      <alignment horizontal="center" vertical="center"/>
    </xf>
    <xf numFmtId="0" fontId="25" fillId="11" borderId="6" xfId="0" applyFont="1" applyFill="1" applyBorder="1" applyAlignment="1">
      <alignment vertical="center"/>
    </xf>
    <xf numFmtId="0" fontId="9" fillId="0" borderId="5" xfId="0" applyFont="1" applyBorder="1" applyAlignment="1">
      <alignment horizontal="center"/>
    </xf>
    <xf numFmtId="0" fontId="24" fillId="11" borderId="34" xfId="0" applyFont="1" applyFill="1" applyBorder="1" applyAlignment="1">
      <alignment vertical="center"/>
    </xf>
    <xf numFmtId="0" fontId="24" fillId="11" borderId="5" xfId="0" applyFont="1" applyFill="1" applyBorder="1" applyAlignment="1">
      <alignment vertical="center"/>
    </xf>
    <xf numFmtId="0" fontId="9" fillId="0" borderId="15" xfId="0" applyFont="1" applyBorder="1" applyAlignment="1">
      <alignment horizontal="center"/>
    </xf>
    <xf numFmtId="0" fontId="9" fillId="0" borderId="15" xfId="0" applyFont="1" applyBorder="1" applyAlignment="1">
      <alignment horizontal="center" vertical="center"/>
    </xf>
    <xf numFmtId="0" fontId="9" fillId="0" borderId="67" xfId="0" applyFont="1" applyBorder="1" applyAlignment="1">
      <alignment vertical="center"/>
    </xf>
    <xf numFmtId="0" fontId="37" fillId="0" borderId="62" xfId="0" applyFont="1" applyBorder="1"/>
    <xf numFmtId="0" fontId="9" fillId="0" borderId="15" xfId="0" applyFont="1" applyFill="1" applyBorder="1" applyAlignment="1">
      <alignment horizontal="center" vertical="center"/>
    </xf>
    <xf numFmtId="0" fontId="9" fillId="9" borderId="15" xfId="0" applyFont="1" applyFill="1" applyBorder="1" applyAlignment="1">
      <alignment vertical="center"/>
    </xf>
    <xf numFmtId="0" fontId="7" fillId="11" borderId="64" xfId="0" applyFont="1" applyFill="1" applyBorder="1"/>
    <xf numFmtId="0" fontId="7" fillId="11" borderId="5" xfId="0" applyFont="1" applyFill="1" applyBorder="1"/>
    <xf numFmtId="0" fontId="0" fillId="0" borderId="43" xfId="0" applyBorder="1"/>
    <xf numFmtId="0" fontId="0" fillId="0" borderId="44" xfId="0" applyBorder="1"/>
    <xf numFmtId="0" fontId="0" fillId="0" borderId="15" xfId="0" applyBorder="1"/>
    <xf numFmtId="0" fontId="0" fillId="0" borderId="67" xfId="0" applyBorder="1"/>
    <xf numFmtId="0" fontId="0" fillId="0" borderId="5" xfId="0" applyBorder="1" applyAlignment="1">
      <alignment horizontal="right"/>
    </xf>
    <xf numFmtId="16" fontId="0" fillId="0" borderId="5" xfId="0" applyNumberFormat="1" applyBorder="1" applyAlignment="1">
      <alignment horizontal="right"/>
    </xf>
    <xf numFmtId="16" fontId="0" fillId="17" borderId="5" xfId="0" applyNumberFormat="1" applyFill="1" applyBorder="1" applyAlignment="1">
      <alignment horizontal="right"/>
    </xf>
    <xf numFmtId="0" fontId="0" fillId="33" borderId="5" xfId="0" applyFill="1" applyBorder="1" applyAlignment="1">
      <alignment horizontal="right"/>
    </xf>
    <xf numFmtId="0" fontId="0" fillId="33" borderId="33" xfId="0" applyFill="1" applyBorder="1" applyAlignment="1"/>
    <xf numFmtId="0" fontId="0" fillId="33" borderId="34" xfId="0" applyFill="1" applyBorder="1" applyAlignment="1"/>
    <xf numFmtId="0" fontId="0" fillId="33" borderId="33" xfId="0" applyFill="1" applyBorder="1" applyAlignment="1">
      <alignment horizontal="center"/>
    </xf>
    <xf numFmtId="0" fontId="0" fillId="0" borderId="32" xfId="0" applyFill="1" applyBorder="1" applyAlignment="1"/>
    <xf numFmtId="0" fontId="23" fillId="3" borderId="6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5" fillId="15" borderId="5" xfId="1" applyFont="1" applyFill="1" applyBorder="1" applyAlignment="1">
      <alignment horizontal="center" vertical="center" wrapText="1"/>
    </xf>
    <xf numFmtId="0" fontId="9" fillId="14" borderId="5" xfId="0" applyFont="1" applyFill="1" applyBorder="1" applyAlignment="1">
      <alignment horizontal="center" vertical="center"/>
    </xf>
    <xf numFmtId="0" fontId="9" fillId="0" borderId="86" xfId="0" applyFont="1" applyBorder="1" applyAlignment="1">
      <alignment vertical="center"/>
    </xf>
    <xf numFmtId="0" fontId="25" fillId="0" borderId="34" xfId="0" applyFont="1" applyBorder="1" applyAlignment="1">
      <alignment horizontal="center" vertical="center"/>
    </xf>
    <xf numFmtId="0" fontId="32" fillId="11" borderId="117" xfId="0" applyFont="1" applyFill="1" applyBorder="1" applyAlignment="1">
      <alignment horizontal="center" vertical="center"/>
    </xf>
    <xf numFmtId="0" fontId="32" fillId="11" borderId="0" xfId="0" applyFont="1" applyFill="1" applyBorder="1" applyAlignment="1">
      <alignment horizontal="center" vertical="center"/>
    </xf>
    <xf numFmtId="0" fontId="32" fillId="11" borderId="5" xfId="0" applyFont="1" applyFill="1" applyBorder="1" applyAlignment="1">
      <alignment horizontal="center" vertical="center"/>
    </xf>
    <xf numFmtId="0" fontId="32" fillId="11" borderId="34" xfId="0" applyFont="1" applyFill="1" applyBorder="1" applyAlignment="1">
      <alignment horizontal="center" vertical="center"/>
    </xf>
    <xf numFmtId="0" fontId="25" fillId="11" borderId="31" xfId="0" applyFont="1" applyFill="1" applyBorder="1" applyAlignment="1">
      <alignment horizontal="center" vertical="center"/>
    </xf>
    <xf numFmtId="0" fontId="24" fillId="17" borderId="9" xfId="0" applyFont="1" applyFill="1" applyBorder="1" applyAlignment="1">
      <alignment horizontal="center" vertical="center"/>
    </xf>
    <xf numFmtId="0" fontId="9" fillId="0" borderId="72" xfId="0" applyFont="1" applyBorder="1"/>
    <xf numFmtId="0" fontId="23" fillId="2" borderId="62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6" xfId="0" applyFont="1" applyBorder="1"/>
    <xf numFmtId="0" fontId="9" fillId="0" borderId="46" xfId="0" applyFont="1" applyBorder="1" applyAlignment="1">
      <alignment horizontal="center" vertical="center"/>
    </xf>
    <xf numFmtId="0" fontId="24" fillId="0" borderId="62" xfId="0" applyFont="1" applyFill="1" applyBorder="1" applyAlignment="1">
      <alignment vertical="center"/>
    </xf>
    <xf numFmtId="0" fontId="9" fillId="0" borderId="47" xfId="0" applyFont="1" applyBorder="1"/>
    <xf numFmtId="0" fontId="9" fillId="0" borderId="46" xfId="0" applyFont="1" applyBorder="1"/>
    <xf numFmtId="0" fontId="25" fillId="28" borderId="62" xfId="0" applyFont="1" applyFill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26" fillId="25" borderId="44" xfId="1" applyFont="1" applyFill="1" applyBorder="1" applyAlignment="1">
      <alignment horizontal="center" vertical="center" wrapText="1"/>
    </xf>
    <xf numFmtId="0" fontId="32" fillId="11" borderId="62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46" xfId="0" applyFont="1" applyFill="1" applyBorder="1" applyAlignment="1">
      <alignment horizontal="center" vertical="center"/>
    </xf>
    <xf numFmtId="0" fontId="9" fillId="9" borderId="81" xfId="0" applyFont="1" applyFill="1" applyBorder="1" applyAlignment="1">
      <alignment horizontal="center" vertical="center"/>
    </xf>
    <xf numFmtId="0" fontId="39" fillId="0" borderId="5" xfId="0" applyFont="1" applyFill="1" applyBorder="1" applyAlignment="1">
      <alignment vertical="center"/>
    </xf>
    <xf numFmtId="0" fontId="35" fillId="0" borderId="5" xfId="0" applyFont="1" applyFill="1" applyBorder="1" applyAlignment="1">
      <alignment vertical="center"/>
    </xf>
    <xf numFmtId="0" fontId="6" fillId="0" borderId="5" xfId="0" applyFont="1" applyFill="1" applyBorder="1" applyAlignment="1">
      <alignment vertical="center"/>
    </xf>
    <xf numFmtId="0" fontId="35" fillId="0" borderId="34" xfId="0" applyFont="1" applyFill="1" applyBorder="1" applyAlignment="1">
      <alignment vertical="center"/>
    </xf>
    <xf numFmtId="0" fontId="35" fillId="0" borderId="14" xfId="0" applyFont="1" applyFill="1" applyBorder="1" applyAlignment="1">
      <alignment vertical="center"/>
    </xf>
    <xf numFmtId="0" fontId="25" fillId="0" borderId="14" xfId="0" applyFont="1" applyFill="1" applyBorder="1" applyAlignment="1">
      <alignment horizontal="center" vertical="center"/>
    </xf>
    <xf numFmtId="0" fontId="23" fillId="0" borderId="55" xfId="0" applyFont="1" applyFill="1" applyBorder="1" applyAlignment="1">
      <alignment vertical="center"/>
    </xf>
    <xf numFmtId="0" fontId="0" fillId="0" borderId="0" xfId="0" applyFill="1" applyBorder="1"/>
    <xf numFmtId="0" fontId="26" fillId="0" borderId="5" xfId="0" applyFont="1" applyBorder="1"/>
    <xf numFmtId="0" fontId="6" fillId="0" borderId="15" xfId="0" applyFont="1" applyFill="1" applyBorder="1" applyAlignment="1">
      <alignment vertical="center"/>
    </xf>
    <xf numFmtId="0" fontId="6" fillId="0" borderId="14" xfId="0" applyFont="1" applyFill="1" applyBorder="1" applyAlignment="1">
      <alignment vertical="center"/>
    </xf>
    <xf numFmtId="0" fontId="39" fillId="11" borderId="5" xfId="0" applyFont="1" applyFill="1" applyBorder="1" applyAlignment="1">
      <alignment vertical="center"/>
    </xf>
    <xf numFmtId="0" fontId="35" fillId="0" borderId="32" xfId="0" applyFont="1" applyFill="1" applyBorder="1" applyAlignment="1">
      <alignment vertical="center"/>
    </xf>
    <xf numFmtId="0" fontId="4" fillId="15" borderId="5" xfId="0" applyFont="1" applyFill="1" applyBorder="1" applyAlignment="1">
      <alignment vertical="center"/>
    </xf>
    <xf numFmtId="0" fontId="35" fillId="0" borderId="15" xfId="0" applyFont="1" applyFill="1" applyBorder="1" applyAlignment="1">
      <alignment vertical="center"/>
    </xf>
    <xf numFmtId="0" fontId="35" fillId="0" borderId="55" xfId="0" applyFont="1" applyFill="1" applyBorder="1" applyAlignment="1">
      <alignment vertical="center"/>
    </xf>
    <xf numFmtId="0" fontId="35" fillId="0" borderId="90" xfId="0" applyFont="1" applyFill="1" applyBorder="1" applyAlignment="1">
      <alignment vertical="center"/>
    </xf>
    <xf numFmtId="0" fontId="25" fillId="0" borderId="90" xfId="0" applyFont="1" applyFill="1" applyBorder="1" applyAlignment="1">
      <alignment horizontal="center" vertical="center"/>
    </xf>
    <xf numFmtId="0" fontId="23" fillId="15" borderId="5" xfId="1" applyFont="1" applyFill="1" applyBorder="1" applyAlignment="1">
      <alignment vertical="center" wrapText="1"/>
    </xf>
    <xf numFmtId="0" fontId="6" fillId="15" borderId="5" xfId="0" applyFont="1" applyFill="1" applyBorder="1" applyAlignment="1">
      <alignment vertical="center"/>
    </xf>
    <xf numFmtId="0" fontId="25" fillId="16" borderId="14" xfId="0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0" fontId="24" fillId="15" borderId="5" xfId="0" applyFont="1" applyFill="1" applyBorder="1" applyAlignment="1">
      <alignment horizontal="center" vertical="center"/>
    </xf>
    <xf numFmtId="0" fontId="9" fillId="15" borderId="5" xfId="0" applyFont="1" applyFill="1" applyBorder="1" applyAlignment="1">
      <alignment horizontal="center" vertical="center"/>
    </xf>
    <xf numFmtId="0" fontId="25" fillId="0" borderId="87" xfId="0" applyFont="1" applyBorder="1" applyAlignment="1">
      <alignment horizontal="center" vertical="center"/>
    </xf>
    <xf numFmtId="0" fontId="31" fillId="15" borderId="5" xfId="0" applyFont="1" applyFill="1" applyBorder="1" applyAlignment="1">
      <alignment horizontal="center" vertical="center"/>
    </xf>
    <xf numFmtId="0" fontId="26" fillId="31" borderId="12" xfId="0" applyFont="1" applyFill="1" applyBorder="1"/>
    <xf numFmtId="0" fontId="26" fillId="31" borderId="47" xfId="0" applyFont="1" applyFill="1" applyBorder="1"/>
    <xf numFmtId="0" fontId="31" fillId="15" borderId="5" xfId="0" applyFont="1" applyFill="1" applyBorder="1" applyAlignment="1">
      <alignment horizontal="center"/>
    </xf>
    <xf numFmtId="0" fontId="26" fillId="15" borderId="5" xfId="0" applyFont="1" applyFill="1" applyBorder="1" applyAlignment="1">
      <alignment horizontal="center" vertical="center"/>
    </xf>
    <xf numFmtId="0" fontId="26" fillId="15" borderId="6" xfId="0" applyFont="1" applyFill="1" applyBorder="1" applyAlignment="1">
      <alignment vertical="center"/>
    </xf>
    <xf numFmtId="0" fontId="24" fillId="15" borderId="14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25" fillId="0" borderId="10" xfId="0" applyFont="1" applyBorder="1" applyAlignment="1">
      <alignment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24" fillId="15" borderId="34" xfId="0" applyFont="1" applyFill="1" applyBorder="1" applyAlignment="1">
      <alignment horizontal="center" vertical="center"/>
    </xf>
    <xf numFmtId="0" fontId="24" fillId="0" borderId="5" xfId="0" applyFont="1" applyBorder="1"/>
    <xf numFmtId="0" fontId="24" fillId="0" borderId="6" xfId="0" applyFont="1" applyBorder="1"/>
    <xf numFmtId="0" fontId="6" fillId="0" borderId="34" xfId="0" applyFont="1" applyFill="1" applyBorder="1" applyAlignment="1">
      <alignment vertical="center"/>
    </xf>
    <xf numFmtId="0" fontId="24" fillId="17" borderId="2" xfId="0" applyFont="1" applyFill="1" applyBorder="1" applyAlignment="1">
      <alignment horizontal="center" vertical="center"/>
    </xf>
    <xf numFmtId="0" fontId="24" fillId="17" borderId="13" xfId="0" applyFont="1" applyFill="1" applyBorder="1" applyAlignment="1">
      <alignment horizontal="center" vertical="center"/>
    </xf>
    <xf numFmtId="0" fontId="24" fillId="17" borderId="88" xfId="0" applyFont="1" applyFill="1" applyBorder="1" applyAlignment="1">
      <alignment horizontal="center" vertical="center"/>
    </xf>
    <xf numFmtId="0" fontId="24" fillId="17" borderId="7" xfId="0" applyFont="1" applyFill="1" applyBorder="1" applyAlignment="1">
      <alignment horizontal="center" vertical="center"/>
    </xf>
    <xf numFmtId="0" fontId="26" fillId="0" borderId="15" xfId="1" applyFont="1" applyFill="1" applyBorder="1" applyAlignment="1">
      <alignment horizontal="center" vertical="center" wrapText="1"/>
    </xf>
    <xf numFmtId="0" fontId="26" fillId="0" borderId="67" xfId="1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vertical="center"/>
    </xf>
    <xf numFmtId="0" fontId="9" fillId="0" borderId="12" xfId="0" applyFont="1" applyFill="1" applyBorder="1" applyAlignment="1">
      <alignment horizontal="center" vertical="center"/>
    </xf>
    <xf numFmtId="0" fontId="24" fillId="27" borderId="5" xfId="0" applyFont="1" applyFill="1" applyBorder="1" applyAlignment="1">
      <alignment vertical="center"/>
    </xf>
    <xf numFmtId="0" fontId="26" fillId="15" borderId="65" xfId="0" applyFont="1" applyFill="1" applyBorder="1" applyAlignment="1">
      <alignment vertical="center"/>
    </xf>
    <xf numFmtId="0" fontId="24" fillId="21" borderId="62" xfId="0" applyFont="1" applyFill="1" applyBorder="1" applyAlignment="1">
      <alignment vertical="center"/>
    </xf>
    <xf numFmtId="0" fontId="24" fillId="15" borderId="10" xfId="0" applyFont="1" applyFill="1" applyBorder="1" applyAlignment="1">
      <alignment vertical="center"/>
    </xf>
    <xf numFmtId="0" fontId="24" fillId="0" borderId="6" xfId="0" applyFont="1" applyFill="1" applyBorder="1" applyAlignment="1">
      <alignment horizontal="center" vertical="center"/>
    </xf>
    <xf numFmtId="0" fontId="25" fillId="0" borderId="67" xfId="0" applyFont="1" applyFill="1" applyBorder="1" applyAlignment="1">
      <alignment horizontal="center" vertical="center"/>
    </xf>
    <xf numFmtId="0" fontId="25" fillId="0" borderId="72" xfId="0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40" fillId="0" borderId="5" xfId="0" applyFont="1" applyFill="1" applyBorder="1" applyAlignment="1"/>
    <xf numFmtId="0" fontId="31" fillId="15" borderId="34" xfId="0" applyFont="1" applyFill="1" applyBorder="1" applyAlignment="1">
      <alignment horizontal="center"/>
    </xf>
    <xf numFmtId="0" fontId="26" fillId="30" borderId="6" xfId="0" applyFont="1" applyFill="1" applyBorder="1"/>
    <xf numFmtId="0" fontId="4" fillId="15" borderId="84" xfId="0" applyFont="1" applyFill="1" applyBorder="1" applyAlignment="1">
      <alignment vertical="center"/>
    </xf>
    <xf numFmtId="0" fontId="4" fillId="22" borderId="78" xfId="0" applyFont="1" applyFill="1" applyBorder="1" applyAlignment="1">
      <alignment vertical="center"/>
    </xf>
    <xf numFmtId="0" fontId="4" fillId="15" borderId="60" xfId="0" applyFont="1" applyFill="1" applyBorder="1" applyAlignment="1">
      <alignment vertical="center"/>
    </xf>
    <xf numFmtId="0" fontId="7" fillId="0" borderId="0" xfId="0" applyFont="1" applyBorder="1"/>
    <xf numFmtId="0" fontId="39" fillId="0" borderId="32" xfId="0" applyFont="1" applyFill="1" applyBorder="1" applyAlignment="1">
      <alignment vertical="center"/>
    </xf>
    <xf numFmtId="0" fontId="39" fillId="0" borderId="34" xfId="0" applyFont="1" applyFill="1" applyBorder="1" applyAlignment="1">
      <alignment vertical="center"/>
    </xf>
    <xf numFmtId="0" fontId="39" fillId="0" borderId="15" xfId="0" applyFont="1" applyFill="1" applyBorder="1" applyAlignment="1">
      <alignment vertical="center"/>
    </xf>
    <xf numFmtId="0" fontId="39" fillId="0" borderId="14" xfId="0" applyFont="1" applyFill="1" applyBorder="1" applyAlignment="1">
      <alignment vertical="center"/>
    </xf>
    <xf numFmtId="0" fontId="35" fillId="0" borderId="33" xfId="0" applyFont="1" applyFill="1" applyBorder="1" applyAlignment="1">
      <alignment vertical="center"/>
    </xf>
    <xf numFmtId="0" fontId="39" fillId="11" borderId="34" xfId="0" applyFont="1" applyFill="1" applyBorder="1" applyAlignment="1">
      <alignment vertical="center"/>
    </xf>
    <xf numFmtId="0" fontId="6" fillId="0" borderId="112" xfId="0" applyFont="1" applyFill="1" applyBorder="1" applyAlignment="1">
      <alignment vertical="center"/>
    </xf>
    <xf numFmtId="0" fontId="6" fillId="0" borderId="35" xfId="0" applyFont="1" applyFill="1" applyBorder="1" applyAlignment="1">
      <alignment vertical="center"/>
    </xf>
    <xf numFmtId="0" fontId="6" fillId="0" borderId="110" xfId="0" applyFont="1" applyFill="1" applyBorder="1" applyAlignment="1">
      <alignment vertical="center"/>
    </xf>
    <xf numFmtId="0" fontId="35" fillId="11" borderId="14" xfId="0" applyFont="1" applyFill="1" applyBorder="1" applyAlignment="1">
      <alignment vertical="center"/>
    </xf>
    <xf numFmtId="0" fontId="6" fillId="0" borderId="32" xfId="0" applyFont="1" applyFill="1" applyBorder="1" applyAlignment="1">
      <alignment vertical="center"/>
    </xf>
    <xf numFmtId="0" fontId="6" fillId="0" borderId="31" xfId="0" applyFont="1" applyFill="1" applyBorder="1" applyAlignment="1">
      <alignment vertical="center"/>
    </xf>
    <xf numFmtId="0" fontId="9" fillId="0" borderId="34" xfId="0" applyFont="1" applyBorder="1"/>
    <xf numFmtId="0" fontId="9" fillId="9" borderId="15" xfId="0" applyFont="1" applyFill="1" applyBorder="1" applyAlignment="1">
      <alignment horizontal="center" vertical="center"/>
    </xf>
    <xf numFmtId="0" fontId="9" fillId="0" borderId="32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29" fillId="0" borderId="15" xfId="0" applyFont="1" applyBorder="1" applyAlignment="1">
      <alignment horizontal="center" vertical="center"/>
    </xf>
    <xf numFmtId="0" fontId="23" fillId="11" borderId="31" xfId="0" applyFont="1" applyFill="1" applyBorder="1" applyAlignment="1">
      <alignment horizontal="center" vertical="center"/>
    </xf>
    <xf numFmtId="0" fontId="9" fillId="0" borderId="60" xfId="0" applyFont="1" applyFill="1" applyBorder="1" applyAlignment="1">
      <alignment vertical="center"/>
    </xf>
    <xf numFmtId="0" fontId="24" fillId="11" borderId="31" xfId="0" applyFont="1" applyFill="1" applyBorder="1" applyAlignment="1">
      <alignment horizontal="center" vertical="center"/>
    </xf>
    <xf numFmtId="0" fontId="9" fillId="15" borderId="5" xfId="0" applyFont="1" applyFill="1" applyBorder="1"/>
    <xf numFmtId="0" fontId="32" fillId="0" borderId="5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vertical="center"/>
    </xf>
    <xf numFmtId="0" fontId="9" fillId="11" borderId="5" xfId="0" applyFont="1" applyFill="1" applyBorder="1" applyAlignment="1">
      <alignment horizontal="center" vertical="center"/>
    </xf>
    <xf numFmtId="0" fontId="31" fillId="11" borderId="5" xfId="0" applyFont="1" applyFill="1" applyBorder="1" applyAlignment="1">
      <alignment horizontal="center" vertical="center"/>
    </xf>
    <xf numFmtId="0" fontId="33" fillId="19" borderId="5" xfId="0" applyFont="1" applyFill="1" applyBorder="1" applyAlignment="1">
      <alignment horizontal="center" vertical="center"/>
    </xf>
    <xf numFmtId="0" fontId="23" fillId="3" borderId="67" xfId="0" applyFont="1" applyFill="1" applyBorder="1" applyAlignment="1">
      <alignment horizontal="center" vertical="center"/>
    </xf>
    <xf numFmtId="0" fontId="30" fillId="24" borderId="74" xfId="0" applyFont="1" applyFill="1" applyBorder="1" applyAlignment="1">
      <alignment vertical="center"/>
    </xf>
    <xf numFmtId="0" fontId="0" fillId="0" borderId="74" xfId="0" applyFill="1" applyBorder="1"/>
    <xf numFmtId="0" fontId="30" fillId="0" borderId="74" xfId="0" applyFont="1" applyFill="1" applyBorder="1" applyAlignment="1">
      <alignment vertical="center"/>
    </xf>
    <xf numFmtId="0" fontId="31" fillId="0" borderId="74" xfId="0" applyFont="1" applyFill="1" applyBorder="1" applyAlignment="1">
      <alignment horizontal="center" vertical="center"/>
    </xf>
    <xf numFmtId="0" fontId="23" fillId="15" borderId="60" xfId="0" applyFont="1" applyFill="1" applyBorder="1" applyAlignment="1">
      <alignment horizontal="center" vertical="center"/>
    </xf>
    <xf numFmtId="0" fontId="0" fillId="0" borderId="62" xfId="0" applyFill="1" applyBorder="1"/>
    <xf numFmtId="0" fontId="30" fillId="13" borderId="15" xfId="0" applyFont="1" applyFill="1" applyBorder="1" applyAlignment="1">
      <alignment vertical="center"/>
    </xf>
    <xf numFmtId="0" fontId="0" fillId="0" borderId="60" xfId="0" applyBorder="1"/>
    <xf numFmtId="0" fontId="26" fillId="15" borderId="60" xfId="1" applyFont="1" applyFill="1" applyBorder="1" applyAlignment="1">
      <alignment horizontal="center" vertical="center" wrapText="1"/>
    </xf>
    <xf numFmtId="0" fontId="9" fillId="0" borderId="60" xfId="0" applyFont="1" applyBorder="1" applyAlignment="1">
      <alignment vertical="center"/>
    </xf>
    <xf numFmtId="0" fontId="25" fillId="18" borderId="60" xfId="0" applyFont="1" applyFill="1" applyBorder="1" applyAlignment="1">
      <alignment horizontal="center" vertical="center"/>
    </xf>
    <xf numFmtId="0" fontId="24" fillId="0" borderId="60" xfId="0" applyFont="1" applyFill="1" applyBorder="1" applyAlignment="1">
      <alignment vertical="center"/>
    </xf>
    <xf numFmtId="0" fontId="25" fillId="0" borderId="61" xfId="0" applyFont="1" applyBorder="1" applyAlignment="1">
      <alignment vertical="center"/>
    </xf>
    <xf numFmtId="0" fontId="9" fillId="0" borderId="62" xfId="0" applyFont="1" applyFill="1" applyBorder="1" applyAlignment="1">
      <alignment horizontal="center" vertical="center"/>
    </xf>
    <xf numFmtId="0" fontId="9" fillId="9" borderId="43" xfId="0" applyFont="1" applyFill="1" applyBorder="1" applyAlignment="1">
      <alignment vertical="center"/>
    </xf>
    <xf numFmtId="0" fontId="30" fillId="11" borderId="31" xfId="0" applyFont="1" applyFill="1" applyBorder="1" applyAlignment="1">
      <alignment horizontal="center" vertical="center"/>
    </xf>
    <xf numFmtId="0" fontId="9" fillId="11" borderId="31" xfId="0" applyFont="1" applyFill="1" applyBorder="1"/>
    <xf numFmtId="0" fontId="9" fillId="0" borderId="61" xfId="0" applyFont="1" applyBorder="1" applyAlignment="1">
      <alignment horizontal="center" vertical="center"/>
    </xf>
    <xf numFmtId="0" fontId="25" fillId="18" borderId="15" xfId="0" applyFont="1" applyFill="1" applyBorder="1" applyAlignment="1">
      <alignment horizontal="center" vertical="center"/>
    </xf>
    <xf numFmtId="0" fontId="9" fillId="9" borderId="60" xfId="0" applyFont="1" applyFill="1" applyBorder="1" applyAlignment="1">
      <alignment vertical="center"/>
    </xf>
    <xf numFmtId="0" fontId="9" fillId="0" borderId="60" xfId="0" applyFont="1" applyBorder="1"/>
    <xf numFmtId="0" fontId="9" fillId="0" borderId="15" xfId="0" applyFont="1" applyBorder="1"/>
    <xf numFmtId="0" fontId="26" fillId="15" borderId="62" xfId="0" applyFont="1" applyFill="1" applyBorder="1" applyAlignment="1">
      <alignment horizontal="center" vertical="center"/>
    </xf>
    <xf numFmtId="0" fontId="25" fillId="0" borderId="15" xfId="0" applyFont="1" applyBorder="1" applyAlignment="1">
      <alignment vertical="center"/>
    </xf>
    <xf numFmtId="0" fontId="25" fillId="0" borderId="61" xfId="0" applyFont="1" applyBorder="1" applyAlignment="1">
      <alignment horizontal="center" vertical="center"/>
    </xf>
    <xf numFmtId="0" fontId="25" fillId="0" borderId="67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 wrapText="1"/>
    </xf>
    <xf numFmtId="0" fontId="9" fillId="9" borderId="43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 wrapText="1"/>
    </xf>
    <xf numFmtId="0" fontId="26" fillId="0" borderId="15" xfId="0" applyFont="1" applyFill="1" applyBorder="1" applyAlignment="1">
      <alignment vertical="center"/>
    </xf>
    <xf numFmtId="0" fontId="26" fillId="0" borderId="5" xfId="0" applyFont="1" applyFill="1" applyBorder="1" applyAlignment="1">
      <alignment vertical="center"/>
    </xf>
    <xf numFmtId="0" fontId="9" fillId="0" borderId="5" xfId="0" applyFont="1" applyFill="1" applyBorder="1" applyAlignment="1">
      <alignment horizontal="left" vertical="center"/>
    </xf>
    <xf numFmtId="0" fontId="33" fillId="0" borderId="5" xfId="0" applyFont="1" applyFill="1" applyBorder="1" applyAlignment="1">
      <alignment horizontal="left" vertical="center"/>
    </xf>
    <xf numFmtId="0" fontId="33" fillId="0" borderId="5" xfId="0" applyFont="1" applyFill="1" applyBorder="1" applyAlignment="1">
      <alignment horizontal="center" vertical="center"/>
    </xf>
    <xf numFmtId="0" fontId="34" fillId="0" borderId="5" xfId="0" applyFont="1" applyFill="1" applyBorder="1" applyAlignment="1">
      <alignment horizontal="center" vertical="center"/>
    </xf>
    <xf numFmtId="0" fontId="30" fillId="0" borderId="5" xfId="0" applyFont="1" applyFill="1" applyBorder="1" applyAlignment="1">
      <alignment horizontal="center" vertical="center"/>
    </xf>
    <xf numFmtId="0" fontId="33" fillId="19" borderId="5" xfId="0" applyFont="1" applyFill="1" applyBorder="1" applyAlignment="1">
      <alignment horizontal="left" vertical="center"/>
    </xf>
    <xf numFmtId="0" fontId="23" fillId="0" borderId="5" xfId="1" applyFont="1" applyFill="1" applyBorder="1" applyAlignment="1">
      <alignment horizontal="center" vertical="center" wrapText="1"/>
    </xf>
    <xf numFmtId="0" fontId="23" fillId="2" borderId="61" xfId="0" applyFont="1" applyFill="1" applyBorder="1" applyAlignment="1">
      <alignment horizontal="center" vertical="center"/>
    </xf>
    <xf numFmtId="0" fontId="9" fillId="0" borderId="89" xfId="0" applyFont="1" applyFill="1" applyBorder="1"/>
    <xf numFmtId="0" fontId="32" fillId="0" borderId="60" xfId="0" applyFont="1" applyFill="1" applyBorder="1" applyAlignment="1">
      <alignment horizontal="center" vertical="center"/>
    </xf>
    <xf numFmtId="0" fontId="23" fillId="15" borderId="60" xfId="1" applyFont="1" applyFill="1" applyBorder="1" applyAlignment="1">
      <alignment vertical="center" wrapText="1"/>
    </xf>
    <xf numFmtId="0" fontId="23" fillId="0" borderId="60" xfId="1" applyFont="1" applyFill="1" applyBorder="1" applyAlignment="1">
      <alignment vertical="center" wrapText="1"/>
    </xf>
    <xf numFmtId="0" fontId="34" fillId="0" borderId="60" xfId="0" applyFont="1" applyFill="1" applyBorder="1" applyAlignment="1">
      <alignment horizontal="center" vertical="center"/>
    </xf>
    <xf numFmtId="0" fontId="23" fillId="15" borderId="15" xfId="1" applyFont="1" applyFill="1" applyBorder="1" applyAlignment="1">
      <alignment vertical="center" wrapText="1"/>
    </xf>
    <xf numFmtId="0" fontId="9" fillId="0" borderId="67" xfId="0" applyFont="1" applyBorder="1" applyAlignment="1">
      <alignment horizontal="center" vertical="center"/>
    </xf>
    <xf numFmtId="0" fontId="29" fillId="0" borderId="60" xfId="0" applyFont="1" applyBorder="1" applyAlignment="1">
      <alignment vertical="center"/>
    </xf>
    <xf numFmtId="0" fontId="29" fillId="19" borderId="15" xfId="0" applyFont="1" applyFill="1" applyBorder="1" applyAlignment="1">
      <alignment vertical="center"/>
    </xf>
    <xf numFmtId="0" fontId="9" fillId="8" borderId="60" xfId="0" applyFont="1" applyFill="1" applyBorder="1" applyAlignment="1">
      <alignment vertical="center" wrapText="1"/>
    </xf>
    <xf numFmtId="0" fontId="9" fillId="0" borderId="60" xfId="0" applyFont="1" applyFill="1" applyBorder="1" applyAlignment="1">
      <alignment vertical="center" wrapText="1"/>
    </xf>
    <xf numFmtId="0" fontId="9" fillId="0" borderId="61" xfId="0" applyFont="1" applyBorder="1" applyAlignment="1">
      <alignment horizontal="center" vertical="center" wrapText="1"/>
    </xf>
    <xf numFmtId="0" fontId="26" fillId="30" borderId="2" xfId="0" applyFont="1" applyFill="1" applyBorder="1"/>
    <xf numFmtId="0" fontId="26" fillId="30" borderId="12" xfId="0" applyFont="1" applyFill="1" applyBorder="1"/>
    <xf numFmtId="0" fontId="9" fillId="15" borderId="15" xfId="0" applyFont="1" applyFill="1" applyBorder="1" applyAlignment="1">
      <alignment vertical="center"/>
    </xf>
    <xf numFmtId="0" fontId="9" fillId="15" borderId="56" xfId="0" applyFont="1" applyFill="1" applyBorder="1" applyAlignment="1">
      <alignment vertical="center"/>
    </xf>
    <xf numFmtId="0" fontId="30" fillId="15" borderId="5" xfId="0" applyFont="1" applyFill="1" applyBorder="1" applyAlignment="1">
      <alignment vertical="center"/>
    </xf>
    <xf numFmtId="0" fontId="24" fillId="0" borderId="8" xfId="0" applyFont="1" applyBorder="1"/>
    <xf numFmtId="0" fontId="26" fillId="15" borderId="5" xfId="0" applyFont="1" applyFill="1" applyBorder="1" applyAlignment="1"/>
    <xf numFmtId="0" fontId="30" fillId="15" borderId="5" xfId="0" applyFont="1" applyFill="1" applyBorder="1" applyAlignment="1">
      <alignment horizontal="center" vertical="center"/>
    </xf>
    <xf numFmtId="0" fontId="6" fillId="15" borderId="10" xfId="0" applyFont="1" applyFill="1" applyBorder="1" applyAlignment="1">
      <alignment vertical="center"/>
    </xf>
    <xf numFmtId="0" fontId="13" fillId="0" borderId="34" xfId="0" applyFont="1" applyBorder="1" applyAlignment="1">
      <alignment vertical="center"/>
    </xf>
    <xf numFmtId="0" fontId="13" fillId="0" borderId="80" xfId="0" applyFont="1" applyBorder="1" applyAlignment="1">
      <alignment vertical="center"/>
    </xf>
    <xf numFmtId="0" fontId="6" fillId="0" borderId="91" xfId="0" applyFont="1" applyBorder="1"/>
    <xf numFmtId="0" fontId="6" fillId="0" borderId="14" xfId="0" applyFont="1" applyBorder="1"/>
    <xf numFmtId="0" fontId="7" fillId="0" borderId="34" xfId="0" applyFont="1" applyBorder="1"/>
    <xf numFmtId="0" fontId="6" fillId="15" borderId="34" xfId="1" applyFont="1" applyFill="1" applyBorder="1" applyAlignment="1">
      <alignment vertical="center" wrapText="1"/>
    </xf>
    <xf numFmtId="0" fontId="13" fillId="15" borderId="34" xfId="0" applyFont="1" applyFill="1" applyBorder="1" applyAlignment="1">
      <alignment vertical="center"/>
    </xf>
    <xf numFmtId="0" fontId="13" fillId="15" borderId="5" xfId="0" applyFont="1" applyFill="1" applyBorder="1" applyAlignment="1">
      <alignment vertical="center"/>
    </xf>
    <xf numFmtId="0" fontId="7" fillId="0" borderId="32" xfId="0" applyFont="1" applyBorder="1"/>
    <xf numFmtId="0" fontId="13" fillId="0" borderId="118" xfId="0" applyFont="1" applyBorder="1" applyAlignment="1">
      <alignment vertical="center"/>
    </xf>
    <xf numFmtId="0" fontId="15" fillId="0" borderId="32" xfId="1" applyFont="1" applyBorder="1" applyAlignment="1">
      <alignment vertical="center" wrapText="1"/>
    </xf>
    <xf numFmtId="0" fontId="13" fillId="0" borderId="32" xfId="0" applyFont="1" applyBorder="1" applyAlignment="1">
      <alignment vertical="center"/>
    </xf>
    <xf numFmtId="0" fontId="13" fillId="0" borderId="56" xfId="0" applyFont="1" applyBorder="1" applyAlignment="1">
      <alignment vertical="center"/>
    </xf>
    <xf numFmtId="0" fontId="13" fillId="0" borderId="110" xfId="0" applyFont="1" applyBorder="1" applyAlignment="1">
      <alignment vertical="center"/>
    </xf>
    <xf numFmtId="0" fontId="14" fillId="0" borderId="90" xfId="0" applyFont="1" applyBorder="1" applyAlignment="1">
      <alignment vertical="center"/>
    </xf>
    <xf numFmtId="0" fontId="3" fillId="0" borderId="85" xfId="1" applyFont="1" applyBorder="1" applyAlignment="1">
      <alignment vertical="center" wrapText="1"/>
    </xf>
    <xf numFmtId="0" fontId="14" fillId="0" borderId="34" xfId="0" applyFont="1" applyBorder="1" applyAlignment="1">
      <alignment vertical="center"/>
    </xf>
    <xf numFmtId="0" fontId="21" fillId="0" borderId="110" xfId="0" applyFont="1" applyBorder="1"/>
    <xf numFmtId="0" fontId="13" fillId="0" borderId="31" xfId="0" applyFont="1" applyBorder="1" applyAlignment="1">
      <alignment vertical="center"/>
    </xf>
    <xf numFmtId="0" fontId="4" fillId="0" borderId="14" xfId="0" applyFont="1" applyBorder="1"/>
    <xf numFmtId="0" fontId="39" fillId="11" borderId="15" xfId="0" applyFont="1" applyFill="1" applyBorder="1" applyAlignment="1">
      <alignment vertical="center"/>
    </xf>
    <xf numFmtId="0" fontId="6" fillId="15" borderId="32" xfId="0" applyFont="1" applyFill="1" applyBorder="1" applyAlignment="1">
      <alignment vertical="center"/>
    </xf>
    <xf numFmtId="0" fontId="6" fillId="15" borderId="14" xfId="0" applyFont="1" applyFill="1" applyBorder="1" applyAlignment="1">
      <alignment vertical="center"/>
    </xf>
    <xf numFmtId="0" fontId="35" fillId="15" borderId="5" xfId="0" applyFont="1" applyFill="1" applyBorder="1" applyAlignment="1">
      <alignment vertical="center"/>
    </xf>
    <xf numFmtId="0" fontId="26" fillId="0" borderId="2" xfId="0" applyFont="1" applyBorder="1"/>
    <xf numFmtId="0" fontId="0" fillId="0" borderId="15" xfId="0" applyBorder="1" applyAlignment="1"/>
    <xf numFmtId="0" fontId="23" fillId="0" borderId="14" xfId="0" applyFont="1" applyBorder="1" applyAlignment="1">
      <alignment horizontal="center" vertical="center"/>
    </xf>
    <xf numFmtId="0" fontId="24" fillId="0" borderId="14" xfId="0" applyFont="1" applyBorder="1" applyAlignment="1">
      <alignment vertical="center" wrapText="1"/>
    </xf>
    <xf numFmtId="0" fontId="23" fillId="0" borderId="110" xfId="0" applyFont="1" applyBorder="1" applyAlignment="1">
      <alignment horizontal="center" vertical="center"/>
    </xf>
    <xf numFmtId="0" fontId="35" fillId="11" borderId="15" xfId="0" applyFont="1" applyFill="1" applyBorder="1" applyAlignment="1">
      <alignment horizontal="center" vertical="center"/>
    </xf>
    <xf numFmtId="0" fontId="6" fillId="11" borderId="15" xfId="0" applyFont="1" applyFill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4" fillId="11" borderId="5" xfId="0" applyFont="1" applyFill="1" applyBorder="1" applyAlignment="1">
      <alignment horizontal="center" vertical="center"/>
    </xf>
    <xf numFmtId="0" fontId="23" fillId="14" borderId="15" xfId="0" applyFont="1" applyFill="1" applyBorder="1" applyAlignment="1">
      <alignment horizontal="center" vertical="center"/>
    </xf>
    <xf numFmtId="0" fontId="23" fillId="37" borderId="31" xfId="0" applyFont="1" applyFill="1" applyBorder="1" applyAlignment="1">
      <alignment horizontal="center" vertical="center"/>
    </xf>
    <xf numFmtId="0" fontId="31" fillId="37" borderId="31" xfId="0" applyFont="1" applyFill="1" applyBorder="1" applyAlignment="1">
      <alignment horizontal="center" vertical="center"/>
    </xf>
    <xf numFmtId="0" fontId="25" fillId="37" borderId="31" xfId="0" applyFont="1" applyFill="1" applyBorder="1" applyAlignment="1">
      <alignment horizontal="center" vertical="center"/>
    </xf>
    <xf numFmtId="0" fontId="9" fillId="37" borderId="102" xfId="0" applyFont="1" applyFill="1" applyBorder="1"/>
    <xf numFmtId="0" fontId="30" fillId="37" borderId="15" xfId="0" applyFont="1" applyFill="1" applyBorder="1" applyAlignment="1">
      <alignment horizontal="center" vertical="center"/>
    </xf>
    <xf numFmtId="0" fontId="26" fillId="11" borderId="5" xfId="0" applyFont="1" applyFill="1" applyBorder="1" applyAlignment="1">
      <alignment horizontal="center" vertical="center"/>
    </xf>
    <xf numFmtId="0" fontId="31" fillId="11" borderId="5" xfId="0" applyFont="1" applyFill="1" applyBorder="1" applyAlignment="1">
      <alignment vertical="center"/>
    </xf>
    <xf numFmtId="0" fontId="30" fillId="11" borderId="5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26" fillId="11" borderId="15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vertical="center"/>
    </xf>
    <xf numFmtId="0" fontId="23" fillId="11" borderId="15" xfId="0" applyFont="1" applyFill="1" applyBorder="1" applyAlignment="1">
      <alignment horizontal="center" vertical="center"/>
    </xf>
    <xf numFmtId="0" fontId="26" fillId="11" borderId="15" xfId="0" applyFont="1" applyFill="1" applyBorder="1" applyAlignment="1">
      <alignment vertical="center"/>
    </xf>
    <xf numFmtId="0" fontId="25" fillId="11" borderId="15" xfId="0" applyFont="1" applyFill="1" applyBorder="1" applyAlignment="1">
      <alignment horizontal="center" vertical="center"/>
    </xf>
    <xf numFmtId="0" fontId="34" fillId="11" borderId="15" xfId="0" applyFont="1" applyFill="1" applyBorder="1" applyAlignment="1">
      <alignment horizontal="center" vertical="center"/>
    </xf>
    <xf numFmtId="0" fontId="23" fillId="11" borderId="103" xfId="0" applyFont="1" applyFill="1" applyBorder="1" applyAlignment="1">
      <alignment horizontal="center" vertical="center"/>
    </xf>
    <xf numFmtId="0" fontId="9" fillId="11" borderId="102" xfId="0" applyFont="1" applyFill="1" applyBorder="1"/>
    <xf numFmtId="0" fontId="9" fillId="0" borderId="32" xfId="0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45" fillId="0" borderId="0" xfId="0" applyFont="1"/>
    <xf numFmtId="0" fontId="6" fillId="11" borderId="110" xfId="0" applyFont="1" applyFill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0" fontId="9" fillId="15" borderId="140" xfId="0" applyFont="1" applyFill="1" applyBorder="1" applyAlignment="1">
      <alignment vertical="center"/>
    </xf>
    <xf numFmtId="0" fontId="9" fillId="9" borderId="60" xfId="0" applyFont="1" applyFill="1" applyBorder="1" applyAlignment="1">
      <alignment horizontal="center" vertical="center"/>
    </xf>
    <xf numFmtId="0" fontId="23" fillId="24" borderId="5" xfId="0" applyFont="1" applyFill="1" applyBorder="1" applyAlignment="1">
      <alignment horizontal="center" vertical="center"/>
    </xf>
    <xf numFmtId="0" fontId="47" fillId="0" borderId="5" xfId="0" applyFont="1" applyFill="1" applyBorder="1" applyAlignment="1">
      <alignment horizontal="center" vertical="center"/>
    </xf>
    <xf numFmtId="0" fontId="26" fillId="30" borderId="1" xfId="0" applyFont="1" applyFill="1" applyBorder="1" applyAlignment="1">
      <alignment horizontal="center"/>
    </xf>
    <xf numFmtId="0" fontId="25" fillId="0" borderId="31" xfId="0" applyFont="1" applyBorder="1" applyAlignment="1">
      <alignment horizontal="center" vertical="center"/>
    </xf>
    <xf numFmtId="0" fontId="24" fillId="18" borderId="5" xfId="0" applyFont="1" applyFill="1" applyBorder="1" applyAlignment="1">
      <alignment horizontal="center" vertical="center"/>
    </xf>
    <xf numFmtId="0" fontId="24" fillId="18" borderId="5" xfId="0" applyFont="1" applyFill="1" applyBorder="1" applyAlignment="1">
      <alignment vertical="center"/>
    </xf>
    <xf numFmtId="0" fontId="24" fillId="18" borderId="43" xfId="0" applyFont="1" applyFill="1" applyBorder="1" applyAlignment="1">
      <alignment vertical="center"/>
    </xf>
    <xf numFmtId="0" fontId="24" fillId="17" borderId="43" xfId="0" applyFont="1" applyFill="1" applyBorder="1" applyAlignment="1">
      <alignment vertical="center"/>
    </xf>
    <xf numFmtId="0" fontId="9" fillId="29" borderId="60" xfId="0" applyFont="1" applyFill="1" applyBorder="1" applyAlignment="1">
      <alignment horizontal="center" vertical="center"/>
    </xf>
    <xf numFmtId="0" fontId="24" fillId="0" borderId="62" xfId="0" applyFont="1" applyBorder="1"/>
    <xf numFmtId="0" fontId="31" fillId="15" borderId="62" xfId="0" applyFont="1" applyFill="1" applyBorder="1" applyAlignment="1">
      <alignment horizontal="center"/>
    </xf>
    <xf numFmtId="0" fontId="9" fillId="0" borderId="55" xfId="0" applyFont="1" applyBorder="1" applyAlignment="1">
      <alignment horizontal="center" vertical="center"/>
    </xf>
    <xf numFmtId="0" fontId="9" fillId="0" borderId="118" xfId="0" applyFont="1" applyBorder="1" applyAlignment="1">
      <alignment horizontal="center" vertical="center"/>
    </xf>
    <xf numFmtId="0" fontId="31" fillId="0" borderId="60" xfId="0" applyFont="1" applyFill="1" applyBorder="1" applyAlignment="1">
      <alignment horizontal="center" vertical="center"/>
    </xf>
    <xf numFmtId="0" fontId="30" fillId="5" borderId="15" xfId="0" applyFont="1" applyFill="1" applyBorder="1" applyAlignment="1">
      <alignment vertical="center"/>
    </xf>
    <xf numFmtId="0" fontId="30" fillId="5" borderId="15" xfId="0" applyFont="1" applyFill="1" applyBorder="1" applyAlignment="1">
      <alignment horizontal="center" vertical="center"/>
    </xf>
    <xf numFmtId="0" fontId="31" fillId="10" borderId="74" xfId="0" applyFont="1" applyFill="1" applyBorder="1" applyAlignment="1">
      <alignment horizontal="center" vertical="center"/>
    </xf>
    <xf numFmtId="0" fontId="51" fillId="10" borderId="15" xfId="0" applyFont="1" applyFill="1" applyBorder="1" applyAlignment="1">
      <alignment vertical="center"/>
    </xf>
    <xf numFmtId="0" fontId="0" fillId="0" borderId="32" xfId="0" applyBorder="1"/>
    <xf numFmtId="0" fontId="9" fillId="0" borderId="14" xfId="0" applyFont="1" applyBorder="1"/>
    <xf numFmtId="0" fontId="23" fillId="0" borderId="1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7" fillId="0" borderId="62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67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7" fillId="0" borderId="110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0" fontId="7" fillId="0" borderId="43" xfId="0" applyFont="1" applyBorder="1" applyAlignment="1">
      <alignment horizontal="center" wrapText="1"/>
    </xf>
    <xf numFmtId="0" fontId="7" fillId="0" borderId="44" xfId="0" applyFont="1" applyBorder="1" applyAlignment="1">
      <alignment horizontal="center" wrapText="1"/>
    </xf>
    <xf numFmtId="0" fontId="5" fillId="0" borderId="31" xfId="0" applyFont="1" applyBorder="1" applyAlignment="1">
      <alignment vertical="center" wrapText="1"/>
    </xf>
    <xf numFmtId="0" fontId="26" fillId="30" borderId="5" xfId="0" applyFont="1" applyFill="1" applyBorder="1" applyAlignment="1">
      <alignment horizontal="center"/>
    </xf>
    <xf numFmtId="0" fontId="26" fillId="30" borderId="43" xfId="0" applyFont="1" applyFill="1" applyBorder="1" applyAlignment="1">
      <alignment horizontal="center"/>
    </xf>
    <xf numFmtId="0" fontId="8" fillId="0" borderId="34" xfId="0" applyFont="1" applyBorder="1" applyAlignment="1">
      <alignment horizontal="center" wrapText="1"/>
    </xf>
    <xf numFmtId="0" fontId="8" fillId="0" borderId="5" xfId="0" applyFont="1" applyBorder="1" applyAlignment="1">
      <alignment horizontal="center" wrapText="1"/>
    </xf>
    <xf numFmtId="0" fontId="3" fillId="0" borderId="32" xfId="0" applyFont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8" fillId="0" borderId="73" xfId="0" applyFont="1" applyBorder="1" applyAlignment="1">
      <alignment horizontal="center" wrapText="1"/>
    </xf>
    <xf numFmtId="0" fontId="8" fillId="0" borderId="43" xfId="0" applyFont="1" applyBorder="1" applyAlignment="1">
      <alignment horizontal="center" wrapText="1"/>
    </xf>
    <xf numFmtId="0" fontId="15" fillId="0" borderId="112" xfId="1" applyFont="1" applyBorder="1" applyAlignment="1">
      <alignment vertical="center" wrapText="1"/>
    </xf>
    <xf numFmtId="0" fontId="15" fillId="0" borderId="31" xfId="1" applyFont="1" applyBorder="1" applyAlignment="1">
      <alignment vertical="center" wrapText="1"/>
    </xf>
    <xf numFmtId="0" fontId="16" fillId="0" borderId="31" xfId="0" applyFont="1" applyBorder="1" applyAlignment="1">
      <alignment vertical="center"/>
    </xf>
    <xf numFmtId="0" fontId="26" fillId="30" borderId="64" xfId="0" applyFont="1" applyFill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7" fillId="0" borderId="75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7" fillId="0" borderId="118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55" xfId="0" applyFont="1" applyBorder="1" applyAlignment="1">
      <alignment horizontal="center"/>
    </xf>
    <xf numFmtId="0" fontId="26" fillId="30" borderId="79" xfId="0" applyFont="1" applyFill="1" applyBorder="1" applyAlignment="1">
      <alignment horizontal="center"/>
    </xf>
    <xf numFmtId="0" fontId="53" fillId="24" borderId="132" xfId="0" applyFont="1" applyFill="1" applyBorder="1" applyAlignment="1">
      <alignment horizontal="center" vertical="center" wrapText="1"/>
    </xf>
    <xf numFmtId="0" fontId="53" fillId="24" borderId="5" xfId="0" applyFont="1" applyFill="1" applyBorder="1" applyAlignment="1">
      <alignment horizontal="center" vertical="center" wrapText="1"/>
    </xf>
    <xf numFmtId="0" fontId="23" fillId="0" borderId="90" xfId="0" applyFont="1" applyFill="1" applyBorder="1" applyAlignment="1">
      <alignment vertical="center"/>
    </xf>
    <xf numFmtId="0" fontId="25" fillId="0" borderId="5" xfId="1" applyFont="1" applyFill="1" applyBorder="1" applyAlignment="1">
      <alignment vertical="center" wrapText="1"/>
    </xf>
    <xf numFmtId="0" fontId="25" fillId="0" borderId="55" xfId="1" applyFont="1" applyFill="1" applyBorder="1" applyAlignment="1">
      <alignment vertical="center" wrapText="1"/>
    </xf>
    <xf numFmtId="0" fontId="25" fillId="0" borderId="90" xfId="1" applyFont="1" applyFill="1" applyBorder="1" applyAlignment="1">
      <alignment vertical="center" wrapText="1"/>
    </xf>
    <xf numFmtId="0" fontId="9" fillId="0" borderId="84" xfId="0" applyFont="1" applyBorder="1" applyAlignment="1">
      <alignment vertical="center"/>
    </xf>
    <xf numFmtId="0" fontId="9" fillId="0" borderId="85" xfId="0" applyFont="1" applyFill="1" applyBorder="1" applyAlignment="1">
      <alignment horizontal="center" vertical="center"/>
    </xf>
    <xf numFmtId="0" fontId="25" fillId="18" borderId="14" xfId="0" applyFont="1" applyFill="1" applyBorder="1" applyAlignment="1">
      <alignment horizontal="center" vertical="center"/>
    </xf>
    <xf numFmtId="0" fontId="25" fillId="18" borderId="91" xfId="0" applyFont="1" applyFill="1" applyBorder="1" applyAlignment="1">
      <alignment horizontal="center" vertical="center"/>
    </xf>
    <xf numFmtId="0" fontId="25" fillId="18" borderId="79" xfId="0" applyFont="1" applyFill="1" applyBorder="1" applyAlignment="1">
      <alignment horizontal="center" vertical="center"/>
    </xf>
    <xf numFmtId="0" fontId="9" fillId="0" borderId="56" xfId="0" applyFont="1" applyBorder="1" applyAlignment="1">
      <alignment vertical="center"/>
    </xf>
    <xf numFmtId="0" fontId="25" fillId="0" borderId="55" xfId="0" applyFont="1" applyFill="1" applyBorder="1" applyAlignment="1">
      <alignment vertical="center"/>
    </xf>
    <xf numFmtId="0" fontId="25" fillId="0" borderId="90" xfId="0" applyFont="1" applyFill="1" applyBorder="1" applyAlignment="1">
      <alignment vertical="center"/>
    </xf>
    <xf numFmtId="0" fontId="26" fillId="31" borderId="5" xfId="0" applyFont="1" applyFill="1" applyBorder="1"/>
    <xf numFmtId="0" fontId="26" fillId="11" borderId="60" xfId="0" applyFont="1" applyFill="1" applyBorder="1" applyAlignment="1">
      <alignment vertical="center"/>
    </xf>
    <xf numFmtId="0" fontId="24" fillId="17" borderId="15" xfId="0" applyFont="1" applyFill="1" applyBorder="1" applyAlignment="1">
      <alignment horizontal="center" vertical="center"/>
    </xf>
    <xf numFmtId="0" fontId="9" fillId="15" borderId="15" xfId="0" applyFont="1" applyFill="1" applyBorder="1" applyAlignment="1">
      <alignment horizontal="center" vertical="center"/>
    </xf>
    <xf numFmtId="0" fontId="24" fillId="15" borderId="15" xfId="0" applyFont="1" applyFill="1" applyBorder="1" applyAlignment="1">
      <alignment vertical="center"/>
    </xf>
    <xf numFmtId="0" fontId="25" fillId="23" borderId="5" xfId="0" applyFont="1" applyFill="1" applyBorder="1" applyAlignment="1">
      <alignment horizontal="center" vertical="center"/>
    </xf>
    <xf numFmtId="0" fontId="25" fillId="23" borderId="43" xfId="0" applyFont="1" applyFill="1" applyBorder="1" applyAlignment="1">
      <alignment horizontal="center" vertical="center"/>
    </xf>
    <xf numFmtId="0" fontId="30" fillId="5" borderId="55" xfId="0" applyFont="1" applyFill="1" applyBorder="1" applyAlignment="1">
      <alignment horizontal="center" vertical="center"/>
    </xf>
    <xf numFmtId="0" fontId="33" fillId="10" borderId="14" xfId="0" applyFont="1" applyFill="1" applyBorder="1" applyAlignment="1">
      <alignment vertical="center"/>
    </xf>
    <xf numFmtId="0" fontId="33" fillId="10" borderId="15" xfId="0" applyFont="1" applyFill="1" applyBorder="1" applyAlignment="1">
      <alignment vertical="center"/>
    </xf>
    <xf numFmtId="0" fontId="31" fillId="10" borderId="5" xfId="1" applyFont="1" applyFill="1" applyBorder="1" applyAlignment="1">
      <alignment vertical="center" wrapText="1"/>
    </xf>
    <xf numFmtId="0" fontId="4" fillId="28" borderId="84" xfId="0" applyFont="1" applyFill="1" applyBorder="1" applyAlignment="1">
      <alignment vertical="center"/>
    </xf>
    <xf numFmtId="0" fontId="35" fillId="0" borderId="32" xfId="0" applyFont="1" applyBorder="1" applyAlignment="1">
      <alignment vertical="center"/>
    </xf>
    <xf numFmtId="0" fontId="12" fillId="0" borderId="118" xfId="0" applyFont="1" applyBorder="1" applyAlignment="1">
      <alignment vertical="center"/>
    </xf>
    <xf numFmtId="0" fontId="4" fillId="11" borderId="15" xfId="0" applyFont="1" applyFill="1" applyBorder="1" applyAlignment="1">
      <alignment horizontal="center" vertical="center"/>
    </xf>
    <xf numFmtId="0" fontId="39" fillId="0" borderId="37" xfId="0" applyFont="1" applyFill="1" applyBorder="1" applyAlignment="1">
      <alignment horizontal="center" vertical="center"/>
    </xf>
    <xf numFmtId="0" fontId="6" fillId="11" borderId="31" xfId="0" applyFont="1" applyFill="1" applyBorder="1" applyAlignment="1">
      <alignment vertical="center"/>
    </xf>
    <xf numFmtId="0" fontId="4" fillId="0" borderId="108" xfId="0" applyFont="1" applyBorder="1" applyAlignment="1">
      <alignment vertical="center"/>
    </xf>
    <xf numFmtId="0" fontId="13" fillId="0" borderId="70" xfId="0" applyFont="1" applyBorder="1" applyAlignment="1">
      <alignment vertical="center"/>
    </xf>
    <xf numFmtId="0" fontId="13" fillId="0" borderId="108" xfId="0" applyFont="1" applyBorder="1" applyAlignment="1">
      <alignment vertical="center"/>
    </xf>
    <xf numFmtId="0" fontId="39" fillId="0" borderId="31" xfId="0" applyFont="1" applyFill="1" applyBorder="1" applyAlignment="1">
      <alignment vertical="center"/>
    </xf>
    <xf numFmtId="0" fontId="39" fillId="11" borderId="37" xfId="0" applyFont="1" applyFill="1" applyBorder="1" applyAlignment="1">
      <alignment horizontal="center" vertical="center"/>
    </xf>
    <xf numFmtId="0" fontId="39" fillId="11" borderId="37" xfId="0" applyFont="1" applyFill="1" applyBorder="1" applyAlignment="1">
      <alignment vertical="center"/>
    </xf>
    <xf numFmtId="0" fontId="39" fillId="39" borderId="37" xfId="0" applyFont="1" applyFill="1" applyBorder="1" applyAlignment="1">
      <alignment vertical="center"/>
    </xf>
    <xf numFmtId="0" fontId="4" fillId="0" borderId="5" xfId="0" applyFont="1" applyBorder="1" applyAlignment="1">
      <alignment vertical="center"/>
    </xf>
    <xf numFmtId="0" fontId="6" fillId="11" borderId="14" xfId="0" applyFont="1" applyFill="1" applyBorder="1" applyAlignment="1">
      <alignment vertical="center"/>
    </xf>
    <xf numFmtId="0" fontId="35" fillId="11" borderId="5" xfId="0" applyFont="1" applyFill="1" applyBorder="1" applyAlignment="1">
      <alignment vertical="center"/>
    </xf>
    <xf numFmtId="0" fontId="6" fillId="0" borderId="55" xfId="0" applyFont="1" applyFill="1" applyBorder="1" applyAlignment="1">
      <alignment vertical="center"/>
    </xf>
    <xf numFmtId="0" fontId="6" fillId="0" borderId="75" xfId="0" applyFont="1" applyFill="1" applyBorder="1" applyAlignment="1">
      <alignment vertical="center"/>
    </xf>
    <xf numFmtId="0" fontId="35" fillId="0" borderId="118" xfId="0" applyFont="1" applyFill="1" applyBorder="1" applyAlignment="1">
      <alignment vertical="center"/>
    </xf>
    <xf numFmtId="0" fontId="24" fillId="5" borderId="15" xfId="0" applyFont="1" applyFill="1" applyBorder="1" applyAlignment="1">
      <alignment horizontal="center" vertical="center"/>
    </xf>
    <xf numFmtId="0" fontId="39" fillId="0" borderId="5" xfId="0" applyFont="1" applyBorder="1" applyAlignment="1">
      <alignment vertical="center"/>
    </xf>
    <xf numFmtId="0" fontId="7" fillId="0" borderId="4" xfId="0" applyFont="1" applyBorder="1"/>
    <xf numFmtId="0" fontId="35" fillId="0" borderId="31" xfId="0" applyFont="1" applyFill="1" applyBorder="1" applyAlignment="1">
      <alignment vertical="center"/>
    </xf>
    <xf numFmtId="0" fontId="26" fillId="0" borderId="14" xfId="0" applyFont="1" applyFill="1" applyBorder="1" applyAlignment="1">
      <alignment vertical="center"/>
    </xf>
    <xf numFmtId="0" fontId="24" fillId="0" borderId="2" xfId="0" applyFont="1" applyBorder="1"/>
    <xf numFmtId="0" fontId="24" fillId="0" borderId="34" xfId="0" applyFont="1" applyBorder="1"/>
    <xf numFmtId="0" fontId="24" fillId="0" borderId="30" xfId="0" applyFont="1" applyBorder="1"/>
    <xf numFmtId="0" fontId="24" fillId="0" borderId="92" xfId="0" applyFont="1" applyBorder="1"/>
    <xf numFmtId="0" fontId="31" fillId="15" borderId="103" xfId="0" applyFont="1" applyFill="1" applyBorder="1" applyAlignment="1"/>
    <xf numFmtId="0" fontId="31" fillId="15" borderId="31" xfId="0" applyFont="1" applyFill="1" applyBorder="1" applyAlignment="1"/>
    <xf numFmtId="9" fontId="56" fillId="0" borderId="0" xfId="0" applyNumberFormat="1" applyFont="1"/>
    <xf numFmtId="9" fontId="57" fillId="14" borderId="34" xfId="0" applyNumberFormat="1" applyFont="1" applyFill="1" applyBorder="1"/>
    <xf numFmtId="9" fontId="0" fillId="15" borderId="34" xfId="0" applyNumberFormat="1" applyFill="1" applyBorder="1" applyAlignment="1"/>
    <xf numFmtId="9" fontId="0" fillId="7" borderId="119" xfId="0" applyNumberFormat="1" applyFill="1" applyBorder="1"/>
    <xf numFmtId="9" fontId="0" fillId="8" borderId="119" xfId="0" applyNumberFormat="1" applyFill="1" applyBorder="1"/>
    <xf numFmtId="0" fontId="0" fillId="7" borderId="5" xfId="0" applyFill="1" applyBorder="1"/>
    <xf numFmtId="0" fontId="0" fillId="5" borderId="5" xfId="0" applyFill="1" applyBorder="1"/>
    <xf numFmtId="0" fontId="0" fillId="0" borderId="144" xfId="0" applyBorder="1"/>
    <xf numFmtId="0" fontId="0" fillId="0" borderId="103" xfId="0" applyBorder="1"/>
    <xf numFmtId="0" fontId="0" fillId="0" borderId="75" xfId="0" applyBorder="1"/>
    <xf numFmtId="0" fontId="0" fillId="0" borderId="61" xfId="0" applyBorder="1"/>
    <xf numFmtId="0" fontId="0" fillId="0" borderId="62" xfId="0" applyBorder="1"/>
    <xf numFmtId="9" fontId="0" fillId="0" borderId="84" xfId="0" applyNumberFormat="1" applyBorder="1"/>
    <xf numFmtId="9" fontId="0" fillId="0" borderId="32" xfId="0" applyNumberFormat="1" applyBorder="1"/>
    <xf numFmtId="9" fontId="0" fillId="0" borderId="56" xfId="0" applyNumberFormat="1" applyBorder="1"/>
    <xf numFmtId="0" fontId="0" fillId="32" borderId="69" xfId="0" applyFill="1" applyBorder="1"/>
    <xf numFmtId="0" fontId="0" fillId="15" borderId="69" xfId="0" applyFill="1" applyBorder="1"/>
    <xf numFmtId="0" fontId="0" fillId="15" borderId="143" xfId="0" applyFill="1" applyBorder="1"/>
    <xf numFmtId="0" fontId="0" fillId="0" borderId="139" xfId="0" applyBorder="1"/>
    <xf numFmtId="9" fontId="0" fillId="32" borderId="147" xfId="0" applyNumberFormat="1" applyFill="1" applyBorder="1"/>
    <xf numFmtId="0" fontId="0" fillId="0" borderId="34" xfId="0" applyBorder="1"/>
    <xf numFmtId="0" fontId="0" fillId="0" borderId="73" xfId="0" applyBorder="1"/>
    <xf numFmtId="0" fontId="26" fillId="7" borderId="61" xfId="0" applyFont="1" applyFill="1" applyBorder="1" applyAlignment="1">
      <alignment horizontal="center" vertical="center"/>
    </xf>
    <xf numFmtId="0" fontId="31" fillId="10" borderId="15" xfId="1" applyFont="1" applyFill="1" applyBorder="1" applyAlignment="1">
      <alignment vertical="center" wrapText="1"/>
    </xf>
    <xf numFmtId="0" fontId="39" fillId="0" borderId="110" xfId="0" applyFont="1" applyFill="1" applyBorder="1" applyAlignment="1">
      <alignment horizontal="center" vertical="center"/>
    </xf>
    <xf numFmtId="0" fontId="39" fillId="0" borderId="118" xfId="0" applyFont="1" applyFill="1" applyBorder="1" applyAlignment="1">
      <alignment vertical="center"/>
    </xf>
    <xf numFmtId="0" fontId="39" fillId="0" borderId="110" xfId="0" applyFont="1" applyFill="1" applyBorder="1" applyAlignment="1">
      <alignment vertical="center"/>
    </xf>
    <xf numFmtId="0" fontId="39" fillId="0" borderId="5" xfId="0" applyFont="1" applyFill="1" applyBorder="1" applyAlignment="1">
      <alignment horizontal="center" vertical="center"/>
    </xf>
    <xf numFmtId="0" fontId="6" fillId="0" borderId="103" xfId="0" applyFont="1" applyFill="1" applyBorder="1" applyAlignment="1">
      <alignment vertical="center"/>
    </xf>
    <xf numFmtId="0" fontId="6" fillId="0" borderId="90" xfId="0" applyFont="1" applyFill="1" applyBorder="1" applyAlignment="1">
      <alignment vertical="center"/>
    </xf>
    <xf numFmtId="0" fontId="25" fillId="11" borderId="5" xfId="0" applyFont="1" applyFill="1" applyBorder="1" applyAlignment="1">
      <alignment vertical="center"/>
    </xf>
    <xf numFmtId="0" fontId="23" fillId="0" borderId="118" xfId="0" applyFont="1" applyBorder="1" applyAlignment="1">
      <alignment horizontal="center" vertical="center"/>
    </xf>
    <xf numFmtId="0" fontId="23" fillId="0" borderId="32" xfId="1" applyFont="1" applyFill="1" applyBorder="1" applyAlignment="1">
      <alignment vertical="center" wrapText="1"/>
    </xf>
    <xf numFmtId="0" fontId="23" fillId="0" borderId="74" xfId="1" applyFont="1" applyFill="1" applyBorder="1" applyAlignment="1">
      <alignment vertical="center" wrapText="1"/>
    </xf>
    <xf numFmtId="0" fontId="9" fillId="0" borderId="31" xfId="0" applyFont="1" applyFill="1" applyBorder="1" applyAlignment="1">
      <alignment horizontal="center" vertical="center"/>
    </xf>
    <xf numFmtId="0" fontId="25" fillId="0" borderId="74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40" fillId="36" borderId="15" xfId="0" applyFont="1" applyFill="1" applyBorder="1" applyAlignment="1">
      <alignment horizontal="center"/>
    </xf>
    <xf numFmtId="0" fontId="40" fillId="36" borderId="74" xfId="0" applyFont="1" applyFill="1" applyBorder="1" applyAlignment="1">
      <alignment horizontal="center"/>
    </xf>
    <xf numFmtId="0" fontId="26" fillId="15" borderId="32" xfId="0" applyFont="1" applyFill="1" applyBorder="1" applyAlignment="1">
      <alignment horizontal="center" vertical="center"/>
    </xf>
    <xf numFmtId="0" fontId="26" fillId="15" borderId="111" xfId="0" applyFont="1" applyFill="1" applyBorder="1" applyAlignment="1">
      <alignment horizontal="center" vertical="center"/>
    </xf>
    <xf numFmtId="0" fontId="30" fillId="25" borderId="65" xfId="0" applyFont="1" applyFill="1" applyBorder="1" applyAlignment="1">
      <alignment horizontal="center" vertical="center"/>
    </xf>
    <xf numFmtId="0" fontId="53" fillId="15" borderId="132" xfId="0" applyFont="1" applyFill="1" applyBorder="1" applyAlignment="1">
      <alignment horizontal="center" vertical="center" wrapText="1"/>
    </xf>
    <xf numFmtId="0" fontId="53" fillId="15" borderId="5" xfId="0" applyFont="1" applyFill="1" applyBorder="1" applyAlignment="1">
      <alignment horizontal="center" vertical="center" wrapText="1"/>
    </xf>
    <xf numFmtId="0" fontId="24" fillId="16" borderId="58" xfId="0" applyFont="1" applyFill="1" applyBorder="1" applyAlignment="1">
      <alignment vertical="center"/>
    </xf>
    <xf numFmtId="0" fontId="49" fillId="15" borderId="5" xfId="0" applyFont="1" applyFill="1" applyBorder="1" applyAlignment="1">
      <alignment horizontal="center" vertical="center"/>
    </xf>
    <xf numFmtId="0" fontId="25" fillId="15" borderId="5" xfId="1" applyFont="1" applyFill="1" applyBorder="1" applyAlignment="1">
      <alignment vertical="center" wrapText="1"/>
    </xf>
    <xf numFmtId="0" fontId="31" fillId="15" borderId="5" xfId="0" applyFont="1" applyFill="1" applyBorder="1" applyAlignment="1">
      <alignment vertical="center"/>
    </xf>
    <xf numFmtId="0" fontId="26" fillId="23" borderId="14" xfId="0" applyFont="1" applyFill="1" applyBorder="1" applyAlignment="1">
      <alignment vertical="center"/>
    </xf>
    <xf numFmtId="0" fontId="3" fillId="40" borderId="5" xfId="0" applyFont="1" applyFill="1" applyBorder="1" applyAlignment="1">
      <alignment horizontal="center" vertical="center"/>
    </xf>
    <xf numFmtId="0" fontId="3" fillId="0" borderId="110" xfId="1" applyFont="1" applyBorder="1" applyAlignment="1">
      <alignment vertical="center" wrapText="1"/>
    </xf>
    <xf numFmtId="0" fontId="6" fillId="0" borderId="31" xfId="0" applyFont="1" applyBorder="1" applyAlignment="1">
      <alignment wrapText="1"/>
    </xf>
    <xf numFmtId="0" fontId="18" fillId="0" borderId="14" xfId="0" applyFont="1" applyBorder="1" applyAlignment="1">
      <alignment vertical="center"/>
    </xf>
    <xf numFmtId="0" fontId="16" fillId="15" borderId="32" xfId="1" applyFont="1" applyFill="1" applyBorder="1" applyAlignment="1">
      <alignment horizontal="center" vertical="center" wrapText="1"/>
    </xf>
    <xf numFmtId="0" fontId="15" fillId="0" borderId="34" xfId="1" applyFont="1" applyBorder="1" applyAlignment="1">
      <alignment vertical="center" wrapText="1"/>
    </xf>
    <xf numFmtId="0" fontId="17" fillId="0" borderId="14" xfId="0" applyFont="1" applyBorder="1" applyAlignment="1">
      <alignment vertical="center"/>
    </xf>
    <xf numFmtId="0" fontId="6" fillId="15" borderId="5" xfId="1" applyFont="1" applyFill="1" applyBorder="1" applyAlignment="1">
      <alignment vertical="center" wrapText="1"/>
    </xf>
    <xf numFmtId="0" fontId="6" fillId="0" borderId="32" xfId="0" applyFont="1" applyBorder="1" applyAlignment="1">
      <alignment vertical="center"/>
    </xf>
    <xf numFmtId="0" fontId="13" fillId="0" borderId="90" xfId="0" applyFont="1" applyBorder="1" applyAlignment="1">
      <alignment vertical="center"/>
    </xf>
    <xf numFmtId="0" fontId="43" fillId="15" borderId="32" xfId="1" applyFont="1" applyFill="1" applyBorder="1" applyAlignment="1">
      <alignment vertical="center" wrapText="1"/>
    </xf>
    <xf numFmtId="0" fontId="3" fillId="25" borderId="62" xfId="1" applyFont="1" applyFill="1" applyBorder="1" applyAlignment="1">
      <alignment vertical="center" wrapText="1"/>
    </xf>
    <xf numFmtId="0" fontId="26" fillId="15" borderId="1" xfId="0" applyFont="1" applyFill="1" applyBorder="1" applyAlignment="1">
      <alignment horizontal="center"/>
    </xf>
    <xf numFmtId="0" fontId="26" fillId="15" borderId="12" xfId="0" applyFont="1" applyFill="1" applyBorder="1" applyAlignment="1">
      <alignment horizontal="center"/>
    </xf>
    <xf numFmtId="0" fontId="6" fillId="15" borderId="75" xfId="0" applyFont="1" applyFill="1" applyBorder="1" applyAlignment="1">
      <alignment horizontal="center" vertical="center"/>
    </xf>
    <xf numFmtId="0" fontId="53" fillId="0" borderId="5" xfId="0" applyFont="1" applyFill="1" applyBorder="1" applyAlignment="1">
      <alignment vertical="center"/>
    </xf>
    <xf numFmtId="0" fontId="53" fillId="15" borderId="5" xfId="0" applyFont="1" applyFill="1" applyBorder="1" applyAlignment="1">
      <alignment vertical="center"/>
    </xf>
    <xf numFmtId="0" fontId="35" fillId="0" borderId="110" xfId="0" applyFont="1" applyFill="1" applyBorder="1" applyAlignment="1">
      <alignment vertical="center"/>
    </xf>
    <xf numFmtId="0" fontId="6" fillId="15" borderId="55" xfId="0" applyFont="1" applyFill="1" applyBorder="1" applyAlignment="1">
      <alignment horizontal="center" vertical="center"/>
    </xf>
    <xf numFmtId="0" fontId="26" fillId="0" borderId="32" xfId="0" applyFont="1" applyFill="1" applyBorder="1" applyAlignment="1">
      <alignment vertical="center"/>
    </xf>
    <xf numFmtId="0" fontId="9" fillId="0" borderId="31" xfId="0" applyFont="1" applyBorder="1"/>
    <xf numFmtId="0" fontId="25" fillId="0" borderId="31" xfId="0" applyFont="1" applyBorder="1" applyAlignment="1">
      <alignment vertical="center"/>
    </xf>
    <xf numFmtId="0" fontId="6" fillId="15" borderId="34" xfId="0" applyFont="1" applyFill="1" applyBorder="1" applyAlignment="1">
      <alignment vertical="center"/>
    </xf>
    <xf numFmtId="0" fontId="52" fillId="15" borderId="5" xfId="0" applyFont="1" applyFill="1" applyBorder="1" applyAlignment="1">
      <alignment horizontal="center" vertical="center" wrapText="1"/>
    </xf>
    <xf numFmtId="0" fontId="26" fillId="30" borderId="3" xfId="0" applyFont="1" applyFill="1" applyBorder="1"/>
    <xf numFmtId="0" fontId="39" fillId="0" borderId="43" xfId="0" applyFont="1" applyFill="1" applyBorder="1" applyAlignment="1">
      <alignment vertical="center"/>
    </xf>
    <xf numFmtId="0" fontId="30" fillId="5" borderId="31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/>
    </xf>
    <xf numFmtId="0" fontId="9" fillId="0" borderId="60" xfId="0" applyFont="1" applyBorder="1" applyAlignment="1">
      <alignment horizontal="center" vertical="top"/>
    </xf>
    <xf numFmtId="0" fontId="9" fillId="0" borderId="60" xfId="0" applyFont="1" applyBorder="1" applyAlignment="1">
      <alignment vertical="top"/>
    </xf>
    <xf numFmtId="0" fontId="23" fillId="15" borderId="60" xfId="1" applyFont="1" applyFill="1" applyBorder="1" applyAlignment="1">
      <alignment vertical="top" wrapText="1"/>
    </xf>
    <xf numFmtId="0" fontId="30" fillId="25" borderId="43" xfId="0" applyFont="1" applyFill="1" applyBorder="1" applyAlignment="1">
      <alignment horizontal="center" vertical="center"/>
    </xf>
    <xf numFmtId="0" fontId="9" fillId="0" borderId="110" xfId="0" applyFont="1" applyBorder="1" applyAlignment="1">
      <alignment horizontal="center" vertical="center"/>
    </xf>
    <xf numFmtId="0" fontId="30" fillId="17" borderId="5" xfId="1" applyFont="1" applyFill="1" applyBorder="1" applyAlignment="1">
      <alignment horizontal="center" vertical="center" wrapText="1"/>
    </xf>
    <xf numFmtId="0" fontId="24" fillId="17" borderId="5" xfId="1" applyFont="1" applyFill="1" applyBorder="1" applyAlignment="1">
      <alignment horizontal="center" vertical="center" wrapText="1"/>
    </xf>
    <xf numFmtId="0" fontId="7" fillId="26" borderId="5" xfId="0" applyFont="1" applyFill="1" applyBorder="1" applyAlignment="1">
      <alignment vertical="center"/>
    </xf>
    <xf numFmtId="0" fontId="6" fillId="0" borderId="43" xfId="0" applyFont="1" applyFill="1" applyBorder="1" applyAlignment="1">
      <alignment vertical="center"/>
    </xf>
    <xf numFmtId="0" fontId="26" fillId="30" borderId="2" xfId="0" applyFont="1" applyFill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14" fillId="0" borderId="55" xfId="1" applyFont="1" applyBorder="1" applyAlignment="1">
      <alignment vertical="center" wrapText="1"/>
    </xf>
    <xf numFmtId="0" fontId="3" fillId="0" borderId="15" xfId="1" applyFont="1" applyBorder="1" applyAlignment="1">
      <alignment vertical="center" wrapText="1"/>
    </xf>
    <xf numFmtId="0" fontId="3" fillId="0" borderId="14" xfId="1" applyFont="1" applyBorder="1" applyAlignment="1">
      <alignment vertical="center" wrapText="1"/>
    </xf>
    <xf numFmtId="0" fontId="0" fillId="0" borderId="14" xfId="0" applyBorder="1"/>
    <xf numFmtId="0" fontId="9" fillId="9" borderId="32" xfId="0" applyFont="1" applyFill="1" applyBorder="1" applyAlignment="1">
      <alignment horizontal="center" vertical="center"/>
    </xf>
    <xf numFmtId="0" fontId="39" fillId="15" borderId="14" xfId="0" applyFont="1" applyFill="1" applyBorder="1" applyAlignment="1">
      <alignment vertical="center"/>
    </xf>
    <xf numFmtId="0" fontId="39" fillId="15" borderId="5" xfId="0" applyFont="1" applyFill="1" applyBorder="1" applyAlignment="1">
      <alignment vertical="center"/>
    </xf>
    <xf numFmtId="0" fontId="39" fillId="15" borderId="15" xfId="0" applyFont="1" applyFill="1" applyBorder="1" applyAlignment="1">
      <alignment vertical="center"/>
    </xf>
    <xf numFmtId="0" fontId="39" fillId="15" borderId="118" xfId="0" applyFont="1" applyFill="1" applyBorder="1" applyAlignment="1">
      <alignment vertical="center"/>
    </xf>
    <xf numFmtId="0" fontId="39" fillId="15" borderId="43" xfId="0" applyFont="1" applyFill="1" applyBorder="1" applyAlignment="1">
      <alignment vertical="center"/>
    </xf>
    <xf numFmtId="0" fontId="39" fillId="15" borderId="55" xfId="0" applyFont="1" applyFill="1" applyBorder="1" applyAlignment="1">
      <alignment vertical="center"/>
    </xf>
    <xf numFmtId="0" fontId="39" fillId="15" borderId="90" xfId="0" applyFont="1" applyFill="1" applyBorder="1" applyAlignment="1">
      <alignment vertical="center"/>
    </xf>
    <xf numFmtId="0" fontId="39" fillId="15" borderId="31" xfId="0" applyFont="1" applyFill="1" applyBorder="1" applyAlignment="1">
      <alignment vertical="center"/>
    </xf>
    <xf numFmtId="0" fontId="6" fillId="15" borderId="116" xfId="0" applyFont="1" applyFill="1" applyBorder="1" applyAlignment="1">
      <alignment vertical="center"/>
    </xf>
    <xf numFmtId="0" fontId="6" fillId="15" borderId="74" xfId="0" applyFont="1" applyFill="1" applyBorder="1" applyAlignment="1">
      <alignment vertical="center"/>
    </xf>
    <xf numFmtId="0" fontId="13" fillId="15" borderId="74" xfId="0" applyFont="1" applyFill="1" applyBorder="1" applyAlignment="1">
      <alignment vertical="center"/>
    </xf>
    <xf numFmtId="0" fontId="13" fillId="15" borderId="108" xfId="0" applyFont="1" applyFill="1" applyBorder="1" applyAlignment="1">
      <alignment vertical="center"/>
    </xf>
    <xf numFmtId="0" fontId="13" fillId="15" borderId="109" xfId="0" applyFont="1" applyFill="1" applyBorder="1" applyAlignment="1">
      <alignment vertical="center"/>
    </xf>
    <xf numFmtId="0" fontId="4" fillId="15" borderId="74" xfId="0" applyFont="1" applyFill="1" applyBorder="1" applyAlignment="1">
      <alignment vertical="center"/>
    </xf>
    <xf numFmtId="0" fontId="14" fillId="15" borderId="74" xfId="0" applyFont="1" applyFill="1" applyBorder="1" applyAlignment="1">
      <alignment vertical="center"/>
    </xf>
    <xf numFmtId="0" fontId="39" fillId="15" borderId="110" xfId="0" applyFont="1" applyFill="1" applyBorder="1" applyAlignment="1">
      <alignment vertical="center"/>
    </xf>
    <xf numFmtId="0" fontId="49" fillId="15" borderId="5" xfId="0" applyFont="1" applyFill="1" applyBorder="1" applyAlignment="1">
      <alignment vertical="center" wrapText="1"/>
    </xf>
    <xf numFmtId="0" fontId="4" fillId="15" borderId="14" xfId="0" applyFont="1" applyFill="1" applyBorder="1" applyAlignment="1">
      <alignment vertical="center"/>
    </xf>
    <xf numFmtId="0" fontId="4" fillId="15" borderId="118" xfId="0" applyFont="1" applyFill="1" applyBorder="1" applyAlignment="1">
      <alignment vertical="center"/>
    </xf>
    <xf numFmtId="0" fontId="4" fillId="15" borderId="15" xfId="0" applyFont="1" applyFill="1" applyBorder="1" applyAlignment="1">
      <alignment vertical="center"/>
    </xf>
    <xf numFmtId="0" fontId="14" fillId="15" borderId="108" xfId="0" applyFont="1" applyFill="1" applyBorder="1" applyAlignment="1">
      <alignment vertical="center"/>
    </xf>
    <xf numFmtId="0" fontId="35" fillId="15" borderId="14" xfId="0" applyFont="1" applyFill="1" applyBorder="1" applyAlignment="1">
      <alignment vertical="center"/>
    </xf>
    <xf numFmtId="0" fontId="13" fillId="15" borderId="60" xfId="0" applyFont="1" applyFill="1" applyBorder="1" applyAlignment="1">
      <alignment vertical="center"/>
    </xf>
    <xf numFmtId="0" fontId="13" fillId="15" borderId="61" xfId="0" applyFont="1" applyFill="1" applyBorder="1" applyAlignment="1">
      <alignment vertical="center"/>
    </xf>
    <xf numFmtId="0" fontId="35" fillId="15" borderId="72" xfId="0" applyFont="1" applyFill="1" applyBorder="1" applyAlignment="1">
      <alignment vertical="center"/>
    </xf>
    <xf numFmtId="0" fontId="6" fillId="15" borderId="62" xfId="0" applyFont="1" applyFill="1" applyBorder="1" applyAlignment="1">
      <alignment vertical="center"/>
    </xf>
    <xf numFmtId="0" fontId="39" fillId="15" borderId="62" xfId="0" applyFont="1" applyFill="1" applyBorder="1" applyAlignment="1">
      <alignment vertical="center"/>
    </xf>
    <xf numFmtId="0" fontId="39" fillId="15" borderId="72" xfId="0" applyFont="1" applyFill="1" applyBorder="1" applyAlignment="1">
      <alignment vertical="center"/>
    </xf>
    <xf numFmtId="0" fontId="39" fillId="15" borderId="67" xfId="0" applyFont="1" applyFill="1" applyBorder="1" applyAlignment="1">
      <alignment vertical="center"/>
    </xf>
    <xf numFmtId="0" fontId="39" fillId="15" borderId="44" xfId="0" applyFont="1" applyFill="1" applyBorder="1" applyAlignment="1">
      <alignment vertical="center"/>
    </xf>
    <xf numFmtId="0" fontId="39" fillId="15" borderId="102" xfId="0" applyFont="1" applyFill="1" applyBorder="1" applyAlignment="1">
      <alignment vertical="center"/>
    </xf>
    <xf numFmtId="0" fontId="26" fillId="30" borderId="30" xfId="0" applyFont="1" applyFill="1" applyBorder="1" applyAlignment="1">
      <alignment horizontal="center"/>
    </xf>
    <xf numFmtId="0" fontId="26" fillId="30" borderId="91" xfId="0" applyFont="1" applyFill="1" applyBorder="1" applyAlignment="1">
      <alignment horizontal="center"/>
    </xf>
    <xf numFmtId="0" fontId="26" fillId="30" borderId="14" xfId="0" applyFont="1" applyFill="1" applyBorder="1" applyAlignment="1">
      <alignment horizontal="center"/>
    </xf>
    <xf numFmtId="0" fontId="7" fillId="0" borderId="152" xfId="0" applyFont="1" applyBorder="1"/>
    <xf numFmtId="0" fontId="7" fillId="0" borderId="153" xfId="0" applyFont="1" applyBorder="1"/>
    <xf numFmtId="0" fontId="7" fillId="0" borderId="154" xfId="0" applyFont="1" applyBorder="1"/>
    <xf numFmtId="0" fontId="7" fillId="0" borderId="90" xfId="0" applyFont="1" applyBorder="1"/>
    <xf numFmtId="0" fontId="7" fillId="0" borderId="15" xfId="0" applyFont="1" applyBorder="1"/>
    <xf numFmtId="0" fontId="7" fillId="0" borderId="67" xfId="0" applyFont="1" applyBorder="1"/>
    <xf numFmtId="0" fontId="7" fillId="0" borderId="72" xfId="0" applyFont="1" applyBorder="1"/>
    <xf numFmtId="0" fontId="24" fillId="0" borderId="15" xfId="0" applyFont="1" applyBorder="1"/>
    <xf numFmtId="0" fontId="13" fillId="15" borderId="14" xfId="0" applyFont="1" applyFill="1" applyBorder="1" applyAlignment="1">
      <alignment vertical="center"/>
    </xf>
    <xf numFmtId="0" fontId="13" fillId="15" borderId="72" xfId="0" applyFont="1" applyFill="1" applyBorder="1" applyAlignment="1">
      <alignment vertical="center"/>
    </xf>
    <xf numFmtId="0" fontId="39" fillId="15" borderId="34" xfId="0" applyFont="1" applyFill="1" applyBorder="1" applyAlignment="1">
      <alignment vertical="center"/>
    </xf>
    <xf numFmtId="0" fontId="39" fillId="15" borderId="96" xfId="0" applyFont="1" applyFill="1" applyBorder="1" applyAlignment="1">
      <alignment vertical="center"/>
    </xf>
    <xf numFmtId="0" fontId="35" fillId="0" borderId="5" xfId="0" applyFont="1" applyBorder="1" applyAlignment="1">
      <alignment vertical="center"/>
    </xf>
    <xf numFmtId="0" fontId="9" fillId="9" borderId="74" xfId="0" applyFont="1" applyFill="1" applyBorder="1" applyAlignment="1">
      <alignment vertical="center"/>
    </xf>
    <xf numFmtId="0" fontId="9" fillId="0" borderId="55" xfId="0" applyFont="1" applyBorder="1" applyAlignment="1">
      <alignment horizontal="center" vertical="center" wrapText="1"/>
    </xf>
    <xf numFmtId="0" fontId="9" fillId="0" borderId="90" xfId="0" applyFont="1" applyBorder="1" applyAlignment="1">
      <alignment horizontal="center" vertical="center"/>
    </xf>
    <xf numFmtId="0" fontId="24" fillId="16" borderId="62" xfId="0" applyFont="1" applyFill="1" applyBorder="1" applyAlignment="1">
      <alignment horizontal="center" vertical="center"/>
    </xf>
    <xf numFmtId="0" fontId="26" fillId="43" borderId="15" xfId="0" applyFont="1" applyFill="1" applyBorder="1" applyAlignment="1">
      <alignment horizontal="center" vertical="center"/>
    </xf>
    <xf numFmtId="0" fontId="13" fillId="15" borderId="32" xfId="0" applyFont="1" applyFill="1" applyBorder="1" applyAlignment="1">
      <alignment vertical="center"/>
    </xf>
    <xf numFmtId="0" fontId="4" fillId="11" borderId="31" xfId="0" applyFont="1" applyFill="1" applyBorder="1" applyAlignment="1">
      <alignment horizontal="center" vertical="center"/>
    </xf>
    <xf numFmtId="0" fontId="4" fillId="11" borderId="31" xfId="0" applyFont="1" applyFill="1" applyBorder="1" applyAlignment="1">
      <alignment vertical="center"/>
    </xf>
    <xf numFmtId="0" fontId="4" fillId="11" borderId="75" xfId="0" applyFont="1" applyFill="1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35" fillId="11" borderId="31" xfId="0" applyFont="1" applyFill="1" applyBorder="1" applyAlignment="1">
      <alignment horizontal="center" vertical="center"/>
    </xf>
    <xf numFmtId="0" fontId="30" fillId="11" borderId="65" xfId="0" applyFont="1" applyFill="1" applyBorder="1" applyAlignment="1">
      <alignment vertical="center"/>
    </xf>
    <xf numFmtId="0" fontId="30" fillId="11" borderId="33" xfId="0" applyFont="1" applyFill="1" applyBorder="1" applyAlignment="1">
      <alignment vertical="center"/>
    </xf>
    <xf numFmtId="0" fontId="30" fillId="11" borderId="35" xfId="0" applyFont="1" applyFill="1" applyBorder="1" applyAlignment="1">
      <alignment vertical="center"/>
    </xf>
    <xf numFmtId="0" fontId="30" fillId="11" borderId="110" xfId="0" applyFont="1" applyFill="1" applyBorder="1" applyAlignment="1">
      <alignment vertical="center"/>
    </xf>
    <xf numFmtId="0" fontId="13" fillId="11" borderId="31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vertical="center"/>
    </xf>
    <xf numFmtId="0" fontId="14" fillId="11" borderId="5" xfId="0" applyFont="1" applyFill="1" applyBorder="1" applyAlignment="1">
      <alignment vertical="center"/>
    </xf>
    <xf numFmtId="0" fontId="13" fillId="11" borderId="32" xfId="0" applyFont="1" applyFill="1" applyBorder="1" applyAlignment="1">
      <alignment vertical="center"/>
    </xf>
    <xf numFmtId="0" fontId="63" fillId="0" borderId="24" xfId="0" applyFont="1" applyBorder="1"/>
    <xf numFmtId="0" fontId="35" fillId="15" borderId="118" xfId="0" applyFont="1" applyFill="1" applyBorder="1" applyAlignment="1">
      <alignment vertical="center"/>
    </xf>
    <xf numFmtId="0" fontId="39" fillId="15" borderId="32" xfId="0" applyFont="1" applyFill="1" applyBorder="1" applyAlignment="1">
      <alignment vertical="center"/>
    </xf>
    <xf numFmtId="0" fontId="39" fillId="15" borderId="56" xfId="0" applyFont="1" applyFill="1" applyBorder="1" applyAlignment="1">
      <alignment vertical="center"/>
    </xf>
    <xf numFmtId="0" fontId="39" fillId="15" borderId="75" xfId="0" applyFont="1" applyFill="1" applyBorder="1" applyAlignment="1">
      <alignment vertical="center"/>
    </xf>
    <xf numFmtId="0" fontId="24" fillId="15" borderId="108" xfId="0" applyFont="1" applyFill="1" applyBorder="1" applyAlignment="1">
      <alignment vertical="center"/>
    </xf>
    <xf numFmtId="0" fontId="24" fillId="15" borderId="60" xfId="0" applyFont="1" applyFill="1" applyBorder="1" applyAlignment="1">
      <alignment vertical="center"/>
    </xf>
    <xf numFmtId="0" fontId="6" fillId="15" borderId="15" xfId="0" applyFont="1" applyFill="1" applyBorder="1" applyAlignment="1">
      <alignment vertical="center"/>
    </xf>
    <xf numFmtId="0" fontId="9" fillId="0" borderId="43" xfId="0" applyFont="1" applyBorder="1"/>
    <xf numFmtId="0" fontId="9" fillId="0" borderId="14" xfId="0" applyFont="1" applyBorder="1" applyAlignment="1">
      <alignment horizontal="center" vertical="top"/>
    </xf>
    <xf numFmtId="0" fontId="9" fillId="0" borderId="14" xfId="0" applyFont="1" applyBorder="1" applyAlignment="1">
      <alignment horizontal="center" vertical="center" wrapText="1"/>
    </xf>
    <xf numFmtId="0" fontId="9" fillId="9" borderId="14" xfId="0" applyFont="1" applyFill="1" applyBorder="1" applyAlignment="1">
      <alignment horizontal="center" vertical="center"/>
    </xf>
    <xf numFmtId="0" fontId="24" fillId="16" borderId="72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33" fillId="10" borderId="14" xfId="0" applyFont="1" applyFill="1" applyBorder="1" applyAlignment="1">
      <alignment horizontal="left" vertical="center"/>
    </xf>
    <xf numFmtId="0" fontId="6" fillId="0" borderId="64" xfId="0" applyFont="1" applyFill="1" applyBorder="1" applyAlignment="1">
      <alignment vertical="center"/>
    </xf>
    <xf numFmtId="0" fontId="6" fillId="15" borderId="64" xfId="0" applyFont="1" applyFill="1" applyBorder="1" applyAlignment="1">
      <alignment vertical="center"/>
    </xf>
    <xf numFmtId="0" fontId="6" fillId="0" borderId="67" xfId="0" applyFont="1" applyFill="1" applyBorder="1" applyAlignment="1">
      <alignment vertical="center"/>
    </xf>
    <xf numFmtId="0" fontId="6" fillId="0" borderId="62" xfId="0" applyFont="1" applyFill="1" applyBorder="1" applyAlignment="1">
      <alignment vertical="center"/>
    </xf>
    <xf numFmtId="0" fontId="6" fillId="0" borderId="72" xfId="0" applyFont="1" applyFill="1" applyBorder="1" applyAlignment="1">
      <alignment vertical="center"/>
    </xf>
    <xf numFmtId="0" fontId="6" fillId="0" borderId="111" xfId="0" applyFont="1" applyFill="1" applyBorder="1" applyAlignment="1">
      <alignment vertical="center"/>
    </xf>
    <xf numFmtId="0" fontId="6" fillId="0" borderId="102" xfId="0" applyFont="1" applyFill="1" applyBorder="1" applyAlignment="1">
      <alignment vertical="center"/>
    </xf>
    <xf numFmtId="0" fontId="6" fillId="0" borderId="44" xfId="0" applyFont="1" applyFill="1" applyBorder="1" applyAlignment="1">
      <alignment vertical="center"/>
    </xf>
    <xf numFmtId="0" fontId="24" fillId="0" borderId="0" xfId="0" applyFont="1" applyBorder="1"/>
    <xf numFmtId="0" fontId="24" fillId="5" borderId="31" xfId="0" applyFont="1" applyFill="1" applyBorder="1" applyAlignment="1">
      <alignment horizontal="center" vertical="center"/>
    </xf>
    <xf numFmtId="0" fontId="26" fillId="0" borderId="14" xfId="0" applyFont="1" applyBorder="1"/>
    <xf numFmtId="0" fontId="26" fillId="0" borderId="34" xfId="0" applyFont="1" applyBorder="1"/>
    <xf numFmtId="0" fontId="31" fillId="0" borderId="5" xfId="0" applyFont="1" applyFill="1" applyBorder="1" applyAlignment="1">
      <alignment vertical="center"/>
    </xf>
    <xf numFmtId="0" fontId="26" fillId="0" borderId="62" xfId="1" applyFont="1" applyFill="1" applyBorder="1" applyAlignment="1">
      <alignment vertical="center" wrapText="1"/>
    </xf>
    <xf numFmtId="0" fontId="8" fillId="0" borderId="110" xfId="0" applyFont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30" fillId="45" borderId="5" xfId="0" applyFont="1" applyFill="1" applyBorder="1" applyAlignment="1">
      <alignment vertical="center"/>
    </xf>
    <xf numFmtId="0" fontId="7" fillId="0" borderId="0" xfId="0" applyFont="1" applyBorder="1" applyAlignment="1"/>
    <xf numFmtId="2" fontId="0" fillId="0" borderId="0" xfId="0" applyNumberFormat="1"/>
    <xf numFmtId="0" fontId="31" fillId="22" borderId="5" xfId="0" applyFont="1" applyFill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32" xfId="0" applyFont="1" applyBorder="1" applyAlignment="1">
      <alignment vertical="center"/>
    </xf>
    <xf numFmtId="0" fontId="30" fillId="5" borderId="0" xfId="0" applyFont="1" applyFill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26" fillId="30" borderId="12" xfId="0" applyFont="1" applyFill="1" applyBorder="1" applyAlignment="1">
      <alignment horizontal="center"/>
    </xf>
    <xf numFmtId="0" fontId="24" fillId="16" borderId="104" xfId="0" applyFont="1" applyFill="1" applyBorder="1" applyAlignment="1">
      <alignment vertical="center"/>
    </xf>
    <xf numFmtId="0" fontId="26" fillId="30" borderId="95" xfId="0" applyFont="1" applyFill="1" applyBorder="1"/>
    <xf numFmtId="0" fontId="24" fillId="16" borderId="44" xfId="0" applyFont="1" applyFill="1" applyBorder="1" applyAlignment="1">
      <alignment horizontal="center" vertical="center"/>
    </xf>
    <xf numFmtId="0" fontId="30" fillId="16" borderId="62" xfId="0" applyFont="1" applyFill="1" applyBorder="1" applyAlignment="1">
      <alignment horizontal="center" vertical="center"/>
    </xf>
    <xf numFmtId="0" fontId="25" fillId="8" borderId="5" xfId="0" applyFont="1" applyFill="1" applyBorder="1" applyAlignment="1">
      <alignment vertical="center"/>
    </xf>
    <xf numFmtId="0" fontId="25" fillId="8" borderId="62" xfId="0" applyFont="1" applyFill="1" applyBorder="1" applyAlignment="1">
      <alignment vertical="center"/>
    </xf>
    <xf numFmtId="0" fontId="7" fillId="8" borderId="5" xfId="0" applyFont="1" applyFill="1" applyBorder="1"/>
    <xf numFmtId="0" fontId="70" fillId="0" borderId="25" xfId="0" applyFont="1" applyBorder="1"/>
    <xf numFmtId="0" fontId="70" fillId="0" borderId="0" xfId="0" applyFont="1" applyBorder="1"/>
    <xf numFmtId="0" fontId="70" fillId="0" borderId="24" xfId="0" applyFont="1" applyBorder="1"/>
    <xf numFmtId="0" fontId="24" fillId="0" borderId="158" xfId="0" applyFont="1" applyBorder="1"/>
    <xf numFmtId="0" fontId="24" fillId="0" borderId="7" xfId="0" applyFont="1" applyBorder="1"/>
    <xf numFmtId="0" fontId="26" fillId="0" borderId="15" xfId="0" applyFont="1" applyBorder="1"/>
    <xf numFmtId="0" fontId="26" fillId="0" borderId="67" xfId="0" applyFont="1" applyBorder="1"/>
    <xf numFmtId="0" fontId="26" fillId="29" borderId="62" xfId="0" applyFont="1" applyFill="1" applyBorder="1" applyAlignment="1">
      <alignment horizontal="center" vertical="center"/>
    </xf>
    <xf numFmtId="0" fontId="26" fillId="29" borderId="2" xfId="0" applyFont="1" applyFill="1" applyBorder="1"/>
    <xf numFmtId="0" fontId="8" fillId="15" borderId="5" xfId="0" applyFont="1" applyFill="1" applyBorder="1" applyAlignment="1">
      <alignment vertical="center"/>
    </xf>
    <xf numFmtId="0" fontId="8" fillId="15" borderId="14" xfId="0" applyFont="1" applyFill="1" applyBorder="1" applyAlignment="1">
      <alignment vertical="center"/>
    </xf>
    <xf numFmtId="0" fontId="7" fillId="15" borderId="5" xfId="0" applyFont="1" applyFill="1" applyBorder="1" applyAlignment="1">
      <alignment vertical="center"/>
    </xf>
    <xf numFmtId="0" fontId="4" fillId="15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22" fillId="40" borderId="5" xfId="0" applyFont="1" applyFill="1" applyBorder="1" applyAlignment="1">
      <alignment horizontal="center" vertical="center"/>
    </xf>
    <xf numFmtId="0" fontId="72" fillId="24" borderId="5" xfId="0" applyFont="1" applyFill="1" applyBorder="1" applyAlignment="1">
      <alignment horizontal="center" vertical="center" wrapText="1"/>
    </xf>
    <xf numFmtId="0" fontId="39" fillId="0" borderId="90" xfId="0" applyFont="1" applyFill="1" applyBorder="1" applyAlignment="1">
      <alignment vertical="center"/>
    </xf>
    <xf numFmtId="0" fontId="39" fillId="0" borderId="55" xfId="0" applyFont="1" applyFill="1" applyBorder="1" applyAlignment="1">
      <alignment vertical="center"/>
    </xf>
    <xf numFmtId="0" fontId="39" fillId="0" borderId="33" xfId="0" applyFont="1" applyFill="1" applyBorder="1" applyAlignment="1">
      <alignment vertical="center"/>
    </xf>
    <xf numFmtId="0" fontId="22" fillId="15" borderId="32" xfId="0" applyFont="1" applyFill="1" applyBorder="1" applyAlignment="1">
      <alignment horizontal="center" vertical="center"/>
    </xf>
    <xf numFmtId="0" fontId="6" fillId="11" borderId="37" xfId="0" applyFont="1" applyFill="1" applyBorder="1" applyAlignment="1">
      <alignment horizontal="center" vertical="center"/>
    </xf>
    <xf numFmtId="0" fontId="6" fillId="11" borderId="159" xfId="0" applyFont="1" applyFill="1" applyBorder="1" applyAlignment="1">
      <alignment horizontal="center" vertical="center"/>
    </xf>
    <xf numFmtId="0" fontId="35" fillId="11" borderId="5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7" fillId="0" borderId="10" xfId="0" applyFont="1" applyBorder="1"/>
    <xf numFmtId="0" fontId="61" fillId="15" borderId="32" xfId="0" applyFont="1" applyFill="1" applyBorder="1" applyAlignment="1">
      <alignment vertical="center"/>
    </xf>
    <xf numFmtId="0" fontId="61" fillId="15" borderId="5" xfId="0" applyFont="1" applyFill="1" applyBorder="1" applyAlignment="1">
      <alignment vertical="center"/>
    </xf>
    <xf numFmtId="0" fontId="39" fillId="15" borderId="0" xfId="0" applyFont="1" applyFill="1" applyBorder="1" applyAlignment="1">
      <alignment vertical="center"/>
    </xf>
    <xf numFmtId="0" fontId="0" fillId="0" borderId="121" xfId="0" applyBorder="1"/>
    <xf numFmtId="0" fontId="35" fillId="0" borderId="64" xfId="0" applyFont="1" applyFill="1" applyBorder="1" applyAlignment="1">
      <alignment vertical="center"/>
    </xf>
    <xf numFmtId="0" fontId="35" fillId="0" borderId="0" xfId="0" applyFont="1" applyFill="1" applyBorder="1" applyAlignment="1">
      <alignment vertical="center"/>
    </xf>
    <xf numFmtId="0" fontId="7" fillId="0" borderId="44" xfId="0" applyFont="1" applyBorder="1"/>
    <xf numFmtId="0" fontId="7" fillId="0" borderId="79" xfId="0" applyFont="1" applyBorder="1"/>
    <xf numFmtId="0" fontId="7" fillId="0" borderId="119" xfId="0" applyFont="1" applyBorder="1"/>
    <xf numFmtId="0" fontId="7" fillId="0" borderId="120" xfId="0" applyFont="1" applyBorder="1"/>
    <xf numFmtId="0" fontId="7" fillId="0" borderId="33" xfId="0" applyFont="1" applyBorder="1"/>
    <xf numFmtId="0" fontId="4" fillId="15" borderId="32" xfId="0" applyFont="1" applyFill="1" applyBorder="1" applyAlignment="1">
      <alignment vertical="center"/>
    </xf>
    <xf numFmtId="0" fontId="76" fillId="15" borderId="5" xfId="0" applyFont="1" applyFill="1" applyBorder="1" applyAlignment="1">
      <alignment vertical="center"/>
    </xf>
    <xf numFmtId="0" fontId="66" fillId="15" borderId="5" xfId="0" applyFont="1" applyFill="1" applyBorder="1" applyAlignment="1">
      <alignment vertical="center"/>
    </xf>
    <xf numFmtId="0" fontId="35" fillId="15" borderId="32" xfId="0" applyFont="1" applyFill="1" applyBorder="1" applyAlignment="1">
      <alignment vertical="center"/>
    </xf>
    <xf numFmtId="0" fontId="39" fillId="15" borderId="91" xfId="0" applyFont="1" applyFill="1" applyBorder="1" applyAlignment="1">
      <alignment vertical="center"/>
    </xf>
    <xf numFmtId="0" fontId="39" fillId="15" borderId="64" xfId="0" applyFont="1" applyFill="1" applyBorder="1" applyAlignment="1">
      <alignment vertical="center"/>
    </xf>
    <xf numFmtId="0" fontId="39" fillId="15" borderId="79" xfId="0" applyFont="1" applyFill="1" applyBorder="1" applyAlignment="1">
      <alignment vertical="center"/>
    </xf>
    <xf numFmtId="0" fontId="39" fillId="15" borderId="60" xfId="0" applyFont="1" applyFill="1" applyBorder="1" applyAlignment="1">
      <alignment vertical="center"/>
    </xf>
    <xf numFmtId="0" fontId="39" fillId="15" borderId="80" xfId="0" applyFont="1" applyFill="1" applyBorder="1" applyAlignment="1">
      <alignment vertical="center"/>
    </xf>
    <xf numFmtId="0" fontId="35" fillId="15" borderId="15" xfId="0" applyFont="1" applyFill="1" applyBorder="1" applyAlignment="1">
      <alignment vertical="center"/>
    </xf>
    <xf numFmtId="0" fontId="6" fillId="15" borderId="31" xfId="0" applyFont="1" applyFill="1" applyBorder="1" applyAlignment="1">
      <alignment vertical="center"/>
    </xf>
    <xf numFmtId="0" fontId="35" fillId="15" borderId="110" xfId="0" applyFont="1" applyFill="1" applyBorder="1" applyAlignment="1">
      <alignment vertical="center"/>
    </xf>
    <xf numFmtId="0" fontId="35" fillId="15" borderId="34" xfId="0" applyFont="1" applyFill="1" applyBorder="1" applyAlignment="1">
      <alignment vertical="center"/>
    </xf>
    <xf numFmtId="0" fontId="0" fillId="15" borderId="5" xfId="0" applyFill="1" applyBorder="1" applyAlignment="1"/>
    <xf numFmtId="0" fontId="22" fillId="15" borderId="5" xfId="0" applyFont="1" applyFill="1" applyBorder="1" applyAlignment="1">
      <alignment vertical="center"/>
    </xf>
    <xf numFmtId="0" fontId="73" fillId="15" borderId="5" xfId="0" applyFont="1" applyFill="1" applyBorder="1" applyAlignment="1">
      <alignment vertical="center" wrapText="1"/>
    </xf>
    <xf numFmtId="0" fontId="74" fillId="15" borderId="5" xfId="0" applyFont="1" applyFill="1" applyBorder="1" applyAlignment="1">
      <alignment vertical="center"/>
    </xf>
    <xf numFmtId="0" fontId="75" fillId="15" borderId="5" xfId="0" applyFont="1" applyFill="1" applyBorder="1" applyAlignment="1">
      <alignment vertical="center"/>
    </xf>
    <xf numFmtId="0" fontId="7" fillId="0" borderId="162" xfId="0" applyFont="1" applyBorder="1"/>
    <xf numFmtId="0" fontId="7" fillId="0" borderId="13" xfId="0" applyFont="1" applyBorder="1"/>
    <xf numFmtId="0" fontId="7" fillId="0" borderId="58" xfId="0" applyFont="1" applyBorder="1"/>
    <xf numFmtId="0" fontId="7" fillId="0" borderId="50" xfId="0" applyFont="1" applyBorder="1"/>
    <xf numFmtId="0" fontId="7" fillId="0" borderId="164" xfId="0" applyFont="1" applyBorder="1"/>
    <xf numFmtId="0" fontId="9" fillId="0" borderId="71" xfId="0" applyFont="1" applyBorder="1" applyAlignment="1">
      <alignment horizontal="left" vertical="center"/>
    </xf>
    <xf numFmtId="0" fontId="7" fillId="0" borderId="71" xfId="0" applyFont="1" applyBorder="1"/>
    <xf numFmtId="0" fontId="7" fillId="0" borderId="63" xfId="0" applyFont="1" applyBorder="1"/>
    <xf numFmtId="0" fontId="7" fillId="0" borderId="166" xfId="0" applyFont="1" applyBorder="1"/>
    <xf numFmtId="0" fontId="7" fillId="15" borderId="5" xfId="0" applyFont="1" applyFill="1" applyBorder="1" applyAlignment="1"/>
    <xf numFmtId="0" fontId="48" fillId="15" borderId="5" xfId="0" applyFont="1" applyFill="1" applyBorder="1" applyAlignment="1"/>
    <xf numFmtId="0" fontId="46" fillId="15" borderId="5" xfId="0" applyFont="1" applyFill="1" applyBorder="1" applyAlignment="1">
      <alignment vertical="center"/>
    </xf>
    <xf numFmtId="0" fontId="4" fillId="15" borderId="5" xfId="0" applyFont="1" applyFill="1" applyBorder="1" applyAlignment="1"/>
    <xf numFmtId="0" fontId="35" fillId="15" borderId="60" xfId="0" applyFont="1" applyFill="1" applyBorder="1" applyAlignment="1">
      <alignment vertical="center"/>
    </xf>
    <xf numFmtId="0" fontId="35" fillId="15" borderId="61" xfId="0" applyFont="1" applyFill="1" applyBorder="1" applyAlignment="1">
      <alignment vertical="center"/>
    </xf>
    <xf numFmtId="0" fontId="35" fillId="15" borderId="64" xfId="0" applyFont="1" applyFill="1" applyBorder="1" applyAlignment="1">
      <alignment vertical="center"/>
    </xf>
    <xf numFmtId="0" fontId="35" fillId="15" borderId="62" xfId="0" applyFont="1" applyFill="1" applyBorder="1" applyAlignment="1">
      <alignment vertical="center"/>
    </xf>
    <xf numFmtId="0" fontId="35" fillId="15" borderId="79" xfId="0" applyFont="1" applyFill="1" applyBorder="1" applyAlignment="1">
      <alignment vertical="center"/>
    </xf>
    <xf numFmtId="0" fontId="35" fillId="15" borderId="43" xfId="0" applyFont="1" applyFill="1" applyBorder="1" applyAlignment="1">
      <alignment vertical="center"/>
    </xf>
    <xf numFmtId="0" fontId="6" fillId="15" borderId="43" xfId="0" applyFont="1" applyFill="1" applyBorder="1" applyAlignment="1">
      <alignment vertical="center"/>
    </xf>
    <xf numFmtId="0" fontId="4" fillId="15" borderId="43" xfId="0" applyFont="1" applyFill="1" applyBorder="1" applyAlignment="1">
      <alignment vertical="center"/>
    </xf>
    <xf numFmtId="0" fontId="26" fillId="15" borderId="43" xfId="0" applyFont="1" applyFill="1" applyBorder="1" applyAlignment="1"/>
    <xf numFmtId="0" fontId="35" fillId="15" borderId="91" xfId="0" applyFont="1" applyFill="1" applyBorder="1" applyAlignment="1">
      <alignment vertical="center"/>
    </xf>
    <xf numFmtId="0" fontId="26" fillId="15" borderId="14" xfId="0" applyFont="1" applyFill="1" applyBorder="1" applyAlignment="1"/>
    <xf numFmtId="0" fontId="7" fillId="15" borderId="14" xfId="0" applyFont="1" applyFill="1" applyBorder="1" applyAlignment="1"/>
    <xf numFmtId="0" fontId="6" fillId="15" borderId="60" xfId="0" applyFont="1" applyFill="1" applyBorder="1" applyAlignment="1">
      <alignment vertical="center"/>
    </xf>
    <xf numFmtId="0" fontId="26" fillId="15" borderId="64" xfId="0" applyFont="1" applyFill="1" applyBorder="1" applyAlignment="1"/>
    <xf numFmtId="0" fontId="4" fillId="15" borderId="64" xfId="0" applyFont="1" applyFill="1" applyBorder="1" applyAlignment="1">
      <alignment vertical="center"/>
    </xf>
    <xf numFmtId="0" fontId="4" fillId="15" borderId="62" xfId="0" applyFont="1" applyFill="1" applyBorder="1" applyAlignment="1">
      <alignment vertical="center"/>
    </xf>
    <xf numFmtId="0" fontId="4" fillId="15" borderId="79" xfId="0" applyFont="1" applyFill="1" applyBorder="1" applyAlignment="1">
      <alignment vertical="center"/>
    </xf>
    <xf numFmtId="0" fontId="6" fillId="15" borderId="72" xfId="0" applyFont="1" applyFill="1" applyBorder="1" applyAlignment="1">
      <alignment vertical="center"/>
    </xf>
    <xf numFmtId="0" fontId="24" fillId="15" borderId="78" xfId="0" applyFont="1" applyFill="1" applyBorder="1" applyAlignment="1">
      <alignment vertical="center"/>
    </xf>
    <xf numFmtId="0" fontId="46" fillId="15" borderId="62" xfId="0" applyFont="1" applyFill="1" applyBorder="1" applyAlignment="1">
      <alignment vertical="center"/>
    </xf>
    <xf numFmtId="0" fontId="6" fillId="15" borderId="78" xfId="0" applyFont="1" applyFill="1" applyBorder="1" applyAlignment="1">
      <alignment vertical="center"/>
    </xf>
    <xf numFmtId="0" fontId="14" fillId="15" borderId="60" xfId="0" applyFont="1" applyFill="1" applyBorder="1" applyAlignment="1">
      <alignment vertical="center"/>
    </xf>
    <xf numFmtId="0" fontId="18" fillId="15" borderId="61" xfId="0" applyFont="1" applyFill="1" applyBorder="1" applyAlignment="1">
      <alignment vertical="center"/>
    </xf>
    <xf numFmtId="0" fontId="76" fillId="15" borderId="62" xfId="0" applyFont="1" applyFill="1" applyBorder="1" applyAlignment="1">
      <alignment vertical="center"/>
    </xf>
    <xf numFmtId="0" fontId="8" fillId="15" borderId="62" xfId="0" applyFont="1" applyFill="1" applyBorder="1" applyAlignment="1">
      <alignment vertical="center"/>
    </xf>
    <xf numFmtId="0" fontId="66" fillId="15" borderId="62" xfId="0" applyFont="1" applyFill="1" applyBorder="1" applyAlignment="1">
      <alignment vertical="center"/>
    </xf>
    <xf numFmtId="0" fontId="31" fillId="15" borderId="64" xfId="0" applyFont="1" applyFill="1" applyBorder="1" applyAlignment="1">
      <alignment vertical="center"/>
    </xf>
    <xf numFmtId="0" fontId="75" fillId="15" borderId="64" xfId="0" applyFont="1" applyFill="1" applyBorder="1" applyAlignment="1">
      <alignment vertical="center"/>
    </xf>
    <xf numFmtId="0" fontId="61" fillId="15" borderId="43" xfId="0" applyFont="1" applyFill="1" applyBorder="1" applyAlignment="1">
      <alignment vertical="center"/>
    </xf>
    <xf numFmtId="0" fontId="7" fillId="0" borderId="117" xfId="0" applyFont="1" applyBorder="1"/>
    <xf numFmtId="0" fontId="0" fillId="15" borderId="62" xfId="0" applyFill="1" applyBorder="1" applyAlignment="1"/>
    <xf numFmtId="0" fontId="75" fillId="15" borderId="73" xfId="0" applyFont="1" applyFill="1" applyBorder="1" applyAlignment="1">
      <alignment vertical="center"/>
    </xf>
    <xf numFmtId="0" fontId="75" fillId="15" borderId="43" xfId="0" applyFont="1" applyFill="1" applyBorder="1" applyAlignment="1">
      <alignment vertical="center"/>
    </xf>
    <xf numFmtId="0" fontId="0" fillId="15" borderId="72" xfId="0" applyFill="1" applyBorder="1" applyAlignment="1"/>
    <xf numFmtId="0" fontId="35" fillId="15" borderId="73" xfId="0" applyFont="1" applyFill="1" applyBorder="1" applyAlignment="1">
      <alignment vertical="center"/>
    </xf>
    <xf numFmtId="0" fontId="9" fillId="0" borderId="164" xfId="0" applyFont="1" applyBorder="1" applyAlignment="1">
      <alignment vertical="center"/>
    </xf>
    <xf numFmtId="0" fontId="9" fillId="0" borderId="127" xfId="0" applyFont="1" applyBorder="1" applyAlignment="1">
      <alignment vertical="center"/>
    </xf>
    <xf numFmtId="0" fontId="4" fillId="15" borderId="78" xfId="0" applyFont="1" applyFill="1" applyBorder="1" applyAlignment="1">
      <alignment vertical="center"/>
    </xf>
    <xf numFmtId="0" fontId="74" fillId="15" borderId="64" xfId="0" applyFont="1" applyFill="1" applyBorder="1" applyAlignment="1">
      <alignment vertical="center"/>
    </xf>
    <xf numFmtId="0" fontId="18" fillId="15" borderId="60" xfId="0" applyFont="1" applyFill="1" applyBorder="1" applyAlignment="1">
      <alignment vertical="center"/>
    </xf>
    <xf numFmtId="0" fontId="6" fillId="0" borderId="78" xfId="0" applyFont="1" applyFill="1" applyBorder="1" applyAlignment="1">
      <alignment vertical="center"/>
    </xf>
    <xf numFmtId="0" fontId="6" fillId="0" borderId="60" xfId="0" applyFont="1" applyFill="1" applyBorder="1" applyAlignment="1">
      <alignment vertical="center"/>
    </xf>
    <xf numFmtId="0" fontId="6" fillId="0" borderId="74" xfId="0" applyFont="1" applyFill="1" applyBorder="1" applyAlignment="1">
      <alignment vertical="center"/>
    </xf>
    <xf numFmtId="0" fontId="6" fillId="0" borderId="130" xfId="0" applyFont="1" applyFill="1" applyBorder="1" applyAlignment="1">
      <alignment vertical="center"/>
    </xf>
    <xf numFmtId="0" fontId="6" fillId="0" borderId="106" xfId="0" applyFont="1" applyFill="1" applyBorder="1" applyAlignment="1">
      <alignment vertical="center"/>
    </xf>
    <xf numFmtId="0" fontId="6" fillId="0" borderId="159" xfId="0" applyFont="1" applyFill="1" applyBorder="1" applyAlignment="1">
      <alignment vertical="center"/>
    </xf>
    <xf numFmtId="0" fontId="6" fillId="0" borderId="79" xfId="0" applyFont="1" applyFill="1" applyBorder="1" applyAlignment="1">
      <alignment vertical="center"/>
    </xf>
    <xf numFmtId="0" fontId="6" fillId="0" borderId="91" xfId="0" applyFont="1" applyFill="1" applyBorder="1" applyAlignment="1">
      <alignment vertical="center"/>
    </xf>
    <xf numFmtId="0" fontId="6" fillId="0" borderId="73" xfId="0" applyFont="1" applyFill="1" applyBorder="1" applyAlignment="1">
      <alignment vertical="center"/>
    </xf>
    <xf numFmtId="0" fontId="6" fillId="0" borderId="56" xfId="0" applyFont="1" applyFill="1" applyBorder="1" applyAlignment="1">
      <alignment vertical="center"/>
    </xf>
    <xf numFmtId="0" fontId="6" fillId="0" borderId="89" xfId="0" applyFont="1" applyFill="1" applyBorder="1" applyAlignment="1">
      <alignment vertical="center"/>
    </xf>
    <xf numFmtId="0" fontId="6" fillId="0" borderId="85" xfId="0" applyFont="1" applyFill="1" applyBorder="1" applyAlignment="1">
      <alignment vertical="center"/>
    </xf>
    <xf numFmtId="0" fontId="6" fillId="0" borderId="60" xfId="0" applyFont="1" applyBorder="1" applyAlignment="1">
      <alignment vertical="center"/>
    </xf>
    <xf numFmtId="0" fontId="6" fillId="0" borderId="91" xfId="0" applyFont="1" applyBorder="1" applyAlignment="1">
      <alignment vertical="center"/>
    </xf>
    <xf numFmtId="0" fontId="6" fillId="0" borderId="80" xfId="0" applyFont="1" applyFill="1" applyBorder="1" applyAlignment="1">
      <alignment vertical="center"/>
    </xf>
    <xf numFmtId="0" fontId="6" fillId="15" borderId="96" xfId="0" applyFont="1" applyFill="1" applyBorder="1" applyAlignment="1">
      <alignment vertical="center"/>
    </xf>
    <xf numFmtId="0" fontId="6" fillId="0" borderId="84" xfId="0" applyFont="1" applyFill="1" applyBorder="1" applyAlignment="1">
      <alignment vertical="center"/>
    </xf>
    <xf numFmtId="0" fontId="6" fillId="0" borderId="129" xfId="0" applyFont="1" applyFill="1" applyBorder="1" applyAlignment="1">
      <alignment vertical="center"/>
    </xf>
    <xf numFmtId="0" fontId="35" fillId="0" borderId="78" xfId="0" applyFont="1" applyFill="1" applyBorder="1" applyAlignment="1">
      <alignment vertical="center"/>
    </xf>
    <xf numFmtId="0" fontId="35" fillId="0" borderId="85" xfId="0" applyFont="1" applyFill="1" applyBorder="1" applyAlignment="1">
      <alignment vertical="center"/>
    </xf>
    <xf numFmtId="0" fontId="35" fillId="0" borderId="60" xfId="0" applyFont="1" applyFill="1" applyBorder="1" applyAlignment="1">
      <alignment vertical="center"/>
    </xf>
    <xf numFmtId="0" fontId="61" fillId="15" borderId="84" xfId="0" applyFont="1" applyFill="1" applyBorder="1" applyAlignment="1">
      <alignment vertical="center"/>
    </xf>
    <xf numFmtId="0" fontId="61" fillId="15" borderId="60" xfId="0" applyFont="1" applyFill="1" applyBorder="1" applyAlignment="1">
      <alignment vertical="center"/>
    </xf>
    <xf numFmtId="0" fontId="35" fillId="0" borderId="84" xfId="0" applyFont="1" applyFill="1" applyBorder="1" applyAlignment="1">
      <alignment vertical="center"/>
    </xf>
    <xf numFmtId="0" fontId="35" fillId="0" borderId="61" xfId="0" applyFont="1" applyFill="1" applyBorder="1" applyAlignment="1">
      <alignment vertical="center"/>
    </xf>
    <xf numFmtId="0" fontId="35" fillId="0" borderId="62" xfId="0" applyFont="1" applyFill="1" applyBorder="1" applyAlignment="1">
      <alignment vertical="center"/>
    </xf>
    <xf numFmtId="0" fontId="35" fillId="0" borderId="79" xfId="0" applyFont="1" applyFill="1" applyBorder="1" applyAlignment="1">
      <alignment vertical="center"/>
    </xf>
    <xf numFmtId="0" fontId="35" fillId="0" borderId="73" xfId="0" applyFont="1" applyFill="1" applyBorder="1" applyAlignment="1">
      <alignment vertical="center"/>
    </xf>
    <xf numFmtId="0" fontId="35" fillId="0" borderId="43" xfId="0" applyFont="1" applyFill="1" applyBorder="1" applyAlignment="1">
      <alignment vertical="center"/>
    </xf>
    <xf numFmtId="0" fontId="35" fillId="0" borderId="96" xfId="0" applyFont="1" applyFill="1" applyBorder="1" applyAlignment="1">
      <alignment vertical="center"/>
    </xf>
    <xf numFmtId="0" fontId="35" fillId="0" borderId="56" xfId="0" applyFont="1" applyFill="1" applyBorder="1" applyAlignment="1">
      <alignment vertical="center"/>
    </xf>
    <xf numFmtId="0" fontId="35" fillId="0" borderId="44" xfId="0" applyFont="1" applyFill="1" applyBorder="1" applyAlignment="1">
      <alignment vertical="center"/>
    </xf>
    <xf numFmtId="0" fontId="7" fillId="0" borderId="98" xfId="0" applyFont="1" applyBorder="1"/>
    <xf numFmtId="0" fontId="7" fillId="0" borderId="65" xfId="0" applyFont="1" applyBorder="1"/>
    <xf numFmtId="0" fontId="7" fillId="0" borderId="68" xfId="0" applyFont="1" applyBorder="1"/>
    <xf numFmtId="0" fontId="35" fillId="0" borderId="91" xfId="0" applyFont="1" applyFill="1" applyBorder="1" applyAlignment="1">
      <alignment vertical="center"/>
    </xf>
    <xf numFmtId="0" fontId="61" fillId="15" borderId="118" xfId="0" applyFont="1" applyFill="1" applyBorder="1" applyAlignment="1">
      <alignment vertical="center"/>
    </xf>
    <xf numFmtId="0" fontId="61" fillId="15" borderId="14" xfId="0" applyFont="1" applyFill="1" applyBorder="1" applyAlignment="1">
      <alignment vertical="center"/>
    </xf>
    <xf numFmtId="0" fontId="35" fillId="0" borderId="72" xfId="0" applyFont="1" applyFill="1" applyBorder="1" applyAlignment="1">
      <alignment vertical="center"/>
    </xf>
    <xf numFmtId="0" fontId="35" fillId="15" borderId="96" xfId="0" applyFont="1" applyFill="1" applyBorder="1" applyAlignment="1">
      <alignment vertical="center"/>
    </xf>
    <xf numFmtId="0" fontId="7" fillId="0" borderId="171" xfId="0" applyFont="1" applyBorder="1"/>
    <xf numFmtId="0" fontId="4" fillId="0" borderId="14" xfId="0" applyFont="1" applyFill="1" applyBorder="1" applyAlignment="1">
      <alignment vertical="center"/>
    </xf>
    <xf numFmtId="0" fontId="35" fillId="0" borderId="112" xfId="0" applyFont="1" applyFill="1" applyBorder="1" applyAlignment="1">
      <alignment vertical="center"/>
    </xf>
    <xf numFmtId="0" fontId="35" fillId="0" borderId="67" xfId="0" applyFont="1" applyFill="1" applyBorder="1" applyAlignment="1">
      <alignment vertical="center"/>
    </xf>
    <xf numFmtId="0" fontId="35" fillId="0" borderId="74" xfId="0" applyFont="1" applyFill="1" applyBorder="1" applyAlignment="1">
      <alignment vertical="center"/>
    </xf>
    <xf numFmtId="0" fontId="35" fillId="0" borderId="89" xfId="0" applyFont="1" applyFill="1" applyBorder="1" applyAlignment="1">
      <alignment vertical="center"/>
    </xf>
    <xf numFmtId="0" fontId="35" fillId="0" borderId="155" xfId="0" applyFont="1" applyFill="1" applyBorder="1" applyAlignment="1">
      <alignment vertical="center"/>
    </xf>
    <xf numFmtId="0" fontId="9" fillId="0" borderId="58" xfId="0" applyFont="1" applyBorder="1" applyAlignment="1">
      <alignment horizontal="left" vertical="center"/>
    </xf>
    <xf numFmtId="0" fontId="9" fillId="0" borderId="42" xfId="0" applyFont="1" applyBorder="1" applyAlignment="1">
      <alignment horizontal="left" vertical="center"/>
    </xf>
    <xf numFmtId="0" fontId="35" fillId="0" borderId="80" xfId="0" applyFont="1" applyFill="1" applyBorder="1" applyAlignment="1">
      <alignment vertical="center"/>
    </xf>
    <xf numFmtId="0" fontId="7" fillId="0" borderId="28" xfId="0" applyFont="1" applyBorder="1"/>
    <xf numFmtId="0" fontId="4" fillId="15" borderId="43" xfId="0" applyFont="1" applyFill="1" applyBorder="1" applyAlignment="1">
      <alignment horizontal="center" vertical="center"/>
    </xf>
    <xf numFmtId="0" fontId="26" fillId="30" borderId="95" xfId="0" applyFont="1" applyFill="1" applyBorder="1" applyAlignment="1">
      <alignment horizontal="center"/>
    </xf>
    <xf numFmtId="0" fontId="7" fillId="0" borderId="42" xfId="0" applyFont="1" applyBorder="1"/>
    <xf numFmtId="0" fontId="9" fillId="0" borderId="98" xfId="0" applyFont="1" applyBorder="1" applyAlignment="1">
      <alignment vertical="center"/>
    </xf>
    <xf numFmtId="0" fontId="9" fillId="0" borderId="42" xfId="0" applyFont="1" applyBorder="1" applyAlignment="1">
      <alignment vertical="center"/>
    </xf>
    <xf numFmtId="0" fontId="0" fillId="0" borderId="62" xfId="0" applyFill="1" applyBorder="1" applyAlignment="1"/>
    <xf numFmtId="0" fontId="26" fillId="30" borderId="30" xfId="0" applyFont="1" applyFill="1" applyBorder="1"/>
    <xf numFmtId="0" fontId="35" fillId="0" borderId="62" xfId="0" applyFont="1" applyBorder="1" applyAlignment="1">
      <alignment vertical="center"/>
    </xf>
    <xf numFmtId="0" fontId="4" fillId="0" borderId="43" xfId="0" applyFont="1" applyFill="1" applyBorder="1" applyAlignment="1">
      <alignment vertical="center"/>
    </xf>
    <xf numFmtId="0" fontId="35" fillId="0" borderId="72" xfId="0" applyFont="1" applyBorder="1" applyAlignment="1">
      <alignment vertical="center"/>
    </xf>
    <xf numFmtId="0" fontId="6" fillId="11" borderId="80" xfId="0" applyFont="1" applyFill="1" applyBorder="1" applyAlignment="1">
      <alignment vertical="center"/>
    </xf>
    <xf numFmtId="0" fontId="35" fillId="11" borderId="62" xfId="0" applyFont="1" applyFill="1" applyBorder="1" applyAlignment="1">
      <alignment vertical="center"/>
    </xf>
    <xf numFmtId="0" fontId="39" fillId="0" borderId="64" xfId="0" applyFont="1" applyFill="1" applyBorder="1" applyAlignment="1">
      <alignment vertical="center"/>
    </xf>
    <xf numFmtId="0" fontId="39" fillId="0" borderId="62" xfId="0" applyFont="1" applyFill="1" applyBorder="1" applyAlignment="1">
      <alignment vertical="center"/>
    </xf>
    <xf numFmtId="0" fontId="39" fillId="0" borderId="80" xfId="0" applyFont="1" applyFill="1" applyBorder="1" applyAlignment="1">
      <alignment vertical="center"/>
    </xf>
    <xf numFmtId="0" fontId="39" fillId="0" borderId="91" xfId="0" applyFont="1" applyFill="1" applyBorder="1" applyAlignment="1">
      <alignment vertical="center"/>
    </xf>
    <xf numFmtId="0" fontId="39" fillId="0" borderId="67" xfId="0" applyFont="1" applyFill="1" applyBorder="1" applyAlignment="1">
      <alignment vertical="center"/>
    </xf>
    <xf numFmtId="0" fontId="39" fillId="0" borderId="79" xfId="0" applyFont="1" applyFill="1" applyBorder="1" applyAlignment="1">
      <alignment vertical="center"/>
    </xf>
    <xf numFmtId="0" fontId="39" fillId="0" borderId="44" xfId="0" applyFont="1" applyFill="1" applyBorder="1" applyAlignment="1">
      <alignment vertical="center"/>
    </xf>
    <xf numFmtId="0" fontId="39" fillId="0" borderId="72" xfId="0" applyFont="1" applyFill="1" applyBorder="1" applyAlignment="1">
      <alignment vertical="center"/>
    </xf>
    <xf numFmtId="0" fontId="39" fillId="0" borderId="96" xfId="0" applyFont="1" applyFill="1" applyBorder="1" applyAlignment="1">
      <alignment vertical="center"/>
    </xf>
    <xf numFmtId="0" fontId="7" fillId="15" borderId="62" xfId="0" applyFont="1" applyFill="1" applyBorder="1" applyAlignment="1">
      <alignment vertical="center"/>
    </xf>
    <xf numFmtId="0" fontId="8" fillId="15" borderId="31" xfId="0" applyFont="1" applyFill="1" applyBorder="1" applyAlignment="1">
      <alignment vertical="center"/>
    </xf>
    <xf numFmtId="0" fontId="7" fillId="0" borderId="79" xfId="0" applyFont="1" applyFill="1" applyBorder="1" applyAlignment="1">
      <alignment vertical="center"/>
    </xf>
    <xf numFmtId="0" fontId="7" fillId="0" borderId="43" xfId="0" applyFont="1" applyFill="1" applyBorder="1" applyAlignment="1">
      <alignment vertical="center"/>
    </xf>
    <xf numFmtId="0" fontId="39" fillId="0" borderId="73" xfId="0" applyFont="1" applyFill="1" applyBorder="1" applyAlignment="1">
      <alignment vertical="center"/>
    </xf>
    <xf numFmtId="0" fontId="13" fillId="0" borderId="139" xfId="0" applyFont="1" applyBorder="1" applyAlignment="1">
      <alignment vertical="center"/>
    </xf>
    <xf numFmtId="0" fontId="39" fillId="39" borderId="66" xfId="0" applyFont="1" applyFill="1" applyBorder="1" applyAlignment="1">
      <alignment vertical="center"/>
    </xf>
    <xf numFmtId="0" fontId="39" fillId="0" borderId="64" xfId="0" applyFont="1" applyBorder="1" applyAlignment="1">
      <alignment vertical="center"/>
    </xf>
    <xf numFmtId="0" fontId="13" fillId="2" borderId="91" xfId="0" applyFont="1" applyFill="1" applyBorder="1" applyAlignment="1">
      <alignment horizontal="center" vertical="center"/>
    </xf>
    <xf numFmtId="0" fontId="13" fillId="2" borderId="14" xfId="0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horizontal="center" vertical="center"/>
    </xf>
    <xf numFmtId="0" fontId="13" fillId="2" borderId="102" xfId="0" applyFont="1" applyFill="1" applyBorder="1" applyAlignment="1">
      <alignment horizontal="center" vertical="center"/>
    </xf>
    <xf numFmtId="0" fontId="30" fillId="5" borderId="5" xfId="0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vertical="center"/>
    </xf>
    <xf numFmtId="0" fontId="4" fillId="11" borderId="5" xfId="0" applyFont="1" applyFill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5" fillId="0" borderId="5" xfId="0" applyFont="1" applyBorder="1" applyAlignment="1">
      <alignment vertical="center" wrapText="1"/>
    </xf>
    <xf numFmtId="0" fontId="46" fillId="16" borderId="5" xfId="0" applyFont="1" applyFill="1" applyBorder="1" applyAlignment="1">
      <alignment horizontal="center" wrapText="1"/>
    </xf>
    <xf numFmtId="0" fontId="16" fillId="15" borderId="5" xfId="1" applyFont="1" applyFill="1" applyBorder="1" applyAlignment="1">
      <alignment horizontal="center" vertical="center" wrapText="1"/>
    </xf>
    <xf numFmtId="0" fontId="18" fillId="0" borderId="5" xfId="0" applyFont="1" applyBorder="1" applyAlignment="1">
      <alignment vertical="center"/>
    </xf>
    <xf numFmtId="0" fontId="0" fillId="0" borderId="5" xfId="0" applyBorder="1" applyAlignment="1"/>
    <xf numFmtId="0" fontId="14" fillId="0" borderId="5" xfId="1" applyFont="1" applyBorder="1" applyAlignment="1">
      <alignment vertical="center"/>
    </xf>
    <xf numFmtId="0" fontId="3" fillId="0" borderId="5" xfId="1" applyFont="1" applyBorder="1" applyAlignment="1">
      <alignment vertical="center"/>
    </xf>
    <xf numFmtId="0" fontId="5" fillId="47" borderId="5" xfId="1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4" fillId="22" borderId="5" xfId="0" applyFont="1" applyFill="1" applyBorder="1" applyAlignment="1">
      <alignment vertical="center"/>
    </xf>
    <xf numFmtId="0" fontId="26" fillId="0" borderId="39" xfId="0" applyFont="1" applyBorder="1"/>
    <xf numFmtId="0" fontId="26" fillId="0" borderId="60" xfId="1" applyFont="1" applyFill="1" applyBorder="1" applyAlignment="1">
      <alignment vertical="center" wrapText="1"/>
    </xf>
    <xf numFmtId="0" fontId="62" fillId="24" borderId="64" xfId="0" applyFont="1" applyFill="1" applyBorder="1" applyAlignment="1">
      <alignment horizontal="center" vertical="center" wrapText="1"/>
    </xf>
    <xf numFmtId="0" fontId="59" fillId="17" borderId="153" xfId="0" applyFont="1" applyFill="1" applyBorder="1" applyAlignment="1">
      <alignment vertical="center"/>
    </xf>
    <xf numFmtId="0" fontId="26" fillId="0" borderId="112" xfId="0" applyFont="1" applyBorder="1"/>
    <xf numFmtId="0" fontId="26" fillId="0" borderId="65" xfId="0" applyFont="1" applyBorder="1"/>
    <xf numFmtId="0" fontId="26" fillId="0" borderId="68" xfId="0" applyFont="1" applyBorder="1"/>
    <xf numFmtId="0" fontId="26" fillId="0" borderId="15" xfId="1" applyFont="1" applyFill="1" applyBorder="1" applyAlignment="1">
      <alignment vertical="center" wrapText="1"/>
    </xf>
    <xf numFmtId="0" fontId="26" fillId="0" borderId="177" xfId="0" applyFont="1" applyBorder="1"/>
    <xf numFmtId="0" fontId="26" fillId="0" borderId="174" xfId="0" applyFont="1" applyBorder="1"/>
    <xf numFmtId="0" fontId="26" fillId="0" borderId="39" xfId="0" applyFont="1" applyBorder="1" applyAlignment="1">
      <alignment wrapText="1"/>
    </xf>
    <xf numFmtId="0" fontId="24" fillId="0" borderId="174" xfId="0" applyFont="1" applyBorder="1"/>
    <xf numFmtId="0" fontId="24" fillId="0" borderId="39" xfId="0" applyFont="1" applyBorder="1"/>
    <xf numFmtId="0" fontId="24" fillId="0" borderId="40" xfId="0" applyFont="1" applyBorder="1"/>
    <xf numFmtId="0" fontId="24" fillId="0" borderId="64" xfId="0" applyFont="1" applyFill="1" applyBorder="1" applyAlignment="1"/>
    <xf numFmtId="0" fontId="26" fillId="0" borderId="172" xfId="0" applyFont="1" applyBorder="1"/>
    <xf numFmtId="0" fontId="26" fillId="0" borderId="43" xfId="1" applyFont="1" applyFill="1" applyBorder="1" applyAlignment="1">
      <alignment vertical="center" wrapText="1"/>
    </xf>
    <xf numFmtId="0" fontId="26" fillId="0" borderId="100" xfId="0" applyFont="1" applyBorder="1"/>
    <xf numFmtId="0" fontId="26" fillId="0" borderId="69" xfId="0" applyFont="1" applyBorder="1"/>
    <xf numFmtId="0" fontId="24" fillId="0" borderId="45" xfId="0" applyFont="1" applyBorder="1"/>
    <xf numFmtId="0" fontId="24" fillId="0" borderId="46" xfId="0" applyFont="1" applyBorder="1"/>
    <xf numFmtId="0" fontId="24" fillId="16" borderId="71" xfId="0" applyFont="1" applyFill="1" applyBorder="1" applyAlignment="1">
      <alignment vertical="center"/>
    </xf>
    <xf numFmtId="0" fontId="24" fillId="24" borderId="14" xfId="0" applyFont="1" applyFill="1" applyBorder="1" applyAlignment="1">
      <alignment horizontal="center" vertical="center" wrapText="1"/>
    </xf>
    <xf numFmtId="0" fontId="3" fillId="40" borderId="14" xfId="0" applyFont="1" applyFill="1" applyBorder="1" applyAlignment="1">
      <alignment horizontal="center" vertical="center"/>
    </xf>
    <xf numFmtId="0" fontId="52" fillId="15" borderId="31" xfId="0" applyFont="1" applyFill="1" applyBorder="1" applyAlignment="1">
      <alignment horizontal="center" vertical="center" wrapText="1"/>
    </xf>
    <xf numFmtId="0" fontId="25" fillId="0" borderId="110" xfId="1" applyFont="1" applyFill="1" applyBorder="1" applyAlignment="1">
      <alignment vertical="center" wrapText="1"/>
    </xf>
    <xf numFmtId="0" fontId="52" fillId="15" borderId="14" xfId="0" applyFont="1" applyFill="1" applyBorder="1" applyAlignment="1">
      <alignment horizontal="center" vertical="center" wrapText="1"/>
    </xf>
    <xf numFmtId="0" fontId="26" fillId="0" borderId="47" xfId="0" applyFont="1" applyBorder="1"/>
    <xf numFmtId="0" fontId="24" fillId="0" borderId="172" xfId="0" applyFont="1" applyBorder="1"/>
    <xf numFmtId="0" fontId="24" fillId="0" borderId="95" xfId="0" applyFont="1" applyBorder="1"/>
    <xf numFmtId="0" fontId="26" fillId="0" borderId="81" xfId="0" applyFont="1" applyBorder="1"/>
    <xf numFmtId="0" fontId="9" fillId="0" borderId="95" xfId="0" applyFont="1" applyBorder="1" applyAlignment="1">
      <alignment vertical="center"/>
    </xf>
    <xf numFmtId="0" fontId="9" fillId="0" borderId="100" xfId="0" applyFont="1" applyBorder="1" applyAlignment="1">
      <alignment vertical="center"/>
    </xf>
    <xf numFmtId="0" fontId="26" fillId="0" borderId="158" xfId="0" applyFont="1" applyBorder="1"/>
    <xf numFmtId="0" fontId="9" fillId="0" borderId="47" xfId="0" applyFont="1" applyBorder="1" applyAlignment="1">
      <alignment vertical="center"/>
    </xf>
    <xf numFmtId="0" fontId="9" fillId="0" borderId="147" xfId="0" applyFont="1" applyBorder="1" applyAlignment="1">
      <alignment horizontal="left" vertical="center"/>
    </xf>
    <xf numFmtId="0" fontId="9" fillId="0" borderId="120" xfId="0" applyFont="1" applyBorder="1" applyAlignment="1">
      <alignment horizontal="left" vertical="center"/>
    </xf>
    <xf numFmtId="0" fontId="9" fillId="0" borderId="172" xfId="0" applyFont="1" applyBorder="1" applyAlignment="1">
      <alignment vertical="center"/>
    </xf>
    <xf numFmtId="0" fontId="9" fillId="0" borderId="95" xfId="0" applyFont="1" applyBorder="1" applyAlignment="1">
      <alignment horizontal="center" vertical="center"/>
    </xf>
    <xf numFmtId="0" fontId="25" fillId="0" borderId="95" xfId="0" applyFont="1" applyBorder="1" applyAlignment="1">
      <alignment horizontal="center" vertical="center"/>
    </xf>
    <xf numFmtId="0" fontId="9" fillId="0" borderId="83" xfId="0" applyFont="1" applyBorder="1" applyAlignment="1">
      <alignment vertical="center"/>
    </xf>
    <xf numFmtId="0" fontId="9" fillId="0" borderId="57" xfId="0" applyFont="1" applyBorder="1" applyAlignment="1">
      <alignment vertical="center"/>
    </xf>
    <xf numFmtId="0" fontId="24" fillId="0" borderId="14" xfId="0" applyFont="1" applyBorder="1"/>
    <xf numFmtId="0" fontId="24" fillId="5" borderId="14" xfId="0" applyFont="1" applyFill="1" applyBorder="1" applyAlignment="1">
      <alignment horizontal="center" vertical="center"/>
    </xf>
    <xf numFmtId="0" fontId="9" fillId="0" borderId="87" xfId="0" applyFont="1" applyBorder="1" applyAlignment="1">
      <alignment vertical="center"/>
    </xf>
    <xf numFmtId="0" fontId="9" fillId="0" borderId="30" xfId="0" applyFont="1" applyBorder="1" applyAlignment="1">
      <alignment vertical="center"/>
    </xf>
    <xf numFmtId="0" fontId="9" fillId="0" borderId="158" xfId="0" applyFont="1" applyBorder="1" applyAlignment="1">
      <alignment vertical="center"/>
    </xf>
    <xf numFmtId="0" fontId="26" fillId="30" borderId="8" xfId="0" applyFont="1" applyFill="1" applyBorder="1"/>
    <xf numFmtId="0" fontId="23" fillId="0" borderId="60" xfId="0" applyFont="1" applyFill="1" applyBorder="1" applyAlignment="1">
      <alignment vertical="center"/>
    </xf>
    <xf numFmtId="0" fontId="31" fillId="43" borderId="43" xfId="0" applyFont="1" applyFill="1" applyBorder="1" applyAlignment="1">
      <alignment horizontal="center" vertical="center"/>
    </xf>
    <xf numFmtId="0" fontId="26" fillId="31" borderId="81" xfId="0" applyFont="1" applyFill="1" applyBorder="1"/>
    <xf numFmtId="0" fontId="26" fillId="31" borderId="95" xfId="0" applyFont="1" applyFill="1" applyBorder="1"/>
    <xf numFmtId="0" fontId="31" fillId="31" borderId="95" xfId="0" applyFont="1" applyFill="1" applyBorder="1"/>
    <xf numFmtId="0" fontId="23" fillId="0" borderId="5" xfId="0" applyFont="1" applyBorder="1" applyAlignment="1">
      <alignment vertical="center"/>
    </xf>
    <xf numFmtId="0" fontId="31" fillId="43" borderId="5" xfId="0" applyFont="1" applyFill="1" applyBorder="1" applyAlignment="1">
      <alignment horizontal="center" vertical="center"/>
    </xf>
    <xf numFmtId="0" fontId="30" fillId="0" borderId="5" xfId="0" applyFont="1" applyBorder="1" applyAlignment="1">
      <alignment vertical="center"/>
    </xf>
    <xf numFmtId="0" fontId="30" fillId="37" borderId="5" xfId="0" applyFont="1" applyFill="1" applyBorder="1" applyAlignment="1">
      <alignment horizontal="center" vertical="center"/>
    </xf>
    <xf numFmtId="0" fontId="31" fillId="13" borderId="5" xfId="0" applyFont="1" applyFill="1" applyBorder="1" applyAlignment="1"/>
    <xf numFmtId="0" fontId="31" fillId="0" borderId="5" xfId="0" applyFont="1" applyFill="1" applyBorder="1" applyAlignment="1"/>
    <xf numFmtId="0" fontId="24" fillId="0" borderId="5" xfId="0" applyFont="1" applyFill="1" applyBorder="1" applyAlignment="1">
      <alignment vertical="center" wrapText="1"/>
    </xf>
    <xf numFmtId="0" fontId="24" fillId="15" borderId="5" xfId="0" applyFont="1" applyFill="1" applyBorder="1" applyAlignment="1">
      <alignment wrapText="1"/>
    </xf>
    <xf numFmtId="0" fontId="30" fillId="16" borderId="5" xfId="0" applyFont="1" applyFill="1" applyBorder="1" applyAlignment="1">
      <alignment vertical="center"/>
    </xf>
    <xf numFmtId="0" fontId="26" fillId="23" borderId="5" xfId="0" applyFont="1" applyFill="1" applyBorder="1" applyAlignment="1">
      <alignment vertical="center"/>
    </xf>
    <xf numFmtId="0" fontId="32" fillId="0" borderId="5" xfId="0" applyFont="1" applyFill="1" applyBorder="1" applyAlignment="1">
      <alignment vertical="center"/>
    </xf>
    <xf numFmtId="0" fontId="31" fillId="43" borderId="31" xfId="0" applyFont="1" applyFill="1" applyBorder="1" applyAlignment="1">
      <alignment horizontal="center" vertical="center"/>
    </xf>
    <xf numFmtId="0" fontId="30" fillId="0" borderId="78" xfId="0" applyFont="1" applyFill="1" applyBorder="1" applyAlignment="1">
      <alignment vertical="center"/>
    </xf>
    <xf numFmtId="0" fontId="30" fillId="0" borderId="60" xfId="0" applyFont="1" applyFill="1" applyBorder="1" applyAlignment="1">
      <alignment vertical="center"/>
    </xf>
    <xf numFmtId="0" fontId="31" fillId="0" borderId="60" xfId="0" applyFont="1" applyFill="1" applyBorder="1" applyAlignment="1">
      <alignment vertical="center"/>
    </xf>
    <xf numFmtId="0" fontId="30" fillId="0" borderId="60" xfId="0" applyFont="1" applyFill="1" applyBorder="1" applyAlignment="1">
      <alignment horizontal="center" vertical="center"/>
    </xf>
    <xf numFmtId="0" fontId="23" fillId="0" borderId="61" xfId="0" applyFont="1" applyFill="1" applyBorder="1" applyAlignment="1">
      <alignment vertical="center"/>
    </xf>
    <xf numFmtId="0" fontId="23" fillId="0" borderId="64" xfId="0" applyFont="1" applyBorder="1" applyAlignment="1">
      <alignment vertical="center"/>
    </xf>
    <xf numFmtId="0" fontId="26" fillId="11" borderId="64" xfId="0" applyFont="1" applyFill="1" applyBorder="1" applyAlignment="1">
      <alignment horizontal="center" vertical="center"/>
    </xf>
    <xf numFmtId="0" fontId="44" fillId="11" borderId="62" xfId="0" applyFont="1" applyFill="1" applyBorder="1" applyAlignment="1">
      <alignment horizontal="center" vertical="center"/>
    </xf>
    <xf numFmtId="0" fontId="39" fillId="0" borderId="62" xfId="0" applyFont="1" applyFill="1" applyBorder="1" applyAlignment="1">
      <alignment horizontal="center" vertical="center"/>
    </xf>
    <xf numFmtId="0" fontId="9" fillId="0" borderId="64" xfId="0" applyFont="1" applyFill="1" applyBorder="1" applyAlignment="1">
      <alignment vertical="center"/>
    </xf>
    <xf numFmtId="0" fontId="31" fillId="0" borderId="62" xfId="0" applyFont="1" applyFill="1" applyBorder="1" applyAlignment="1"/>
    <xf numFmtId="0" fontId="25" fillId="0" borderId="64" xfId="1" applyFont="1" applyFill="1" applyBorder="1" applyAlignment="1">
      <alignment vertical="center" wrapText="1"/>
    </xf>
    <xf numFmtId="0" fontId="23" fillId="0" borderId="62" xfId="0" applyFont="1" applyFill="1" applyBorder="1" applyAlignment="1">
      <alignment vertical="center"/>
    </xf>
    <xf numFmtId="0" fontId="23" fillId="0" borderId="64" xfId="0" applyFont="1" applyFill="1" applyBorder="1" applyAlignment="1">
      <alignment vertical="center"/>
    </xf>
    <xf numFmtId="0" fontId="59" fillId="17" borderId="62" xfId="0" applyFont="1" applyFill="1" applyBorder="1" applyAlignment="1">
      <alignment vertical="center"/>
    </xf>
    <xf numFmtId="0" fontId="53" fillId="24" borderId="64" xfId="0" applyFont="1" applyFill="1" applyBorder="1" applyAlignment="1">
      <alignment horizontal="center" vertical="center" wrapText="1"/>
    </xf>
    <xf numFmtId="0" fontId="30" fillId="15" borderId="64" xfId="0" applyFont="1" applyFill="1" applyBorder="1" applyAlignment="1">
      <alignment vertical="center"/>
    </xf>
    <xf numFmtId="0" fontId="24" fillId="0" borderId="79" xfId="0" applyFont="1" applyFill="1" applyBorder="1" applyAlignment="1">
      <alignment vertical="center"/>
    </xf>
    <xf numFmtId="0" fontId="32" fillId="0" borderId="43" xfId="0" applyFont="1" applyFill="1" applyBorder="1" applyAlignment="1">
      <alignment vertical="center"/>
    </xf>
    <xf numFmtId="0" fontId="26" fillId="0" borderId="44" xfId="1" applyFont="1" applyFill="1" applyBorder="1" applyAlignment="1">
      <alignment vertical="center" wrapText="1"/>
    </xf>
    <xf numFmtId="0" fontId="76" fillId="0" borderId="14" xfId="0" applyFont="1" applyFill="1" applyBorder="1" applyAlignment="1">
      <alignment vertical="center"/>
    </xf>
    <xf numFmtId="0" fontId="76" fillId="0" borderId="5" xfId="0" applyFont="1" applyFill="1" applyBorder="1" applyAlignment="1">
      <alignment vertical="center"/>
    </xf>
    <xf numFmtId="0" fontId="76" fillId="0" borderId="43" xfId="0" applyFont="1" applyFill="1" applyBorder="1" applyAlignment="1">
      <alignment vertical="center"/>
    </xf>
    <xf numFmtId="0" fontId="0" fillId="15" borderId="5" xfId="0" applyFont="1" applyFill="1" applyBorder="1" applyAlignment="1"/>
    <xf numFmtId="0" fontId="26" fillId="15" borderId="32" xfId="0" applyFont="1" applyFill="1" applyBorder="1" applyAlignment="1">
      <alignment vertical="top"/>
    </xf>
    <xf numFmtId="0" fontId="26" fillId="15" borderId="5" xfId="0" applyFont="1" applyFill="1" applyBorder="1" applyAlignment="1">
      <alignment horizontal="center"/>
    </xf>
    <xf numFmtId="0" fontId="26" fillId="15" borderId="5" xfId="0" applyFont="1" applyFill="1" applyBorder="1"/>
    <xf numFmtId="0" fontId="26" fillId="0" borderId="7" xfId="0" applyFont="1" applyBorder="1"/>
    <xf numFmtId="0" fontId="26" fillId="0" borderId="8" xfId="0" applyFont="1" applyBorder="1"/>
    <xf numFmtId="0" fontId="29" fillId="0" borderId="6" xfId="0" applyFont="1" applyBorder="1"/>
    <xf numFmtId="0" fontId="22" fillId="10" borderId="5" xfId="1" applyFont="1" applyFill="1" applyBorder="1" applyAlignment="1">
      <alignment vertical="center"/>
    </xf>
    <xf numFmtId="0" fontId="3" fillId="10" borderId="5" xfId="1" applyFont="1" applyFill="1" applyBorder="1" applyAlignment="1">
      <alignment vertical="center"/>
    </xf>
    <xf numFmtId="0" fontId="6" fillId="11" borderId="35" xfId="0" applyFont="1" applyFill="1" applyBorder="1" applyAlignment="1">
      <alignment horizontal="center" vertical="center"/>
    </xf>
    <xf numFmtId="0" fontId="35" fillId="0" borderId="121" xfId="0" applyFont="1" applyFill="1" applyBorder="1" applyAlignment="1">
      <alignment vertical="center"/>
    </xf>
    <xf numFmtId="0" fontId="35" fillId="0" borderId="98" xfId="0" applyFont="1" applyFill="1" applyBorder="1" applyAlignment="1">
      <alignment vertical="center"/>
    </xf>
    <xf numFmtId="0" fontId="26" fillId="30" borderId="60" xfId="0" applyFont="1" applyFill="1" applyBorder="1" applyAlignment="1">
      <alignment horizontal="center"/>
    </xf>
    <xf numFmtId="0" fontId="35" fillId="0" borderId="60" xfId="0" applyFont="1" applyBorder="1" applyAlignment="1">
      <alignment vertical="center"/>
    </xf>
    <xf numFmtId="0" fontId="35" fillId="0" borderId="31" xfId="0" applyFont="1" applyBorder="1" applyAlignment="1">
      <alignment vertical="center"/>
    </xf>
    <xf numFmtId="0" fontId="4" fillId="0" borderId="60" xfId="0" applyFont="1" applyFill="1" applyBorder="1" applyAlignment="1">
      <alignment vertical="center"/>
    </xf>
    <xf numFmtId="0" fontId="7" fillId="0" borderId="181" xfId="0" applyFont="1" applyBorder="1"/>
    <xf numFmtId="0" fontId="7" fillId="0" borderId="183" xfId="0" applyFont="1" applyBorder="1"/>
    <xf numFmtId="0" fontId="7" fillId="30" borderId="5" xfId="0" applyFont="1" applyFill="1" applyBorder="1" applyAlignment="1">
      <alignment horizontal="center" vertical="center"/>
    </xf>
    <xf numFmtId="0" fontId="76" fillId="0" borderId="67" xfId="0" applyFont="1" applyFill="1" applyBorder="1" applyAlignment="1">
      <alignment vertical="center"/>
    </xf>
    <xf numFmtId="0" fontId="39" fillId="0" borderId="14" xfId="0" applyFont="1" applyBorder="1" applyAlignment="1">
      <alignment vertical="center"/>
    </xf>
    <xf numFmtId="0" fontId="6" fillId="11" borderId="0" xfId="0" applyFont="1" applyFill="1" applyBorder="1" applyAlignment="1">
      <alignment horizontal="center" vertical="center"/>
    </xf>
    <xf numFmtId="0" fontId="7" fillId="0" borderId="184" xfId="0" applyFont="1" applyBorder="1"/>
    <xf numFmtId="0" fontId="7" fillId="0" borderId="65" xfId="0" applyFont="1" applyBorder="1" applyAlignment="1"/>
    <xf numFmtId="0" fontId="39" fillId="11" borderId="35" xfId="0" applyFont="1" applyFill="1" applyBorder="1" applyAlignment="1">
      <alignment vertical="center"/>
    </xf>
    <xf numFmtId="0" fontId="39" fillId="11" borderId="33" xfId="0" applyFont="1" applyFill="1" applyBorder="1" applyAlignment="1">
      <alignment vertical="center"/>
    </xf>
    <xf numFmtId="0" fontId="7" fillId="11" borderId="5" xfId="0" applyFont="1" applyFill="1" applyBorder="1" applyAlignment="1">
      <alignment horizontal="center" vertical="center"/>
    </xf>
    <xf numFmtId="0" fontId="7" fillId="11" borderId="32" xfId="0" applyFont="1" applyFill="1" applyBorder="1" applyAlignment="1">
      <alignment horizontal="center" vertical="center"/>
    </xf>
    <xf numFmtId="0" fontId="7" fillId="11" borderId="34" xfId="0" applyFont="1" applyFill="1" applyBorder="1" applyAlignment="1">
      <alignment horizontal="center" vertical="center"/>
    </xf>
    <xf numFmtId="0" fontId="7" fillId="11" borderId="55" xfId="0" applyFont="1" applyFill="1" applyBorder="1" applyAlignment="1">
      <alignment horizontal="center" vertical="center"/>
    </xf>
    <xf numFmtId="0" fontId="6" fillId="0" borderId="61" xfId="0" applyFont="1" applyFill="1" applyBorder="1" applyAlignment="1">
      <alignment vertical="center"/>
    </xf>
    <xf numFmtId="0" fontId="6" fillId="13" borderId="67" xfId="0" applyFont="1" applyFill="1" applyBorder="1" applyAlignment="1">
      <alignment vertical="center"/>
    </xf>
    <xf numFmtId="0" fontId="4" fillId="11" borderId="0" xfId="0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vertical="center"/>
    </xf>
    <xf numFmtId="0" fontId="4" fillId="11" borderId="103" xfId="0" applyFont="1" applyFill="1" applyBorder="1" applyAlignment="1">
      <alignment vertical="center"/>
    </xf>
    <xf numFmtId="0" fontId="4" fillId="11" borderId="130" xfId="0" applyFont="1" applyFill="1" applyBorder="1" applyAlignment="1">
      <alignment horizontal="center" vertical="center"/>
    </xf>
    <xf numFmtId="0" fontId="7" fillId="0" borderId="76" xfId="0" applyFont="1" applyBorder="1"/>
    <xf numFmtId="0" fontId="52" fillId="0" borderId="5" xfId="0" applyFont="1" applyFill="1" applyBorder="1" applyAlignment="1">
      <alignment vertical="center"/>
    </xf>
    <xf numFmtId="0" fontId="7" fillId="0" borderId="78" xfId="0" applyFont="1" applyBorder="1"/>
    <xf numFmtId="0" fontId="7" fillId="0" borderId="61" xfId="0" applyFont="1" applyBorder="1"/>
    <xf numFmtId="0" fontId="48" fillId="0" borderId="5" xfId="0" applyFont="1" applyFill="1" applyBorder="1" applyAlignment="1"/>
    <xf numFmtId="0" fontId="35" fillId="11" borderId="31" xfId="0" applyFont="1" applyFill="1" applyBorder="1" applyAlignment="1">
      <alignment vertical="center"/>
    </xf>
    <xf numFmtId="0" fontId="35" fillId="11" borderId="0" xfId="0" applyFont="1" applyFill="1" applyBorder="1" applyAlignment="1">
      <alignment vertical="center"/>
    </xf>
    <xf numFmtId="0" fontId="35" fillId="11" borderId="130" xfId="0" applyFont="1" applyFill="1" applyBorder="1" applyAlignment="1">
      <alignment vertical="center"/>
    </xf>
    <xf numFmtId="0" fontId="26" fillId="30" borderId="60" xfId="0" applyFont="1" applyFill="1" applyBorder="1"/>
    <xf numFmtId="0" fontId="26" fillId="0" borderId="73" xfId="0" applyFont="1" applyFill="1" applyBorder="1"/>
    <xf numFmtId="0" fontId="7" fillId="10" borderId="15" xfId="0" applyFont="1" applyFill="1" applyBorder="1" applyAlignment="1">
      <alignment vertical="center"/>
    </xf>
    <xf numFmtId="0" fontId="49" fillId="0" borderId="74" xfId="0" applyFont="1" applyFill="1" applyBorder="1" applyAlignment="1">
      <alignment vertical="center"/>
    </xf>
    <xf numFmtId="0" fontId="49" fillId="0" borderId="74" xfId="0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80" fillId="0" borderId="43" xfId="0" applyFont="1" applyFill="1" applyBorder="1" applyAlignment="1">
      <alignment vertical="center"/>
    </xf>
    <xf numFmtId="0" fontId="80" fillId="0" borderId="14" xfId="0" applyFont="1" applyFill="1" applyBorder="1" applyAlignment="1">
      <alignment vertical="center"/>
    </xf>
    <xf numFmtId="0" fontId="80" fillId="0" borderId="5" xfId="0" applyFont="1" applyFill="1" applyBorder="1" applyAlignment="1">
      <alignment vertical="center"/>
    </xf>
    <xf numFmtId="0" fontId="80" fillId="0" borderId="15" xfId="0" applyFont="1" applyFill="1" applyBorder="1" applyAlignment="1">
      <alignment vertical="center"/>
    </xf>
    <xf numFmtId="0" fontId="80" fillId="0" borderId="5" xfId="0" applyFont="1" applyBorder="1" applyAlignment="1">
      <alignment vertical="center"/>
    </xf>
    <xf numFmtId="0" fontId="63" fillId="0" borderId="15" xfId="0" applyFont="1" applyFill="1" applyBorder="1" applyAlignment="1">
      <alignment horizontal="center" vertical="center"/>
    </xf>
    <xf numFmtId="0" fontId="63" fillId="0" borderId="15" xfId="0" applyFont="1" applyFill="1" applyBorder="1" applyAlignment="1">
      <alignment vertical="center"/>
    </xf>
    <xf numFmtId="0" fontId="63" fillId="0" borderId="5" xfId="0" applyFont="1" applyFill="1" applyBorder="1" applyAlignment="1">
      <alignment vertical="center"/>
    </xf>
    <xf numFmtId="0" fontId="6" fillId="0" borderId="60" xfId="0" applyFont="1" applyFill="1" applyBorder="1" applyAlignment="1">
      <alignment horizontal="center" vertical="center"/>
    </xf>
    <xf numFmtId="0" fontId="26" fillId="15" borderId="60" xfId="0" applyFont="1" applyFill="1" applyBorder="1" applyAlignment="1">
      <alignment horizontal="center" vertical="center"/>
    </xf>
    <xf numFmtId="0" fontId="6" fillId="0" borderId="61" xfId="0" applyFont="1" applyFill="1" applyBorder="1" applyAlignment="1">
      <alignment horizontal="center" vertical="center"/>
    </xf>
    <xf numFmtId="0" fontId="6" fillId="0" borderId="62" xfId="0" applyFont="1" applyFill="1" applyBorder="1" applyAlignment="1">
      <alignment horizontal="center" vertical="center"/>
    </xf>
    <xf numFmtId="0" fontId="6" fillId="0" borderId="73" xfId="0" applyFont="1" applyFill="1" applyBorder="1" applyAlignment="1">
      <alignment horizontal="center" vertical="center"/>
    </xf>
    <xf numFmtId="0" fontId="6" fillId="0" borderId="43" xfId="0" applyFont="1" applyFill="1" applyBorder="1" applyAlignment="1">
      <alignment horizontal="center" vertical="center"/>
    </xf>
    <xf numFmtId="0" fontId="6" fillId="0" borderId="44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0" fontId="35" fillId="0" borderId="112" xfId="0" applyFont="1" applyBorder="1" applyAlignment="1">
      <alignment vertical="center"/>
    </xf>
    <xf numFmtId="0" fontId="35" fillId="0" borderId="118" xfId="0" applyFont="1" applyBorder="1" applyAlignment="1">
      <alignment vertical="center"/>
    </xf>
    <xf numFmtId="0" fontId="4" fillId="0" borderId="32" xfId="0" applyFont="1" applyFill="1" applyBorder="1" applyAlignment="1">
      <alignment vertical="center"/>
    </xf>
    <xf numFmtId="0" fontId="4" fillId="0" borderId="34" xfId="0" applyFont="1" applyFill="1" applyBorder="1" applyAlignment="1">
      <alignment vertical="center"/>
    </xf>
    <xf numFmtId="0" fontId="39" fillId="0" borderId="14" xfId="0" applyFont="1" applyFill="1" applyBorder="1" applyAlignment="1">
      <alignment horizontal="center" vertical="center"/>
    </xf>
    <xf numFmtId="0" fontId="48" fillId="0" borderId="15" xfId="0" applyFont="1" applyFill="1" applyBorder="1" applyAlignment="1"/>
    <xf numFmtId="0" fontId="35" fillId="0" borderId="34" xfId="0" applyFont="1" applyBorder="1" applyAlignment="1">
      <alignment vertical="center"/>
    </xf>
    <xf numFmtId="0" fontId="6" fillId="15" borderId="118" xfId="0" applyFont="1" applyFill="1" applyBorder="1" applyAlignment="1">
      <alignment vertical="center"/>
    </xf>
    <xf numFmtId="0" fontId="13" fillId="15" borderId="89" xfId="0" applyFont="1" applyFill="1" applyBorder="1" applyAlignment="1">
      <alignment vertical="center"/>
    </xf>
    <xf numFmtId="0" fontId="52" fillId="15" borderId="14" xfId="0" applyFont="1" applyFill="1" applyBorder="1" applyAlignment="1">
      <alignment vertical="center"/>
    </xf>
    <xf numFmtId="0" fontId="73" fillId="15" borderId="14" xfId="0" applyFont="1" applyFill="1" applyBorder="1" applyAlignment="1">
      <alignment horizontal="center" vertical="center" wrapText="1"/>
    </xf>
    <xf numFmtId="0" fontId="39" fillId="15" borderId="103" xfId="0" applyFont="1" applyFill="1" applyBorder="1" applyAlignment="1">
      <alignment vertical="center"/>
    </xf>
    <xf numFmtId="0" fontId="6" fillId="11" borderId="5" xfId="0" applyFont="1" applyFill="1" applyBorder="1" applyAlignment="1">
      <alignment vertical="center"/>
    </xf>
    <xf numFmtId="0" fontId="68" fillId="15" borderId="5" xfId="0" applyFont="1" applyFill="1" applyBorder="1" applyAlignment="1">
      <alignment vertical="center"/>
    </xf>
    <xf numFmtId="0" fontId="13" fillId="20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3" fillId="15" borderId="5" xfId="1" applyFont="1" applyFill="1" applyBorder="1" applyAlignment="1">
      <alignment vertical="center" wrapText="1"/>
    </xf>
    <xf numFmtId="0" fontId="3" fillId="15" borderId="5" xfId="1" applyFont="1" applyFill="1" applyBorder="1" applyAlignment="1">
      <alignment vertical="center"/>
    </xf>
    <xf numFmtId="0" fontId="5" fillId="16" borderId="5" xfId="0" applyFont="1" applyFill="1" applyBorder="1" applyAlignment="1">
      <alignment horizontal="center" wrapText="1"/>
    </xf>
    <xf numFmtId="0" fontId="7" fillId="0" borderId="5" xfId="0" applyFont="1" applyFill="1" applyBorder="1" applyAlignment="1"/>
    <xf numFmtId="0" fontId="9" fillId="0" borderId="5" xfId="0" applyFont="1" applyBorder="1" applyAlignment="1">
      <alignment horizontal="left" vertical="center"/>
    </xf>
    <xf numFmtId="0" fontId="37" fillId="0" borderId="5" xfId="0" applyFont="1" applyBorder="1"/>
    <xf numFmtId="0" fontId="3" fillId="0" borderId="5" xfId="0" applyFont="1" applyBorder="1" applyAlignment="1">
      <alignment horizontal="center"/>
    </xf>
    <xf numFmtId="0" fontId="77" fillId="0" borderId="5" xfId="0" applyFont="1" applyBorder="1" applyAlignment="1">
      <alignment horizontal="center"/>
    </xf>
    <xf numFmtId="0" fontId="68" fillId="49" borderId="5" xfId="0" applyFont="1" applyFill="1" applyBorder="1" applyAlignment="1">
      <alignment horizontal="center" vertical="center"/>
    </xf>
    <xf numFmtId="0" fontId="39" fillId="0" borderId="43" xfId="0" applyFont="1" applyBorder="1" applyAlignment="1">
      <alignment vertical="center"/>
    </xf>
    <xf numFmtId="0" fontId="39" fillId="0" borderId="31" xfId="0" applyFont="1" applyBorder="1" applyAlignment="1">
      <alignment vertical="center"/>
    </xf>
    <xf numFmtId="0" fontId="7" fillId="0" borderId="43" xfId="0" applyFont="1" applyBorder="1" applyAlignment="1">
      <alignment vertical="center"/>
    </xf>
    <xf numFmtId="0" fontId="35" fillId="11" borderId="74" xfId="0" applyFont="1" applyFill="1" applyBorder="1" applyAlignment="1">
      <alignment vertical="center"/>
    </xf>
    <xf numFmtId="0" fontId="35" fillId="11" borderId="60" xfId="0" applyFont="1" applyFill="1" applyBorder="1" applyAlignment="1">
      <alignment vertical="center"/>
    </xf>
    <xf numFmtId="0" fontId="35" fillId="11" borderId="61" xfId="0" applyFont="1" applyFill="1" applyBorder="1" applyAlignment="1">
      <alignment vertical="center"/>
    </xf>
    <xf numFmtId="0" fontId="8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39" fillId="0" borderId="65" xfId="0" applyFont="1" applyFill="1" applyBorder="1" applyAlignment="1">
      <alignment vertical="center"/>
    </xf>
    <xf numFmtId="0" fontId="39" fillId="0" borderId="15" xfId="0" applyFont="1" applyBorder="1" applyAlignment="1">
      <alignment vertical="center"/>
    </xf>
    <xf numFmtId="0" fontId="4" fillId="15" borderId="110" xfId="0" applyFont="1" applyFill="1" applyBorder="1" applyAlignment="1">
      <alignment horizontal="center" vertical="center"/>
    </xf>
    <xf numFmtId="0" fontId="35" fillId="0" borderId="75" xfId="0" applyFont="1" applyFill="1" applyBorder="1" applyAlignment="1">
      <alignment vertical="center"/>
    </xf>
    <xf numFmtId="0" fontId="7" fillId="50" borderId="5" xfId="0" applyFont="1" applyFill="1" applyBorder="1" applyAlignment="1">
      <alignment horizontal="center" vertical="center"/>
    </xf>
    <xf numFmtId="0" fontId="7" fillId="28" borderId="5" xfId="0" applyFont="1" applyFill="1" applyBorder="1" applyAlignment="1">
      <alignment horizontal="center" vertical="center"/>
    </xf>
    <xf numFmtId="0" fontId="7" fillId="8" borderId="32" xfId="0" applyFont="1" applyFill="1" applyBorder="1" applyAlignment="1"/>
    <xf numFmtId="0" fontId="54" fillId="0" borderId="32" xfId="0" applyFont="1" applyFill="1" applyBorder="1" applyAlignment="1"/>
    <xf numFmtId="0" fontId="7" fillId="15" borderId="32" xfId="0" applyFont="1" applyFill="1" applyBorder="1" applyAlignment="1"/>
    <xf numFmtId="0" fontId="84" fillId="40" borderId="50" xfId="0" applyFont="1" applyFill="1" applyBorder="1" applyAlignment="1">
      <alignment horizontal="center" vertical="center"/>
    </xf>
    <xf numFmtId="0" fontId="50" fillId="40" borderId="50" xfId="0" applyFont="1" applyFill="1" applyBorder="1" applyAlignment="1">
      <alignment horizontal="center" vertical="center"/>
    </xf>
    <xf numFmtId="0" fontId="50" fillId="40" borderId="141" xfId="0" applyFont="1" applyFill="1" applyBorder="1" applyAlignment="1">
      <alignment horizontal="center" vertical="center"/>
    </xf>
    <xf numFmtId="0" fontId="50" fillId="40" borderId="186" xfId="0" applyFont="1" applyFill="1" applyBorder="1" applyAlignment="1">
      <alignment horizontal="center" vertical="center"/>
    </xf>
    <xf numFmtId="0" fontId="80" fillId="0" borderId="32" xfId="0" applyFont="1" applyFill="1" applyBorder="1" applyAlignment="1">
      <alignment vertical="center"/>
    </xf>
    <xf numFmtId="0" fontId="7" fillId="30" borderId="43" xfId="0" applyFont="1" applyFill="1" applyBorder="1" applyAlignment="1">
      <alignment horizontal="center" vertical="center"/>
    </xf>
    <xf numFmtId="0" fontId="39" fillId="0" borderId="56" xfId="0" applyFont="1" applyBorder="1" applyAlignment="1">
      <alignment vertical="center"/>
    </xf>
    <xf numFmtId="9" fontId="0" fillId="5" borderId="119" xfId="0" applyNumberFormat="1" applyFill="1" applyBorder="1"/>
    <xf numFmtId="0" fontId="0" fillId="32" borderId="144" xfId="0" applyFill="1" applyBorder="1"/>
    <xf numFmtId="0" fontId="9" fillId="29" borderId="147" xfId="0" applyFont="1" applyFill="1" applyBorder="1" applyAlignment="1">
      <alignment vertical="center"/>
    </xf>
    <xf numFmtId="0" fontId="9" fillId="29" borderId="119" xfId="0" applyFont="1" applyFill="1" applyBorder="1" applyAlignment="1">
      <alignment vertical="center"/>
    </xf>
    <xf numFmtId="0" fontId="9" fillId="29" borderId="120" xfId="0" applyFont="1" applyFill="1" applyBorder="1" applyAlignment="1">
      <alignment vertical="center"/>
    </xf>
    <xf numFmtId="9" fontId="0" fillId="32" borderId="156" xfId="0" applyNumberFormat="1" applyFill="1" applyBorder="1"/>
    <xf numFmtId="9" fontId="0" fillId="32" borderId="111" xfId="0" applyNumberFormat="1" applyFill="1" applyBorder="1"/>
    <xf numFmtId="9" fontId="0" fillId="8" borderId="111" xfId="0" applyNumberFormat="1" applyFill="1" applyBorder="1"/>
    <xf numFmtId="9" fontId="0" fillId="7" borderId="111" xfId="0" applyNumberFormat="1" applyFill="1" applyBorder="1"/>
    <xf numFmtId="9" fontId="0" fillId="32" borderId="138" xfId="0" applyNumberFormat="1" applyFill="1" applyBorder="1"/>
    <xf numFmtId="9" fontId="0" fillId="7" borderId="121" xfId="0" applyNumberFormat="1" applyFill="1" applyBorder="1"/>
    <xf numFmtId="0" fontId="9" fillId="29" borderId="187" xfId="0" applyFont="1" applyFill="1" applyBorder="1" applyAlignment="1">
      <alignment vertical="center"/>
    </xf>
    <xf numFmtId="0" fontId="9" fillId="29" borderId="122" xfId="0" applyFont="1" applyFill="1" applyBorder="1" applyAlignment="1">
      <alignment vertical="center"/>
    </xf>
    <xf numFmtId="0" fontId="0" fillId="14" borderId="146" xfId="0" applyFill="1" applyBorder="1" applyAlignment="1">
      <alignment horizontal="center"/>
    </xf>
    <xf numFmtId="0" fontId="4" fillId="21" borderId="85" xfId="0" applyFont="1" applyFill="1" applyBorder="1" applyAlignment="1">
      <alignment vertical="center"/>
    </xf>
    <xf numFmtId="0" fontId="0" fillId="0" borderId="0" xfId="0" applyFont="1" applyBorder="1"/>
    <xf numFmtId="0" fontId="7" fillId="0" borderId="32" xfId="0" applyFont="1" applyFill="1" applyBorder="1" applyAlignment="1">
      <alignment horizontal="center"/>
    </xf>
    <xf numFmtId="0" fontId="7" fillId="0" borderId="34" xfId="0" applyFont="1" applyFill="1" applyBorder="1" applyAlignment="1">
      <alignment horizontal="center"/>
    </xf>
    <xf numFmtId="0" fontId="9" fillId="0" borderId="117" xfId="0" applyFont="1" applyBorder="1" applyAlignment="1">
      <alignment vertical="center"/>
    </xf>
    <xf numFmtId="0" fontId="35" fillId="0" borderId="117" xfId="0" applyFont="1" applyFill="1" applyBorder="1" applyAlignment="1">
      <alignment vertical="center"/>
    </xf>
    <xf numFmtId="0" fontId="0" fillId="0" borderId="31" xfId="0" applyBorder="1"/>
    <xf numFmtId="0" fontId="46" fillId="5" borderId="68" xfId="0" applyFont="1" applyFill="1" applyBorder="1" applyAlignment="1">
      <alignment horizontal="center" vertical="center"/>
    </xf>
    <xf numFmtId="0" fontId="35" fillId="0" borderId="106" xfId="0" applyFont="1" applyFill="1" applyBorder="1" applyAlignment="1">
      <alignment vertical="center"/>
    </xf>
    <xf numFmtId="0" fontId="9" fillId="0" borderId="117" xfId="0" applyFont="1" applyBorder="1" applyAlignment="1">
      <alignment horizontal="left" vertical="center"/>
    </xf>
    <xf numFmtId="0" fontId="4" fillId="0" borderId="15" xfId="0" applyFont="1" applyFill="1" applyBorder="1" applyAlignment="1">
      <alignment vertical="center"/>
    </xf>
    <xf numFmtId="0" fontId="6" fillId="0" borderId="32" xfId="0" applyFont="1" applyBorder="1" applyAlignment="1">
      <alignment horizontal="center" vertical="center"/>
    </xf>
    <xf numFmtId="0" fontId="6" fillId="0" borderId="74" xfId="0" applyFont="1" applyFill="1" applyBorder="1" applyAlignment="1">
      <alignment horizontal="center" vertical="center"/>
    </xf>
    <xf numFmtId="0" fontId="6" fillId="0" borderId="118" xfId="0" applyFont="1" applyFill="1" applyBorder="1" applyAlignment="1">
      <alignment horizontal="center" vertical="center"/>
    </xf>
    <xf numFmtId="0" fontId="39" fillId="15" borderId="85" xfId="0" applyFont="1" applyFill="1" applyBorder="1" applyAlignment="1">
      <alignment vertical="center"/>
    </xf>
    <xf numFmtId="0" fontId="39" fillId="15" borderId="61" xfId="0" applyFont="1" applyFill="1" applyBorder="1" applyAlignment="1">
      <alignment vertical="center"/>
    </xf>
    <xf numFmtId="0" fontId="39" fillId="5" borderId="14" xfId="0" applyFont="1" applyFill="1" applyBorder="1" applyAlignment="1">
      <alignment vertical="center"/>
    </xf>
    <xf numFmtId="0" fontId="39" fillId="42" borderId="14" xfId="0" applyFont="1" applyFill="1" applyBorder="1" applyAlignment="1">
      <alignment vertical="center"/>
    </xf>
    <xf numFmtId="0" fontId="7" fillId="0" borderId="189" xfId="0" applyFont="1" applyBorder="1"/>
    <xf numFmtId="0" fontId="39" fillId="0" borderId="56" xfId="0" applyFont="1" applyFill="1" applyBorder="1" applyAlignment="1">
      <alignment vertical="center"/>
    </xf>
    <xf numFmtId="0" fontId="52" fillId="15" borderId="43" xfId="0" applyFont="1" applyFill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66" fillId="0" borderId="15" xfId="0" applyFont="1" applyFill="1" applyBorder="1" applyAlignment="1">
      <alignment vertical="center"/>
    </xf>
    <xf numFmtId="0" fontId="7" fillId="0" borderId="190" xfId="0" applyFont="1" applyBorder="1"/>
    <xf numFmtId="0" fontId="7" fillId="15" borderId="43" xfId="0" applyFont="1" applyFill="1" applyBorder="1" applyAlignment="1">
      <alignment vertical="center"/>
    </xf>
    <xf numFmtId="0" fontId="22" fillId="42" borderId="4" xfId="0" applyFont="1" applyFill="1" applyBorder="1" applyAlignment="1">
      <alignment vertical="center" wrapText="1"/>
    </xf>
    <xf numFmtId="0" fontId="0" fillId="0" borderId="0" xfId="0" applyAlignment="1"/>
    <xf numFmtId="0" fontId="7" fillId="0" borderId="143" xfId="0" applyFont="1" applyBorder="1" applyAlignment="1">
      <alignment wrapText="1"/>
    </xf>
    <xf numFmtId="0" fontId="7" fillId="0" borderId="146" xfId="0" applyFont="1" applyBorder="1" applyAlignment="1">
      <alignment wrapText="1"/>
    </xf>
    <xf numFmtId="0" fontId="7" fillId="0" borderId="145" xfId="0" applyFont="1" applyBorder="1" applyAlignment="1">
      <alignment wrapText="1"/>
    </xf>
    <xf numFmtId="0" fontId="85" fillId="42" borderId="4" xfId="0" applyFont="1" applyFill="1" applyBorder="1" applyAlignment="1">
      <alignment vertical="center"/>
    </xf>
    <xf numFmtId="0" fontId="6" fillId="15" borderId="33" xfId="0" applyFont="1" applyFill="1" applyBorder="1" applyAlignment="1">
      <alignment vertical="center"/>
    </xf>
    <xf numFmtId="0" fontId="4" fillId="8" borderId="85" xfId="0" applyFont="1" applyFill="1" applyBorder="1" applyAlignment="1">
      <alignment vertical="center"/>
    </xf>
    <xf numFmtId="0" fontId="39" fillId="0" borderId="34" xfId="0" applyFont="1" applyBorder="1" applyAlignment="1">
      <alignment vertical="center"/>
    </xf>
    <xf numFmtId="0" fontId="85" fillId="23" borderId="32" xfId="0" applyFont="1" applyFill="1" applyBorder="1" applyAlignment="1">
      <alignment vertical="center"/>
    </xf>
    <xf numFmtId="0" fontId="21" fillId="23" borderId="159" xfId="0" applyFont="1" applyFill="1" applyBorder="1" applyAlignment="1">
      <alignment vertical="center" wrapText="1"/>
    </xf>
    <xf numFmtId="0" fontId="4" fillId="8" borderId="78" xfId="0" applyFont="1" applyFill="1" applyBorder="1" applyAlignment="1">
      <alignment vertical="center"/>
    </xf>
    <xf numFmtId="0" fontId="35" fillId="0" borderId="37" xfId="0" applyFont="1" applyFill="1" applyBorder="1" applyAlignment="1">
      <alignment vertical="center"/>
    </xf>
    <xf numFmtId="0" fontId="31" fillId="10" borderId="32" xfId="0" applyFont="1" applyFill="1" applyBorder="1" applyAlignment="1">
      <alignment vertical="center" wrapText="1"/>
    </xf>
    <xf numFmtId="0" fontId="36" fillId="0" borderId="108" xfId="0" applyFont="1" applyFill="1" applyBorder="1" applyAlignment="1">
      <alignment horizontal="center"/>
    </xf>
    <xf numFmtId="0" fontId="36" fillId="0" borderId="70" xfId="0" applyFont="1" applyFill="1" applyBorder="1" applyAlignment="1">
      <alignment horizontal="center"/>
    </xf>
    <xf numFmtId="0" fontId="36" fillId="0" borderId="109" xfId="0" applyFont="1" applyFill="1" applyBorder="1" applyAlignment="1">
      <alignment horizontal="center"/>
    </xf>
    <xf numFmtId="0" fontId="70" fillId="0" borderId="35" xfId="0" applyFont="1" applyBorder="1"/>
    <xf numFmtId="0" fontId="4" fillId="15" borderId="44" xfId="0" applyFont="1" applyFill="1" applyBorder="1" applyAlignment="1">
      <alignment vertical="center"/>
    </xf>
    <xf numFmtId="0" fontId="0" fillId="15" borderId="5" xfId="0" applyFill="1" applyBorder="1"/>
    <xf numFmtId="0" fontId="46" fillId="5" borderId="66" xfId="0" applyFont="1" applyFill="1" applyBorder="1" applyAlignment="1">
      <alignment horizontal="center" vertical="center"/>
    </xf>
    <xf numFmtId="0" fontId="35" fillId="0" borderId="15" xfId="0" applyFont="1" applyBorder="1" applyAlignment="1">
      <alignment vertical="center"/>
    </xf>
    <xf numFmtId="0" fontId="0" fillId="0" borderId="102" xfId="0" applyBorder="1"/>
    <xf numFmtId="0" fontId="46" fillId="5" borderId="42" xfId="0" applyFont="1" applyFill="1" applyBorder="1" applyAlignment="1">
      <alignment horizontal="center" vertical="center"/>
    </xf>
    <xf numFmtId="0" fontId="35" fillId="0" borderId="14" xfId="0" applyFont="1" applyBorder="1" applyAlignment="1">
      <alignment vertical="center"/>
    </xf>
    <xf numFmtId="0" fontId="35" fillId="0" borderId="61" xfId="0" applyFont="1" applyBorder="1" applyAlignment="1">
      <alignment vertical="center"/>
    </xf>
    <xf numFmtId="0" fontId="50" fillId="40" borderId="43" xfId="0" applyFont="1" applyFill="1" applyBorder="1" applyAlignment="1">
      <alignment horizontal="center" vertical="center"/>
    </xf>
    <xf numFmtId="0" fontId="70" fillId="0" borderId="33" xfId="0" applyFont="1" applyBorder="1"/>
    <xf numFmtId="0" fontId="26" fillId="30" borderId="114" xfId="0" applyFont="1" applyFill="1" applyBorder="1" applyAlignment="1">
      <alignment horizontal="center"/>
    </xf>
    <xf numFmtId="0" fontId="9" fillId="0" borderId="65" xfId="0" applyFont="1" applyBorder="1" applyAlignment="1">
      <alignment vertical="center"/>
    </xf>
    <xf numFmtId="0" fontId="9" fillId="0" borderId="68" xfId="0" applyFont="1" applyBorder="1" applyAlignment="1">
      <alignment vertical="center"/>
    </xf>
    <xf numFmtId="0" fontId="6" fillId="0" borderId="62" xfId="0" applyFont="1" applyBorder="1" applyAlignment="1">
      <alignment vertical="center"/>
    </xf>
    <xf numFmtId="0" fontId="6" fillId="0" borderId="79" xfId="0" applyFont="1" applyBorder="1" applyAlignment="1">
      <alignment vertical="center"/>
    </xf>
    <xf numFmtId="0" fontId="6" fillId="0" borderId="43" xfId="0" applyFont="1" applyBorder="1" applyAlignment="1">
      <alignment vertical="center"/>
    </xf>
    <xf numFmtId="0" fontId="6" fillId="0" borderId="15" xfId="0" applyFont="1" applyBorder="1" applyAlignment="1">
      <alignment vertical="center"/>
    </xf>
    <xf numFmtId="0" fontId="26" fillId="30" borderId="15" xfId="0" applyFont="1" applyFill="1" applyBorder="1" applyAlignment="1">
      <alignment horizontal="center"/>
    </xf>
    <xf numFmtId="0" fontId="26" fillId="0" borderId="15" xfId="0" applyFont="1" applyFill="1" applyBorder="1" applyAlignment="1"/>
    <xf numFmtId="0" fontId="26" fillId="30" borderId="31" xfId="0" applyFont="1" applyFill="1" applyBorder="1" applyAlignment="1">
      <alignment horizontal="center"/>
    </xf>
    <xf numFmtId="0" fontId="6" fillId="0" borderId="31" xfId="0" applyFont="1" applyBorder="1" applyAlignment="1">
      <alignment vertical="center"/>
    </xf>
    <xf numFmtId="0" fontId="13" fillId="0" borderId="75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0" fillId="0" borderId="118" xfId="0" applyBorder="1"/>
    <xf numFmtId="0" fontId="22" fillId="0" borderId="32" xfId="0" applyFont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4" fillId="8" borderId="5" xfId="0" applyFont="1" applyFill="1" applyBorder="1" applyAlignment="1">
      <alignment vertical="center"/>
    </xf>
    <xf numFmtId="0" fontId="6" fillId="8" borderId="5" xfId="0" applyFont="1" applyFill="1" applyBorder="1" applyAlignment="1">
      <alignment vertical="center"/>
    </xf>
    <xf numFmtId="0" fontId="35" fillId="0" borderId="74" xfId="0" applyFont="1" applyBorder="1" applyAlignment="1">
      <alignment vertical="center"/>
    </xf>
    <xf numFmtId="0" fontId="8" fillId="5" borderId="31" xfId="0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vertical="center" wrapText="1"/>
    </xf>
    <xf numFmtId="0" fontId="77" fillId="0" borderId="60" xfId="0" applyFont="1" applyBorder="1" applyAlignment="1">
      <alignment horizontal="center"/>
    </xf>
    <xf numFmtId="0" fontId="7" fillId="0" borderId="138" xfId="0" applyFont="1" applyBorder="1"/>
    <xf numFmtId="0" fontId="4" fillId="10" borderId="65" xfId="0" applyFont="1" applyFill="1" applyBorder="1" applyAlignment="1"/>
    <xf numFmtId="0" fontId="4" fillId="8" borderId="34" xfId="0" applyFont="1" applyFill="1" applyBorder="1" applyAlignment="1"/>
    <xf numFmtId="0" fontId="22" fillId="42" borderId="5" xfId="0" applyFont="1" applyFill="1" applyBorder="1" applyAlignment="1">
      <alignment vertical="center"/>
    </xf>
    <xf numFmtId="0" fontId="4" fillId="8" borderId="14" xfId="0" applyFont="1" applyFill="1" applyBorder="1" applyAlignment="1">
      <alignment vertical="center"/>
    </xf>
    <xf numFmtId="0" fontId="7" fillId="15" borderId="65" xfId="0" applyFont="1" applyFill="1" applyBorder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6" fillId="0" borderId="118" xfId="0" applyFont="1" applyFill="1" applyBorder="1" applyAlignment="1">
      <alignment vertical="center"/>
    </xf>
    <xf numFmtId="0" fontId="35" fillId="0" borderId="15" xfId="0" applyFont="1" applyFill="1" applyBorder="1" applyAlignment="1">
      <alignment vertical="center" wrapText="1"/>
    </xf>
    <xf numFmtId="0" fontId="46" fillId="16" borderId="14" xfId="0" applyFont="1" applyFill="1" applyBorder="1" applyAlignment="1">
      <alignment vertical="center" wrapText="1"/>
    </xf>
    <xf numFmtId="0" fontId="22" fillId="25" borderId="5" xfId="0" applyFont="1" applyFill="1" applyBorder="1" applyAlignment="1">
      <alignment vertical="center"/>
    </xf>
    <xf numFmtId="0" fontId="39" fillId="15" borderId="73" xfId="0" applyFont="1" applyFill="1" applyBorder="1" applyAlignment="1">
      <alignment vertical="center"/>
    </xf>
    <xf numFmtId="0" fontId="26" fillId="0" borderId="43" xfId="0" applyFont="1" applyFill="1" applyBorder="1" applyAlignment="1">
      <alignment horizontal="center"/>
    </xf>
    <xf numFmtId="0" fontId="26" fillId="0" borderId="60" xfId="0" applyFont="1" applyFill="1" applyBorder="1"/>
    <xf numFmtId="0" fontId="4" fillId="0" borderId="31" xfId="0" applyFont="1" applyFill="1" applyBorder="1" applyAlignment="1">
      <alignment vertical="center"/>
    </xf>
    <xf numFmtId="0" fontId="26" fillId="0" borderId="31" xfId="0" applyFont="1" applyFill="1" applyBorder="1"/>
    <xf numFmtId="0" fontId="26" fillId="0" borderId="60" xfId="0" applyFont="1" applyFill="1" applyBorder="1" applyAlignment="1"/>
    <xf numFmtId="0" fontId="6" fillId="0" borderId="83" xfId="0" applyFont="1" applyFill="1" applyBorder="1" applyAlignment="1">
      <alignment vertical="center"/>
    </xf>
    <xf numFmtId="0" fontId="26" fillId="0" borderId="6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 vertical="center"/>
    </xf>
    <xf numFmtId="0" fontId="4" fillId="26" borderId="5" xfId="0" applyFont="1" applyFill="1" applyBorder="1" applyAlignment="1">
      <alignment vertical="center" wrapText="1"/>
    </xf>
    <xf numFmtId="0" fontId="4" fillId="26" borderId="43" xfId="0" applyFont="1" applyFill="1" applyBorder="1" applyAlignment="1">
      <alignment vertical="center" wrapText="1"/>
    </xf>
    <xf numFmtId="0" fontId="26" fillId="30" borderId="3" xfId="0" applyFont="1" applyFill="1" applyBorder="1" applyAlignment="1">
      <alignment horizontal="center"/>
    </xf>
    <xf numFmtId="0" fontId="35" fillId="0" borderId="43" xfId="0" applyFont="1" applyBorder="1" applyAlignment="1">
      <alignment vertical="center"/>
    </xf>
    <xf numFmtId="0" fontId="7" fillId="0" borderId="66" xfId="0" applyFont="1" applyBorder="1"/>
    <xf numFmtId="0" fontId="7" fillId="15" borderId="119" xfId="0" applyFont="1" applyFill="1" applyBorder="1"/>
    <xf numFmtId="0" fontId="6" fillId="11" borderId="14" xfId="0" applyFont="1" applyFill="1" applyBorder="1" applyAlignment="1">
      <alignment horizontal="center" vertical="center"/>
    </xf>
    <xf numFmtId="0" fontId="4" fillId="11" borderId="34" xfId="0" applyFont="1" applyFill="1" applyBorder="1" applyAlignment="1">
      <alignment horizontal="center" vertical="center"/>
    </xf>
    <xf numFmtId="0" fontId="6" fillId="11" borderId="118" xfId="0" applyFont="1" applyFill="1" applyBorder="1" applyAlignment="1">
      <alignment horizontal="center" vertical="center"/>
    </xf>
    <xf numFmtId="0" fontId="4" fillId="11" borderId="33" xfId="0" applyFont="1" applyFill="1" applyBorder="1" applyAlignment="1"/>
    <xf numFmtId="0" fontId="4" fillId="11" borderId="34" xfId="0" applyFont="1" applyFill="1" applyBorder="1" applyAlignment="1"/>
    <xf numFmtId="0" fontId="7" fillId="0" borderId="153" xfId="0" applyFont="1" applyFill="1" applyBorder="1"/>
    <xf numFmtId="0" fontId="7" fillId="0" borderId="4" xfId="0" applyFont="1" applyFill="1" applyBorder="1"/>
    <xf numFmtId="0" fontId="49" fillId="0" borderId="5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center"/>
    </xf>
    <xf numFmtId="0" fontId="7" fillId="11" borderId="65" xfId="0" applyFont="1" applyFill="1" applyBorder="1" applyAlignment="1">
      <alignment horizontal="center" vertical="center"/>
    </xf>
    <xf numFmtId="0" fontId="6" fillId="11" borderId="118" xfId="0" applyFont="1" applyFill="1" applyBorder="1" applyAlignment="1">
      <alignment vertical="center"/>
    </xf>
    <xf numFmtId="0" fontId="6" fillId="11" borderId="55" xfId="0" applyFont="1" applyFill="1" applyBorder="1" applyAlignment="1">
      <alignment vertical="center"/>
    </xf>
    <xf numFmtId="0" fontId="49" fillId="11" borderId="5" xfId="0" applyFont="1" applyFill="1" applyBorder="1" applyAlignment="1">
      <alignment horizontal="center"/>
    </xf>
    <xf numFmtId="0" fontId="4" fillId="28" borderId="64" xfId="0" applyFont="1" applyFill="1" applyBorder="1" applyAlignment="1">
      <alignment vertical="center"/>
    </xf>
    <xf numFmtId="0" fontId="6" fillId="0" borderId="72" xfId="0" applyFont="1" applyBorder="1" applyAlignment="1">
      <alignment vertical="center"/>
    </xf>
    <xf numFmtId="0" fontId="26" fillId="30" borderId="47" xfId="0" applyFont="1" applyFill="1" applyBorder="1" applyAlignment="1">
      <alignment horizontal="center"/>
    </xf>
    <xf numFmtId="0" fontId="0" fillId="0" borderId="130" xfId="0" applyBorder="1"/>
    <xf numFmtId="0" fontId="26" fillId="49" borderId="32" xfId="0" applyFont="1" applyFill="1" applyBorder="1" applyAlignment="1">
      <alignment horizontal="center" vertical="center"/>
    </xf>
    <xf numFmtId="0" fontId="7" fillId="0" borderId="169" xfId="0" applyFont="1" applyBorder="1" applyAlignment="1">
      <alignment horizontal="center" vertical="center"/>
    </xf>
    <xf numFmtId="0" fontId="7" fillId="0" borderId="185" xfId="0" applyFont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35" fillId="11" borderId="84" xfId="0" applyFont="1" applyFill="1" applyBorder="1" applyAlignment="1">
      <alignment vertical="center"/>
    </xf>
    <xf numFmtId="0" fontId="35" fillId="0" borderId="131" xfId="0" applyFont="1" applyFill="1" applyBorder="1" applyAlignment="1">
      <alignment vertical="center"/>
    </xf>
    <xf numFmtId="0" fontId="35" fillId="0" borderId="157" xfId="0" applyFont="1" applyFill="1" applyBorder="1" applyAlignment="1">
      <alignment vertical="center"/>
    </xf>
    <xf numFmtId="0" fontId="4" fillId="15" borderId="96" xfId="0" applyFont="1" applyFill="1" applyBorder="1" applyAlignment="1">
      <alignment horizontal="center" vertical="center"/>
    </xf>
    <xf numFmtId="0" fontId="26" fillId="30" borderId="14" xfId="0" applyFont="1" applyFill="1" applyBorder="1"/>
    <xf numFmtId="0" fontId="4" fillId="15" borderId="60" xfId="0" applyFont="1" applyFill="1" applyBorder="1" applyAlignment="1">
      <alignment horizontal="center" vertical="center"/>
    </xf>
    <xf numFmtId="0" fontId="9" fillId="0" borderId="28" xfId="0" applyFont="1" applyBorder="1" applyAlignment="1">
      <alignment horizontal="left" vertical="center"/>
    </xf>
    <xf numFmtId="0" fontId="7" fillId="0" borderId="129" xfId="0" applyFont="1" applyBorder="1"/>
    <xf numFmtId="0" fontId="7" fillId="0" borderId="111" xfId="0" applyFont="1" applyBorder="1"/>
    <xf numFmtId="0" fontId="7" fillId="0" borderId="111" xfId="0" applyFont="1" applyFill="1" applyBorder="1"/>
    <xf numFmtId="0" fontId="7" fillId="0" borderId="14" xfId="0" applyFont="1" applyFill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0" fontId="35" fillId="0" borderId="114" xfId="0" applyFont="1" applyFill="1" applyBorder="1" applyAlignment="1">
      <alignment vertical="center"/>
    </xf>
    <xf numFmtId="0" fontId="35" fillId="0" borderId="114" xfId="0" applyFont="1" applyBorder="1" applyAlignment="1">
      <alignment vertical="center"/>
    </xf>
    <xf numFmtId="0" fontId="26" fillId="30" borderId="31" xfId="0" applyFont="1" applyFill="1" applyBorder="1"/>
    <xf numFmtId="0" fontId="35" fillId="0" borderId="159" xfId="0" applyFont="1" applyFill="1" applyBorder="1" applyAlignment="1">
      <alignment vertical="center"/>
    </xf>
    <xf numFmtId="0" fontId="6" fillId="0" borderId="31" xfId="0" applyFont="1" applyFill="1" applyBorder="1" applyAlignment="1">
      <alignment horizontal="center" vertical="center"/>
    </xf>
    <xf numFmtId="0" fontId="7" fillId="15" borderId="32" xfId="0" applyFont="1" applyFill="1" applyBorder="1" applyAlignment="1">
      <alignment horizontal="center" vertical="center"/>
    </xf>
    <xf numFmtId="0" fontId="7" fillId="15" borderId="118" xfId="0" applyFont="1" applyFill="1" applyBorder="1" applyAlignment="1">
      <alignment horizontal="center" vertical="center"/>
    </xf>
    <xf numFmtId="0" fontId="35" fillId="15" borderId="5" xfId="0" applyFont="1" applyFill="1" applyBorder="1" applyAlignment="1">
      <alignment horizontal="center" vertical="center"/>
    </xf>
    <xf numFmtId="0" fontId="4" fillId="28" borderId="15" xfId="0" applyFont="1" applyFill="1" applyBorder="1" applyAlignment="1">
      <alignment horizontal="center" vertical="center"/>
    </xf>
    <xf numFmtId="0" fontId="6" fillId="35" borderId="5" xfId="0" applyFont="1" applyFill="1" applyBorder="1" applyAlignment="1">
      <alignment vertical="center"/>
    </xf>
    <xf numFmtId="0" fontId="4" fillId="29" borderId="15" xfId="0" applyFont="1" applyFill="1" applyBorder="1" applyAlignment="1">
      <alignment horizontal="center" vertical="center"/>
    </xf>
    <xf numFmtId="0" fontId="6" fillId="0" borderId="32" xfId="0" applyFont="1" applyFill="1" applyBorder="1" applyAlignment="1">
      <alignment horizontal="center" vertical="center"/>
    </xf>
    <xf numFmtId="0" fontId="6" fillId="0" borderId="34" xfId="0" applyFont="1" applyFill="1" applyBorder="1" applyAlignment="1">
      <alignment horizontal="center" vertical="center"/>
    </xf>
    <xf numFmtId="0" fontId="35" fillId="15" borderId="15" xfId="0" applyFont="1" applyFill="1" applyBorder="1" applyAlignment="1">
      <alignment horizontal="center" vertical="center"/>
    </xf>
    <xf numFmtId="0" fontId="50" fillId="29" borderId="14" xfId="0" applyFont="1" applyFill="1" applyBorder="1" applyAlignment="1">
      <alignment vertical="center"/>
    </xf>
    <xf numFmtId="0" fontId="39" fillId="15" borderId="74" xfId="0" applyFont="1" applyFill="1" applyBorder="1" applyAlignment="1">
      <alignment vertical="center"/>
    </xf>
    <xf numFmtId="0" fontId="26" fillId="30" borderId="194" xfId="0" applyFont="1" applyFill="1" applyBorder="1" applyAlignment="1">
      <alignment horizontal="center"/>
    </xf>
    <xf numFmtId="0" fontId="35" fillId="15" borderId="73" xfId="0" applyFont="1" applyFill="1" applyBorder="1" applyAlignment="1">
      <alignment horizontal="center" vertical="center"/>
    </xf>
    <xf numFmtId="0" fontId="35" fillId="15" borderId="43" xfId="0" applyFont="1" applyFill="1" applyBorder="1" applyAlignment="1">
      <alignment horizontal="center" vertical="center"/>
    </xf>
    <xf numFmtId="0" fontId="9" fillId="0" borderId="147" xfId="0" applyFont="1" applyBorder="1" applyAlignment="1">
      <alignment vertical="center"/>
    </xf>
    <xf numFmtId="0" fontId="9" fillId="0" borderId="146" xfId="0" applyFont="1" applyBorder="1" applyAlignment="1">
      <alignment vertical="center"/>
    </xf>
    <xf numFmtId="0" fontId="9" fillId="0" borderId="120" xfId="0" applyFont="1" applyBorder="1" applyAlignment="1">
      <alignment vertical="center"/>
    </xf>
    <xf numFmtId="0" fontId="7" fillId="0" borderId="146" xfId="0" applyFont="1" applyBorder="1"/>
    <xf numFmtId="0" fontId="6" fillId="0" borderId="5" xfId="0" applyFont="1" applyFill="1" applyBorder="1" applyAlignment="1">
      <alignment horizontal="center" vertical="center"/>
    </xf>
    <xf numFmtId="0" fontId="26" fillId="15" borderId="34" xfId="0" applyFont="1" applyFill="1" applyBorder="1" applyAlignment="1">
      <alignment vertical="center"/>
    </xf>
    <xf numFmtId="0" fontId="77" fillId="0" borderId="14" xfId="0" applyFont="1" applyBorder="1" applyAlignment="1">
      <alignment horizontal="center"/>
    </xf>
    <xf numFmtId="0" fontId="35" fillId="0" borderId="110" xfId="0" applyFont="1" applyBorder="1" applyAlignment="1">
      <alignment vertical="center"/>
    </xf>
    <xf numFmtId="0" fontId="35" fillId="0" borderId="64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90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35" fillId="0" borderId="103" xfId="0" applyFont="1" applyBorder="1" applyAlignment="1">
      <alignment vertical="center"/>
    </xf>
    <xf numFmtId="0" fontId="61" fillId="15" borderId="75" xfId="0" applyFont="1" applyFill="1" applyBorder="1" applyAlignment="1">
      <alignment vertical="center"/>
    </xf>
    <xf numFmtId="0" fontId="61" fillId="15" borderId="31" xfId="0" applyFont="1" applyFill="1" applyBorder="1" applyAlignment="1">
      <alignment vertical="center"/>
    </xf>
    <xf numFmtId="0" fontId="35" fillId="0" borderId="75" xfId="0" applyFont="1" applyBorder="1" applyAlignment="1">
      <alignment vertical="center"/>
    </xf>
    <xf numFmtId="0" fontId="9" fillId="0" borderId="31" xfId="0" applyFont="1" applyBorder="1" applyAlignment="1">
      <alignment horizontal="left" vertical="center"/>
    </xf>
    <xf numFmtId="0" fontId="9" fillId="0" borderId="75" xfId="0" applyFont="1" applyBorder="1" applyAlignment="1">
      <alignment vertical="center"/>
    </xf>
    <xf numFmtId="0" fontId="64" fillId="42" borderId="64" xfId="0" applyFont="1" applyFill="1" applyBorder="1" applyAlignment="1">
      <alignment horizontal="center" vertical="center"/>
    </xf>
    <xf numFmtId="0" fontId="64" fillId="23" borderId="5" xfId="0" applyFont="1" applyFill="1" applyBorder="1" applyAlignment="1">
      <alignment vertical="center"/>
    </xf>
    <xf numFmtId="0" fontId="13" fillId="2" borderId="74" xfId="0" applyFont="1" applyFill="1" applyBorder="1" applyAlignment="1">
      <alignment horizontal="center" vertical="center"/>
    </xf>
    <xf numFmtId="0" fontId="13" fillId="2" borderId="89" xfId="0" applyFont="1" applyFill="1" applyBorder="1" applyAlignment="1">
      <alignment horizontal="center" vertical="center"/>
    </xf>
    <xf numFmtId="0" fontId="13" fillId="20" borderId="80" xfId="0" applyFont="1" applyFill="1" applyBorder="1" applyAlignment="1">
      <alignment horizontal="center" vertical="center"/>
    </xf>
    <xf numFmtId="0" fontId="4" fillId="15" borderId="32" xfId="0" applyFont="1" applyFill="1" applyBorder="1" applyAlignment="1">
      <alignment horizontal="center" vertical="center"/>
    </xf>
    <xf numFmtId="0" fontId="4" fillId="15" borderId="34" xfId="0" applyFont="1" applyFill="1" applyBorder="1" applyAlignment="1">
      <alignment horizontal="center" vertical="center"/>
    </xf>
    <xf numFmtId="0" fontId="39" fillId="15" borderId="78" xfId="0" applyFont="1" applyFill="1" applyBorder="1" applyAlignment="1">
      <alignment vertical="center"/>
    </xf>
    <xf numFmtId="0" fontId="4" fillId="15" borderId="111" xfId="0" applyFont="1" applyFill="1" applyBorder="1" applyAlignment="1">
      <alignment horizontal="center" vertical="center"/>
    </xf>
    <xf numFmtId="0" fontId="4" fillId="29" borderId="118" xfId="0" applyFont="1" applyFill="1" applyBorder="1" applyAlignment="1">
      <alignment horizontal="center" vertical="center"/>
    </xf>
    <xf numFmtId="0" fontId="7" fillId="0" borderId="18" xfId="0" applyFont="1" applyBorder="1" applyAlignment="1">
      <alignment vertical="center"/>
    </xf>
    <xf numFmtId="0" fontId="7" fillId="0" borderId="152" xfId="0" applyFont="1" applyBorder="1" applyAlignment="1">
      <alignment vertical="center"/>
    </xf>
    <xf numFmtId="0" fontId="7" fillId="0" borderId="153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195" xfId="0" applyFont="1" applyBorder="1" applyAlignment="1">
      <alignment vertical="center"/>
    </xf>
    <xf numFmtId="0" fontId="7" fillId="0" borderId="184" xfId="0" applyFont="1" applyBorder="1" applyAlignment="1">
      <alignment vertical="center"/>
    </xf>
    <xf numFmtId="0" fontId="7" fillId="0" borderId="19" xfId="0" applyFont="1" applyBorder="1" applyAlignment="1">
      <alignment vertical="center"/>
    </xf>
    <xf numFmtId="0" fontId="7" fillId="0" borderId="187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162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7" fillId="0" borderId="154" xfId="0" applyFont="1" applyBorder="1" applyAlignment="1">
      <alignment vertical="center"/>
    </xf>
    <xf numFmtId="0" fontId="7" fillId="0" borderId="71" xfId="0" applyFont="1" applyBorder="1" applyAlignment="1">
      <alignment vertical="center"/>
    </xf>
    <xf numFmtId="0" fontId="7" fillId="0" borderId="50" xfId="0" applyFont="1" applyBorder="1" applyAlignment="1">
      <alignment vertical="center"/>
    </xf>
    <xf numFmtId="0" fontId="7" fillId="0" borderId="18" xfId="0" applyFont="1" applyFill="1" applyBorder="1" applyAlignment="1">
      <alignment vertical="center"/>
    </xf>
    <xf numFmtId="0" fontId="7" fillId="0" borderId="50" xfId="0" applyFont="1" applyFill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7" fillId="0" borderId="58" xfId="0" applyFont="1" applyBorder="1" applyAlignment="1">
      <alignment vertical="center"/>
    </xf>
    <xf numFmtId="0" fontId="7" fillId="0" borderId="165" xfId="0" applyFont="1" applyBorder="1" applyAlignment="1">
      <alignment vertical="center"/>
    </xf>
    <xf numFmtId="0" fontId="7" fillId="0" borderId="146" xfId="0" applyFont="1" applyBorder="1" applyAlignment="1">
      <alignment vertical="center"/>
    </xf>
    <xf numFmtId="0" fontId="7" fillId="0" borderId="119" xfId="0" applyFont="1" applyBorder="1" applyAlignment="1">
      <alignment vertical="center"/>
    </xf>
    <xf numFmtId="0" fontId="7" fillId="0" borderId="83" xfId="0" applyFont="1" applyBorder="1" applyAlignment="1">
      <alignment vertical="center"/>
    </xf>
    <xf numFmtId="0" fontId="7" fillId="0" borderId="98" xfId="0" applyFont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7" fillId="0" borderId="65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66" xfId="0" applyFont="1" applyBorder="1" applyAlignment="1">
      <alignment vertical="center"/>
    </xf>
    <xf numFmtId="0" fontId="7" fillId="0" borderId="77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35" fillId="0" borderId="32" xfId="0" applyFont="1" applyFill="1" applyBorder="1" applyAlignment="1">
      <alignment horizontal="center" vertical="center"/>
    </xf>
    <xf numFmtId="0" fontId="35" fillId="0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5" fillId="0" borderId="110" xfId="0" applyFont="1" applyFill="1" applyBorder="1" applyAlignment="1">
      <alignment horizontal="center" vertical="center"/>
    </xf>
    <xf numFmtId="0" fontId="6" fillId="15" borderId="118" xfId="0" applyFon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6" fillId="0" borderId="91" xfId="0" applyFont="1" applyFill="1" applyBorder="1" applyAlignment="1">
      <alignment horizontal="center" vertical="center"/>
    </xf>
    <xf numFmtId="0" fontId="0" fillId="15" borderId="102" xfId="0" applyFill="1" applyBorder="1" applyAlignment="1">
      <alignment horizontal="center" vertical="center"/>
    </xf>
    <xf numFmtId="0" fontId="35" fillId="0" borderId="64" xfId="0" applyFont="1" applyFill="1" applyBorder="1" applyAlignment="1">
      <alignment horizontal="center" vertical="center"/>
    </xf>
    <xf numFmtId="0" fontId="35" fillId="0" borderId="62" xfId="0" applyFont="1" applyFill="1" applyBorder="1" applyAlignment="1">
      <alignment horizontal="center" vertical="center"/>
    </xf>
    <xf numFmtId="0" fontId="35" fillId="0" borderId="15" xfId="0" applyFont="1" applyFill="1" applyBorder="1" applyAlignment="1">
      <alignment horizontal="center" vertical="center"/>
    </xf>
    <xf numFmtId="0" fontId="35" fillId="0" borderId="65" xfId="0" applyFont="1" applyFill="1" applyBorder="1" applyAlignment="1">
      <alignment horizontal="center" vertical="center"/>
    </xf>
    <xf numFmtId="0" fontId="6" fillId="15" borderId="14" xfId="0" applyFont="1" applyFill="1" applyBorder="1" applyAlignment="1">
      <alignment horizontal="center" vertical="center"/>
    </xf>
    <xf numFmtId="0" fontId="35" fillId="0" borderId="34" xfId="0" applyFont="1" applyFill="1" applyBorder="1" applyAlignment="1">
      <alignment horizontal="center" vertical="center"/>
    </xf>
    <xf numFmtId="0" fontId="4" fillId="42" borderId="15" xfId="0" applyFont="1" applyFill="1" applyBorder="1" applyAlignment="1">
      <alignment horizontal="center" vertical="center"/>
    </xf>
    <xf numFmtId="0" fontId="35" fillId="0" borderId="33" xfId="0" applyFont="1" applyFill="1" applyBorder="1" applyAlignment="1">
      <alignment horizontal="center" vertical="center"/>
    </xf>
    <xf numFmtId="0" fontId="35" fillId="0" borderId="55" xfId="0" applyFont="1" applyFill="1" applyBorder="1" applyAlignment="1">
      <alignment horizontal="center" vertical="center"/>
    </xf>
    <xf numFmtId="0" fontId="35" fillId="0" borderId="90" xfId="0" applyFont="1" applyFill="1" applyBorder="1" applyAlignment="1">
      <alignment horizontal="center" vertical="center"/>
    </xf>
    <xf numFmtId="0" fontId="35" fillId="0" borderId="72" xfId="0" applyFont="1" applyFill="1" applyBorder="1" applyAlignment="1">
      <alignment horizontal="center" vertical="center"/>
    </xf>
    <xf numFmtId="0" fontId="35" fillId="0" borderId="80" xfId="0" applyFont="1" applyFill="1" applyBorder="1" applyAlignment="1">
      <alignment horizontal="center" vertical="center"/>
    </xf>
    <xf numFmtId="0" fontId="35" fillId="0" borderId="67" xfId="0" applyFont="1" applyFill="1" applyBorder="1" applyAlignment="1">
      <alignment horizontal="center" vertical="center"/>
    </xf>
    <xf numFmtId="0" fontId="35" fillId="0" borderId="43" xfId="0" applyFont="1" applyFill="1" applyBorder="1" applyAlignment="1">
      <alignment horizontal="center" vertical="center"/>
    </xf>
    <xf numFmtId="0" fontId="35" fillId="0" borderId="73" xfId="0" applyFont="1" applyFill="1" applyBorder="1" applyAlignment="1">
      <alignment horizontal="center" vertical="center"/>
    </xf>
    <xf numFmtId="0" fontId="4" fillId="0" borderId="110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8" borderId="14" xfId="0" applyFont="1" applyFill="1" applyBorder="1" applyAlignment="1">
      <alignment horizontal="center" vertical="center"/>
    </xf>
    <xf numFmtId="0" fontId="35" fillId="0" borderId="61" xfId="0" applyFont="1" applyFill="1" applyBorder="1" applyAlignment="1">
      <alignment horizontal="center" vertical="center"/>
    </xf>
    <xf numFmtId="0" fontId="76" fillId="0" borderId="5" xfId="0" applyFont="1" applyFill="1" applyBorder="1" applyAlignment="1">
      <alignment horizontal="center" vertical="center"/>
    </xf>
    <xf numFmtId="0" fontId="35" fillId="0" borderId="60" xfId="0" applyFont="1" applyFill="1" applyBorder="1" applyAlignment="1">
      <alignment horizontal="center" vertical="center"/>
    </xf>
    <xf numFmtId="0" fontId="35" fillId="0" borderId="31" xfId="0" applyFont="1" applyFill="1" applyBorder="1" applyAlignment="1">
      <alignment horizontal="center" vertical="center"/>
    </xf>
    <xf numFmtId="0" fontId="35" fillId="0" borderId="102" xfId="0" applyFont="1" applyFill="1" applyBorder="1" applyAlignment="1">
      <alignment horizontal="center" vertical="center"/>
    </xf>
    <xf numFmtId="0" fontId="35" fillId="0" borderId="44" xfId="0" applyFont="1" applyFill="1" applyBorder="1" applyAlignment="1">
      <alignment horizontal="center" vertical="center"/>
    </xf>
    <xf numFmtId="0" fontId="76" fillId="0" borderId="78" xfId="0" applyFont="1" applyFill="1" applyBorder="1" applyAlignment="1">
      <alignment horizontal="center" vertical="center"/>
    </xf>
    <xf numFmtId="0" fontId="76" fillId="0" borderId="60" xfId="0" applyFont="1" applyFill="1" applyBorder="1" applyAlignment="1">
      <alignment horizontal="center" vertical="center"/>
    </xf>
    <xf numFmtId="0" fontId="76" fillId="0" borderId="84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109" xfId="0" applyFont="1" applyFill="1" applyBorder="1" applyAlignment="1">
      <alignment horizontal="center" vertical="center"/>
    </xf>
    <xf numFmtId="0" fontId="6" fillId="15" borderId="74" xfId="0" applyFont="1" applyFill="1" applyBorder="1" applyAlignment="1">
      <alignment horizontal="center" vertical="center"/>
    </xf>
    <xf numFmtId="0" fontId="76" fillId="0" borderId="91" xfId="0" applyFont="1" applyFill="1" applyBorder="1" applyAlignment="1">
      <alignment horizontal="center" vertical="center"/>
    </xf>
    <xf numFmtId="0" fontId="76" fillId="0" borderId="14" xfId="0" applyFont="1" applyFill="1" applyBorder="1" applyAlignment="1">
      <alignment horizontal="center" vertical="center"/>
    </xf>
    <xf numFmtId="0" fontId="6" fillId="15" borderId="31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76" fillId="0" borderId="64" xfId="0" applyFont="1" applyFill="1" applyBorder="1" applyAlignment="1">
      <alignment horizontal="center" vertical="center"/>
    </xf>
    <xf numFmtId="0" fontId="76" fillId="0" borderId="32" xfId="0" applyFont="1" applyFill="1" applyBorder="1" applyAlignment="1">
      <alignment horizontal="center" vertical="center"/>
    </xf>
    <xf numFmtId="0" fontId="6" fillId="15" borderId="34" xfId="0" applyFont="1" applyFill="1" applyBorder="1" applyAlignment="1">
      <alignment horizontal="center" vertical="center"/>
    </xf>
    <xf numFmtId="0" fontId="76" fillId="0" borderId="91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76" fillId="0" borderId="90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4" fillId="15" borderId="15" xfId="0" applyFont="1" applyFill="1" applyBorder="1" applyAlignment="1">
      <alignment horizontal="center" vertical="center"/>
    </xf>
    <xf numFmtId="0" fontId="4" fillId="15" borderId="67" xfId="0" applyFont="1" applyFill="1" applyBorder="1" applyAlignment="1">
      <alignment horizontal="center" vertical="center"/>
    </xf>
    <xf numFmtId="0" fontId="4" fillId="15" borderId="62" xfId="0" applyFont="1" applyFill="1" applyBorder="1" applyAlignment="1">
      <alignment horizontal="center" vertical="center"/>
    </xf>
    <xf numFmtId="0" fontId="76" fillId="0" borderId="80" xfId="0" applyFont="1" applyFill="1" applyBorder="1" applyAlignment="1">
      <alignment horizontal="center" vertical="center"/>
    </xf>
    <xf numFmtId="0" fontId="76" fillId="0" borderId="15" xfId="0" applyFont="1" applyFill="1" applyBorder="1" applyAlignment="1">
      <alignment horizontal="center" vertical="center"/>
    </xf>
    <xf numFmtId="0" fontId="7" fillId="15" borderId="64" xfId="0" applyFont="1" applyFill="1" applyBorder="1" applyAlignment="1">
      <alignment horizontal="center" vertical="center"/>
    </xf>
    <xf numFmtId="0" fontId="7" fillId="15" borderId="5" xfId="0" applyFont="1" applyFill="1" applyBorder="1" applyAlignment="1">
      <alignment horizontal="center" vertical="center"/>
    </xf>
    <xf numFmtId="0" fontId="76" fillId="0" borderId="55" xfId="0" applyFont="1" applyFill="1" applyBorder="1" applyAlignment="1">
      <alignment horizontal="center" vertical="center"/>
    </xf>
    <xf numFmtId="0" fontId="7" fillId="15" borderId="15" xfId="0" applyFont="1" applyFill="1" applyBorder="1" applyAlignment="1">
      <alignment horizontal="center" vertical="center"/>
    </xf>
    <xf numFmtId="0" fontId="7" fillId="15" borderId="90" xfId="0" applyFont="1" applyFill="1" applyBorder="1" applyAlignment="1">
      <alignment horizontal="center" vertical="center"/>
    </xf>
    <xf numFmtId="0" fontId="76" fillId="0" borderId="34" xfId="0" applyFont="1" applyBorder="1" applyAlignment="1">
      <alignment horizontal="center" vertical="center"/>
    </xf>
    <xf numFmtId="0" fontId="76" fillId="0" borderId="5" xfId="0" applyFont="1" applyBorder="1" applyAlignment="1">
      <alignment horizontal="center" vertical="center"/>
    </xf>
    <xf numFmtId="0" fontId="7" fillId="0" borderId="91" xfId="0" applyFont="1" applyFill="1" applyBorder="1" applyAlignment="1">
      <alignment horizontal="center" vertical="center"/>
    </xf>
    <xf numFmtId="0" fontId="7" fillId="0" borderId="118" xfId="0" applyFont="1" applyFill="1" applyBorder="1" applyAlignment="1">
      <alignment horizontal="center" vertical="center"/>
    </xf>
    <xf numFmtId="0" fontId="35" fillId="0" borderId="159" xfId="0" applyFont="1" applyFill="1" applyBorder="1" applyAlignment="1">
      <alignment horizontal="center" vertical="center"/>
    </xf>
    <xf numFmtId="0" fontId="76" fillId="0" borderId="31" xfId="0" applyFont="1" applyFill="1" applyBorder="1" applyAlignment="1">
      <alignment horizontal="center" vertical="center"/>
    </xf>
    <xf numFmtId="0" fontId="76" fillId="0" borderId="75" xfId="0" applyFont="1" applyFill="1" applyBorder="1" applyAlignment="1">
      <alignment horizontal="center" vertical="center"/>
    </xf>
    <xf numFmtId="0" fontId="7" fillId="15" borderId="31" xfId="0" applyFont="1" applyFill="1" applyBorder="1" applyAlignment="1">
      <alignment horizontal="center" vertical="center"/>
    </xf>
    <xf numFmtId="0" fontId="7" fillId="15" borderId="14" xfId="0" applyFont="1" applyFill="1" applyBorder="1" applyAlignment="1">
      <alignment horizontal="center" vertical="center"/>
    </xf>
    <xf numFmtId="0" fontId="35" fillId="0" borderId="103" xfId="0" applyFont="1" applyFill="1" applyBorder="1" applyAlignment="1">
      <alignment horizontal="center" vertical="center"/>
    </xf>
    <xf numFmtId="0" fontId="4" fillId="15" borderId="159" xfId="0" applyFont="1" applyFill="1" applyBorder="1" applyAlignment="1">
      <alignment horizontal="center" vertical="center"/>
    </xf>
    <xf numFmtId="0" fontId="76" fillId="0" borderId="74" xfId="0" applyFont="1" applyFill="1" applyBorder="1" applyAlignment="1">
      <alignment horizontal="center" vertical="center"/>
    </xf>
    <xf numFmtId="0" fontId="35" fillId="0" borderId="74" xfId="0" applyFont="1" applyFill="1" applyBorder="1" applyAlignment="1">
      <alignment horizontal="center" vertical="center"/>
    </xf>
    <xf numFmtId="0" fontId="35" fillId="15" borderId="62" xfId="0" applyFont="1" applyFill="1" applyBorder="1" applyAlignment="1">
      <alignment horizontal="center" vertical="center"/>
    </xf>
    <xf numFmtId="0" fontId="35" fillId="0" borderId="96" xfId="0" applyFont="1" applyFill="1" applyBorder="1" applyAlignment="1">
      <alignment horizontal="center" vertical="center"/>
    </xf>
    <xf numFmtId="0" fontId="76" fillId="0" borderId="131" xfId="0" applyFont="1" applyFill="1" applyBorder="1" applyAlignment="1">
      <alignment horizontal="center" vertical="center"/>
    </xf>
    <xf numFmtId="0" fontId="76" fillId="0" borderId="43" xfId="0" applyFont="1" applyFill="1" applyBorder="1" applyAlignment="1">
      <alignment horizontal="center" vertical="center"/>
    </xf>
    <xf numFmtId="0" fontId="76" fillId="0" borderId="157" xfId="0" applyFont="1" applyFill="1" applyBorder="1" applyAlignment="1">
      <alignment horizontal="center" vertical="center"/>
    </xf>
    <xf numFmtId="0" fontId="35" fillId="0" borderId="43" xfId="0" applyFont="1" applyBorder="1" applyAlignment="1">
      <alignment horizontal="center" vertical="center"/>
    </xf>
    <xf numFmtId="0" fontId="35" fillId="0" borderId="155" xfId="0" applyFont="1" applyFill="1" applyBorder="1" applyAlignment="1">
      <alignment horizontal="center" vertical="center"/>
    </xf>
    <xf numFmtId="0" fontId="35" fillId="0" borderId="118" xfId="0" applyFont="1" applyFill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76" fillId="0" borderId="102" xfId="0" applyFont="1" applyFill="1" applyBorder="1" applyAlignment="1">
      <alignment horizontal="center" vertical="center"/>
    </xf>
    <xf numFmtId="0" fontId="76" fillId="0" borderId="62" xfId="0" applyFont="1" applyFill="1" applyBorder="1" applyAlignment="1">
      <alignment horizontal="center" vertical="center"/>
    </xf>
    <xf numFmtId="0" fontId="76" fillId="0" borderId="90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5" fillId="15" borderId="67" xfId="0" applyFont="1" applyFill="1" applyBorder="1" applyAlignment="1">
      <alignment horizontal="center" vertical="center"/>
    </xf>
    <xf numFmtId="0" fontId="4" fillId="28" borderId="74" xfId="0" applyFont="1" applyFill="1" applyBorder="1" applyAlignment="1">
      <alignment horizontal="center" vertical="center"/>
    </xf>
    <xf numFmtId="0" fontId="35" fillId="0" borderId="108" xfId="0" applyFont="1" applyFill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5" fillId="0" borderId="74" xfId="0" applyFont="1" applyBorder="1" applyAlignment="1">
      <alignment horizontal="center" vertical="center"/>
    </xf>
    <xf numFmtId="0" fontId="76" fillId="0" borderId="89" xfId="0" applyFont="1" applyFill="1" applyBorder="1" applyAlignment="1">
      <alignment horizontal="center" vertical="center"/>
    </xf>
    <xf numFmtId="0" fontId="76" fillId="0" borderId="67" xfId="0" applyFont="1" applyFill="1" applyBorder="1" applyAlignment="1">
      <alignment horizontal="center" vertical="center"/>
    </xf>
    <xf numFmtId="0" fontId="76" fillId="0" borderId="34" xfId="0" applyFont="1" applyFill="1" applyBorder="1" applyAlignment="1">
      <alignment horizontal="center" vertical="center"/>
    </xf>
    <xf numFmtId="0" fontId="7" fillId="0" borderId="62" xfId="0" applyFont="1" applyFill="1" applyBorder="1" applyAlignment="1">
      <alignment horizontal="center" vertical="center"/>
    </xf>
    <xf numFmtId="0" fontId="76" fillId="0" borderId="72" xfId="0" applyFont="1" applyFill="1" applyBorder="1" applyAlignment="1">
      <alignment horizontal="center" vertical="center"/>
    </xf>
    <xf numFmtId="0" fontId="4" fillId="28" borderId="135" xfId="0" applyFont="1" applyFill="1" applyBorder="1" applyAlignment="1">
      <alignment horizontal="center" vertical="center"/>
    </xf>
    <xf numFmtId="0" fontId="4" fillId="28" borderId="96" xfId="0" applyFont="1" applyFill="1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8" borderId="96" xfId="0" applyFill="1" applyBorder="1" applyAlignment="1">
      <alignment horizontal="center" vertical="center"/>
    </xf>
    <xf numFmtId="0" fontId="26" fillId="30" borderId="14" xfId="0" applyFont="1" applyFill="1" applyBorder="1" applyAlignment="1">
      <alignment horizontal="center" vertical="center"/>
    </xf>
    <xf numFmtId="0" fontId="81" fillId="15" borderId="5" xfId="0" applyFont="1" applyFill="1" applyBorder="1" applyAlignment="1">
      <alignment horizontal="center" vertical="center"/>
    </xf>
    <xf numFmtId="0" fontId="6" fillId="15" borderId="72" xfId="0" applyFont="1" applyFill="1" applyBorder="1" applyAlignment="1">
      <alignment horizontal="center" vertical="center"/>
    </xf>
    <xf numFmtId="0" fontId="39" fillId="15" borderId="72" xfId="0" applyFont="1" applyFill="1" applyBorder="1" applyAlignment="1">
      <alignment horizontal="center" vertical="center"/>
    </xf>
    <xf numFmtId="0" fontId="39" fillId="15" borderId="62" xfId="0" applyFont="1" applyFill="1" applyBorder="1" applyAlignment="1">
      <alignment horizontal="center" vertical="center"/>
    </xf>
    <xf numFmtId="0" fontId="53" fillId="15" borderId="5" xfId="0" applyFont="1" applyFill="1" applyBorder="1" applyAlignment="1">
      <alignment horizontal="center" vertical="center"/>
    </xf>
    <xf numFmtId="0" fontId="88" fillId="10" borderId="32" xfId="0" applyFont="1" applyFill="1" applyBorder="1" applyAlignment="1">
      <alignment horizontal="center" vertical="center" wrapText="1"/>
    </xf>
    <xf numFmtId="0" fontId="49" fillId="15" borderId="5" xfId="0" applyFont="1" applyFill="1" applyBorder="1" applyAlignment="1">
      <alignment horizontal="center" vertical="center" wrapText="1"/>
    </xf>
    <xf numFmtId="0" fontId="64" fillId="42" borderId="5" xfId="0" applyFont="1" applyFill="1" applyBorder="1" applyAlignment="1">
      <alignment horizontal="center" vertical="center" wrapText="1"/>
    </xf>
    <xf numFmtId="0" fontId="39" fillId="15" borderId="111" xfId="0" applyFont="1" applyFill="1" applyBorder="1" applyAlignment="1">
      <alignment horizontal="center" vertical="center"/>
    </xf>
    <xf numFmtId="0" fontId="39" fillId="15" borderId="118" xfId="0" applyFont="1" applyFill="1" applyBorder="1" applyAlignment="1">
      <alignment horizontal="center" vertical="center"/>
    </xf>
    <xf numFmtId="0" fontId="39" fillId="15" borderId="110" xfId="0" applyFont="1" applyFill="1" applyBorder="1" applyAlignment="1">
      <alignment horizontal="center" vertical="center"/>
    </xf>
    <xf numFmtId="0" fontId="4" fillId="15" borderId="14" xfId="0" applyFont="1" applyFill="1" applyBorder="1" applyAlignment="1">
      <alignment horizontal="center" vertical="center"/>
    </xf>
    <xf numFmtId="0" fontId="4" fillId="15" borderId="118" xfId="0" applyFont="1" applyFill="1" applyBorder="1" applyAlignment="1">
      <alignment horizontal="center" vertical="center"/>
    </xf>
    <xf numFmtId="0" fontId="39" fillId="15" borderId="67" xfId="0" applyFont="1" applyFill="1" applyBorder="1" applyAlignment="1">
      <alignment horizontal="center" vertical="center"/>
    </xf>
    <xf numFmtId="0" fontId="39" fillId="15" borderId="79" xfId="0" applyFont="1" applyFill="1" applyBorder="1" applyAlignment="1">
      <alignment horizontal="center" vertical="center"/>
    </xf>
    <xf numFmtId="0" fontId="39" fillId="15" borderId="43" xfId="0" applyFont="1" applyFill="1" applyBorder="1" applyAlignment="1">
      <alignment horizontal="center" vertical="center"/>
    </xf>
    <xf numFmtId="0" fontId="39" fillId="15" borderId="44" xfId="0" applyFont="1" applyFill="1" applyBorder="1" applyAlignment="1">
      <alignment horizontal="center" vertical="center"/>
    </xf>
    <xf numFmtId="0" fontId="39" fillId="15" borderId="112" xfId="0" applyFont="1" applyFill="1" applyBorder="1" applyAlignment="1">
      <alignment horizontal="center" vertical="center"/>
    </xf>
    <xf numFmtId="0" fontId="39" fillId="15" borderId="80" xfId="0" applyFont="1" applyFill="1" applyBorder="1" applyAlignment="1">
      <alignment horizontal="center" vertical="center"/>
    </xf>
    <xf numFmtId="0" fontId="39" fillId="15" borderId="31" xfId="0" applyFont="1" applyFill="1" applyBorder="1" applyAlignment="1">
      <alignment horizontal="center" vertical="center"/>
    </xf>
    <xf numFmtId="0" fontId="35" fillId="0" borderId="91" xfId="0" applyFont="1" applyFill="1" applyBorder="1" applyAlignment="1">
      <alignment horizontal="center" vertical="center"/>
    </xf>
    <xf numFmtId="0" fontId="26" fillId="30" borderId="12" xfId="0" applyFont="1" applyFill="1" applyBorder="1" applyAlignment="1">
      <alignment horizontal="center" vertical="center"/>
    </xf>
    <xf numFmtId="0" fontId="26" fillId="30" borderId="30" xfId="0" applyFont="1" applyFill="1" applyBorder="1" applyAlignment="1">
      <alignment horizontal="center" vertical="center"/>
    </xf>
    <xf numFmtId="0" fontId="35" fillId="0" borderId="106" xfId="0" applyFont="1" applyFill="1" applyBorder="1" applyAlignment="1">
      <alignment horizontal="center" vertical="center"/>
    </xf>
    <xf numFmtId="0" fontId="35" fillId="0" borderId="7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5" fillId="0" borderId="130" xfId="0" applyFont="1" applyFill="1" applyBorder="1" applyAlignment="1">
      <alignment horizontal="center" vertical="center"/>
    </xf>
    <xf numFmtId="0" fontId="35" fillId="0" borderId="79" xfId="0" applyFont="1" applyFill="1" applyBorder="1" applyAlignment="1">
      <alignment horizontal="center" vertical="center"/>
    </xf>
    <xf numFmtId="0" fontId="35" fillId="0" borderId="56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5" fillId="0" borderId="138" xfId="0" applyFont="1" applyFill="1" applyBorder="1" applyAlignment="1">
      <alignment horizontal="center" vertical="center"/>
    </xf>
    <xf numFmtId="0" fontId="39" fillId="15" borderId="91" xfId="0" applyFont="1" applyFill="1" applyBorder="1" applyAlignment="1">
      <alignment horizontal="center" vertical="center"/>
    </xf>
    <xf numFmtId="0" fontId="39" fillId="15" borderId="64" xfId="0" applyFont="1" applyFill="1" applyBorder="1" applyAlignment="1">
      <alignment horizontal="center" vertical="center"/>
    </xf>
    <xf numFmtId="0" fontId="26" fillId="30" borderId="1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4" fillId="15" borderId="64" xfId="0" applyFont="1" applyFill="1" applyBorder="1" applyAlignment="1">
      <alignment horizontal="center" vertical="center"/>
    </xf>
    <xf numFmtId="0" fontId="39" fillId="15" borderId="135" xfId="0" applyFont="1" applyFill="1" applyBorder="1" applyAlignment="1">
      <alignment horizontal="center" vertical="center"/>
    </xf>
    <xf numFmtId="0" fontId="39" fillId="15" borderId="96" xfId="0" applyFont="1" applyFill="1" applyBorder="1" applyAlignment="1">
      <alignment horizontal="center" vertical="center"/>
    </xf>
    <xf numFmtId="0" fontId="39" fillId="15" borderId="144" xfId="0" applyFont="1" applyFill="1" applyBorder="1" applyAlignment="1">
      <alignment horizontal="center" vertical="center"/>
    </xf>
    <xf numFmtId="0" fontId="39" fillId="15" borderId="78" xfId="0" applyFont="1" applyFill="1" applyBorder="1" applyAlignment="1">
      <alignment horizontal="center" vertical="center"/>
    </xf>
    <xf numFmtId="0" fontId="39" fillId="15" borderId="60" xfId="0" applyFont="1" applyFill="1" applyBorder="1" applyAlignment="1">
      <alignment horizontal="center" vertical="center"/>
    </xf>
    <xf numFmtId="0" fontId="39" fillId="15" borderId="61" xfId="0" applyFont="1" applyFill="1" applyBorder="1" applyAlignment="1">
      <alignment horizontal="center" vertical="center"/>
    </xf>
    <xf numFmtId="0" fontId="26" fillId="30" borderId="5" xfId="0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 wrapText="1"/>
    </xf>
    <xf numFmtId="0" fontId="26" fillId="30" borderId="16" xfId="0" applyFont="1" applyFill="1" applyBorder="1" applyAlignment="1">
      <alignment horizontal="center" vertical="center"/>
    </xf>
    <xf numFmtId="0" fontId="89" fillId="0" borderId="64" xfId="0" applyFont="1" applyFill="1" applyBorder="1" applyAlignment="1">
      <alignment horizontal="center" vertical="center"/>
    </xf>
    <xf numFmtId="0" fontId="89" fillId="0" borderId="32" xfId="0" applyFont="1" applyFill="1" applyBorder="1" applyAlignment="1">
      <alignment horizontal="center" vertical="center"/>
    </xf>
    <xf numFmtId="0" fontId="39" fillId="0" borderId="34" xfId="0" applyFont="1" applyFill="1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26" fillId="30" borderId="43" xfId="0" applyFont="1" applyFill="1" applyBorder="1" applyAlignment="1">
      <alignment horizontal="center" vertical="center"/>
    </xf>
    <xf numFmtId="0" fontId="26" fillId="30" borderId="80" xfId="0" applyFont="1" applyFill="1" applyBorder="1" applyAlignment="1">
      <alignment horizontal="center"/>
    </xf>
    <xf numFmtId="0" fontId="26" fillId="30" borderId="41" xfId="0" applyFont="1" applyFill="1" applyBorder="1" applyAlignment="1">
      <alignment horizontal="center"/>
    </xf>
    <xf numFmtId="0" fontId="26" fillId="30" borderId="47" xfId="0" applyFont="1" applyFill="1" applyBorder="1"/>
    <xf numFmtId="0" fontId="50" fillId="29" borderId="35" xfId="0" applyFont="1" applyFill="1" applyBorder="1" applyAlignment="1">
      <alignment horizontal="center" vertical="center"/>
    </xf>
    <xf numFmtId="0" fontId="26" fillId="30" borderId="103" xfId="0" applyFont="1" applyFill="1" applyBorder="1" applyAlignment="1">
      <alignment horizontal="center"/>
    </xf>
    <xf numFmtId="0" fontId="26" fillId="15" borderId="33" xfId="0" applyFont="1" applyFill="1" applyBorder="1" applyAlignment="1">
      <alignment vertical="center"/>
    </xf>
    <xf numFmtId="0" fontId="26" fillId="30" borderId="6" xfId="0" applyFont="1" applyFill="1" applyBorder="1" applyAlignment="1">
      <alignment horizontal="center"/>
    </xf>
    <xf numFmtId="0" fontId="35" fillId="0" borderId="90" xfId="0" applyFont="1" applyBorder="1" applyAlignment="1">
      <alignment vertical="center"/>
    </xf>
    <xf numFmtId="0" fontId="35" fillId="0" borderId="55" xfId="0" applyFont="1" applyBorder="1" applyAlignment="1">
      <alignment vertical="center"/>
    </xf>
    <xf numFmtId="0" fontId="88" fillId="10" borderId="55" xfId="0" applyFont="1" applyFill="1" applyBorder="1" applyAlignment="1">
      <alignment vertical="center" wrapText="1"/>
    </xf>
    <xf numFmtId="0" fontId="88" fillId="10" borderId="118" xfId="0" applyFont="1" applyFill="1" applyBorder="1" applyAlignment="1">
      <alignment vertical="center" wrapText="1"/>
    </xf>
    <xf numFmtId="0" fontId="43" fillId="13" borderId="5" xfId="0" applyFont="1" applyFill="1" applyBorder="1" applyAlignment="1">
      <alignment horizontal="center" vertical="center" wrapText="1"/>
    </xf>
    <xf numFmtId="0" fontId="26" fillId="0" borderId="15" xfId="0" applyFont="1" applyFill="1" applyBorder="1" applyAlignment="1">
      <alignment horizontal="center" vertical="center"/>
    </xf>
    <xf numFmtId="0" fontId="26" fillId="30" borderId="90" xfId="0" applyFont="1" applyFill="1" applyBorder="1" applyAlignment="1">
      <alignment horizontal="center"/>
    </xf>
    <xf numFmtId="0" fontId="4" fillId="28" borderId="31" xfId="0" applyFont="1" applyFill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4" fillId="15" borderId="79" xfId="0" applyFont="1" applyFill="1" applyBorder="1" applyAlignment="1">
      <alignment horizontal="center" vertical="center"/>
    </xf>
    <xf numFmtId="0" fontId="26" fillId="0" borderId="0" xfId="0" applyFont="1" applyBorder="1"/>
    <xf numFmtId="0" fontId="77" fillId="0" borderId="118" xfId="0" applyFont="1" applyBorder="1" applyAlignment="1">
      <alignment horizontal="center"/>
    </xf>
    <xf numFmtId="0" fontId="26" fillId="8" borderId="32" xfId="0" applyFont="1" applyFill="1" applyBorder="1" applyAlignment="1">
      <alignment vertical="center"/>
    </xf>
    <xf numFmtId="0" fontId="26" fillId="8" borderId="33" xfId="0" applyFont="1" applyFill="1" applyBorder="1" applyAlignment="1">
      <alignment vertical="center"/>
    </xf>
    <xf numFmtId="0" fontId="35" fillId="0" borderId="67" xfId="0" applyFont="1" applyBorder="1" applyAlignment="1">
      <alignment vertical="center"/>
    </xf>
    <xf numFmtId="0" fontId="4" fillId="29" borderId="5" xfId="0" applyFont="1" applyFill="1" applyBorder="1" applyAlignment="1">
      <alignment horizontal="center" vertical="center"/>
    </xf>
    <xf numFmtId="0" fontId="94" fillId="0" borderId="0" xfId="0" applyFont="1"/>
    <xf numFmtId="0" fontId="26" fillId="0" borderId="42" xfId="0" applyFont="1" applyBorder="1"/>
    <xf numFmtId="0" fontId="39" fillId="15" borderId="155" xfId="0" applyFont="1" applyFill="1" applyBorder="1" applyAlignment="1">
      <alignment horizontal="center" vertical="center"/>
    </xf>
    <xf numFmtId="0" fontId="63" fillId="0" borderId="42" xfId="0" applyFont="1" applyBorder="1"/>
    <xf numFmtId="0" fontId="26" fillId="30" borderId="61" xfId="0" applyFont="1" applyFill="1" applyBorder="1"/>
    <xf numFmtId="0" fontId="7" fillId="7" borderId="60" xfId="0" applyFont="1" applyFill="1" applyBorder="1" applyAlignment="1">
      <alignment vertical="center"/>
    </xf>
    <xf numFmtId="0" fontId="35" fillId="0" borderId="78" xfId="0" applyFont="1" applyBorder="1" applyAlignment="1">
      <alignment vertical="center"/>
    </xf>
    <xf numFmtId="0" fontId="35" fillId="15" borderId="80" xfId="0" applyFont="1" applyFill="1" applyBorder="1" applyAlignment="1">
      <alignment vertical="center"/>
    </xf>
    <xf numFmtId="0" fontId="0" fillId="15" borderId="67" xfId="0" applyFill="1" applyBorder="1" applyAlignment="1"/>
    <xf numFmtId="0" fontId="35" fillId="15" borderId="78" xfId="0" applyFont="1" applyFill="1" applyBorder="1" applyAlignment="1">
      <alignment vertical="center"/>
    </xf>
    <xf numFmtId="0" fontId="26" fillId="15" borderId="60" xfId="0" applyFont="1" applyFill="1" applyBorder="1" applyAlignment="1"/>
    <xf numFmtId="0" fontId="8" fillId="15" borderId="60" xfId="0" applyFont="1" applyFill="1" applyBorder="1" applyAlignment="1">
      <alignment vertical="center"/>
    </xf>
    <xf numFmtId="0" fontId="0" fillId="15" borderId="61" xfId="0" applyFill="1" applyBorder="1" applyAlignment="1"/>
    <xf numFmtId="0" fontId="26" fillId="15" borderId="62" xfId="0" applyFont="1" applyFill="1" applyBorder="1" applyAlignment="1"/>
    <xf numFmtId="0" fontId="35" fillId="15" borderId="67" xfId="0" applyFont="1" applyFill="1" applyBorder="1" applyAlignment="1">
      <alignment vertical="center"/>
    </xf>
    <xf numFmtId="0" fontId="0" fillId="15" borderId="60" xfId="0" applyFill="1" applyBorder="1" applyAlignment="1"/>
    <xf numFmtId="0" fontId="6" fillId="15" borderId="61" xfId="0" applyFont="1" applyFill="1" applyBorder="1" applyAlignment="1">
      <alignment vertical="center"/>
    </xf>
    <xf numFmtId="0" fontId="95" fillId="0" borderId="58" xfId="0" applyFont="1" applyBorder="1" applyAlignment="1">
      <alignment horizontal="left" vertical="center"/>
    </xf>
    <xf numFmtId="0" fontId="95" fillId="0" borderId="117" xfId="0" applyFont="1" applyBorder="1" applyAlignment="1">
      <alignment horizontal="left" vertical="center"/>
    </xf>
    <xf numFmtId="0" fontId="95" fillId="0" borderId="42" xfId="0" applyFont="1" applyBorder="1" applyAlignment="1">
      <alignment horizontal="left" vertical="center"/>
    </xf>
    <xf numFmtId="0" fontId="7" fillId="0" borderId="98" xfId="0" applyFont="1" applyBorder="1" applyAlignment="1">
      <alignment horizontal="left"/>
    </xf>
    <xf numFmtId="0" fontId="7" fillId="0" borderId="65" xfId="0" applyFont="1" applyBorder="1" applyAlignment="1">
      <alignment horizontal="left"/>
    </xf>
    <xf numFmtId="0" fontId="63" fillId="0" borderId="42" xfId="0" applyFont="1" applyBorder="1" applyAlignment="1">
      <alignment horizontal="left"/>
    </xf>
    <xf numFmtId="0" fontId="7" fillId="0" borderId="25" xfId="0" applyFont="1" applyBorder="1" applyAlignment="1">
      <alignment horizontal="left"/>
    </xf>
    <xf numFmtId="0" fontId="7" fillId="0" borderId="71" xfId="0" applyFont="1" applyBorder="1" applyAlignment="1">
      <alignment horizontal="left"/>
    </xf>
    <xf numFmtId="0" fontId="7" fillId="0" borderId="18" xfId="0" applyFont="1" applyBorder="1" applyAlignment="1">
      <alignment horizontal="left"/>
    </xf>
    <xf numFmtId="0" fontId="7" fillId="0" borderId="50" xfId="0" applyFont="1" applyBorder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63" xfId="0" applyFont="1" applyBorder="1" applyAlignment="1">
      <alignment horizontal="left"/>
    </xf>
    <xf numFmtId="0" fontId="95" fillId="0" borderId="68" xfId="0" applyFont="1" applyBorder="1" applyAlignment="1">
      <alignment horizontal="left" vertical="center"/>
    </xf>
    <xf numFmtId="0" fontId="7" fillId="0" borderId="1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29" xfId="0" applyFont="1" applyBorder="1" applyAlignment="1">
      <alignment horizontal="left"/>
    </xf>
    <xf numFmtId="0" fontId="7" fillId="0" borderId="165" xfId="0" applyFont="1" applyBorder="1" applyAlignment="1">
      <alignment horizontal="left"/>
    </xf>
    <xf numFmtId="0" fontId="63" fillId="0" borderId="25" xfId="0" applyFont="1" applyBorder="1" applyAlignment="1">
      <alignment horizontal="left"/>
    </xf>
    <xf numFmtId="0" fontId="63" fillId="0" borderId="71" xfId="0" applyFont="1" applyBorder="1" applyAlignment="1">
      <alignment horizontal="left"/>
    </xf>
    <xf numFmtId="0" fontId="63" fillId="0" borderId="117" xfId="0" applyFont="1" applyBorder="1" applyAlignment="1">
      <alignment horizontal="left"/>
    </xf>
    <xf numFmtId="0" fontId="95" fillId="0" borderId="65" xfId="0" applyFont="1" applyBorder="1" applyAlignment="1">
      <alignment horizontal="left" vertical="center"/>
    </xf>
    <xf numFmtId="0" fontId="7" fillId="0" borderId="171" xfId="0" applyFont="1" applyBorder="1" applyAlignment="1">
      <alignment horizontal="left"/>
    </xf>
    <xf numFmtId="0" fontId="7" fillId="0" borderId="58" xfId="0" applyFont="1" applyBorder="1" applyAlignment="1">
      <alignment horizontal="left"/>
    </xf>
    <xf numFmtId="0" fontId="7" fillId="0" borderId="76" xfId="0" applyFont="1" applyBorder="1" applyAlignment="1">
      <alignment horizontal="left"/>
    </xf>
    <xf numFmtId="0" fontId="7" fillId="0" borderId="166" xfId="0" applyFont="1" applyBorder="1" applyAlignment="1">
      <alignment horizontal="left"/>
    </xf>
    <xf numFmtId="0" fontId="7" fillId="0" borderId="146" xfId="0" applyFont="1" applyBorder="1" applyAlignment="1">
      <alignment horizontal="left"/>
    </xf>
    <xf numFmtId="0" fontId="7" fillId="0" borderId="196" xfId="0" applyFont="1" applyBorder="1" applyAlignment="1">
      <alignment horizontal="left"/>
    </xf>
    <xf numFmtId="0" fontId="7" fillId="0" borderId="184" xfId="0" applyFont="1" applyBorder="1" applyAlignment="1">
      <alignment horizontal="left"/>
    </xf>
    <xf numFmtId="0" fontId="7" fillId="0" borderId="83" xfId="0" applyFont="1" applyBorder="1" applyAlignment="1">
      <alignment horizontal="left"/>
    </xf>
    <xf numFmtId="0" fontId="7" fillId="0" borderId="33" xfId="0" applyFont="1" applyBorder="1" applyAlignment="1">
      <alignment horizontal="left"/>
    </xf>
    <xf numFmtId="0" fontId="7" fillId="0" borderId="37" xfId="0" applyFont="1" applyBorder="1" applyAlignment="1">
      <alignment horizontal="left"/>
    </xf>
    <xf numFmtId="0" fontId="7" fillId="0" borderId="66" xfId="0" applyFont="1" applyBorder="1" applyAlignment="1">
      <alignment horizontal="left"/>
    </xf>
    <xf numFmtId="0" fontId="7" fillId="0" borderId="32" xfId="0" applyFont="1" applyBorder="1" applyAlignment="1">
      <alignment horizontal="left"/>
    </xf>
    <xf numFmtId="0" fontId="45" fillId="0" borderId="77" xfId="0" applyFont="1" applyBorder="1" applyAlignment="1">
      <alignment horizontal="left"/>
    </xf>
    <xf numFmtId="0" fontId="45" fillId="0" borderId="42" xfId="0" applyFont="1" applyBorder="1" applyAlignment="1">
      <alignment horizontal="left"/>
    </xf>
    <xf numFmtId="0" fontId="45" fillId="0" borderId="98" xfId="0" applyFont="1" applyBorder="1" applyAlignment="1">
      <alignment horizontal="left" vertical="center"/>
    </xf>
    <xf numFmtId="0" fontId="4" fillId="0" borderId="32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center" vertical="center"/>
    </xf>
    <xf numFmtId="0" fontId="26" fillId="0" borderId="5" xfId="0" applyFont="1" applyFill="1" applyBorder="1" applyAlignment="1">
      <alignment horizontal="center"/>
    </xf>
    <xf numFmtId="0" fontId="31" fillId="0" borderId="5" xfId="0" applyFont="1" applyFill="1" applyBorder="1" applyAlignment="1">
      <alignment horizontal="center"/>
    </xf>
    <xf numFmtId="0" fontId="31" fillId="0" borderId="70" xfId="0" applyFont="1" applyFill="1" applyBorder="1" applyAlignment="1"/>
    <xf numFmtId="0" fontId="8" fillId="5" borderId="15" xfId="0" applyFont="1" applyFill="1" applyBorder="1" applyAlignment="1">
      <alignment horizontal="center" vertical="center"/>
    </xf>
    <xf numFmtId="0" fontId="35" fillId="15" borderId="106" xfId="0" applyFont="1" applyFill="1" applyBorder="1" applyAlignment="1">
      <alignment vertical="center"/>
    </xf>
    <xf numFmtId="0" fontId="35" fillId="15" borderId="31" xfId="0" applyFont="1" applyFill="1" applyBorder="1" applyAlignment="1">
      <alignment vertical="center"/>
    </xf>
    <xf numFmtId="0" fontId="53" fillId="15" borderId="116" xfId="0" applyFont="1" applyFill="1" applyBorder="1" applyAlignment="1">
      <alignment vertical="center"/>
    </xf>
    <xf numFmtId="0" fontId="53" fillId="15" borderId="74" xfId="0" applyFont="1" applyFill="1" applyBorder="1" applyAlignment="1">
      <alignment vertical="center"/>
    </xf>
    <xf numFmtId="0" fontId="96" fillId="15" borderId="74" xfId="0" applyFont="1" applyFill="1" applyBorder="1" applyAlignment="1">
      <alignment vertical="center"/>
    </xf>
    <xf numFmtId="0" fontId="96" fillId="15" borderId="108" xfId="0" applyFont="1" applyFill="1" applyBorder="1" applyAlignment="1">
      <alignment vertical="center"/>
    </xf>
    <xf numFmtId="0" fontId="97" fillId="15" borderId="108" xfId="0" applyFont="1" applyFill="1" applyBorder="1" applyAlignment="1">
      <alignment vertical="center"/>
    </xf>
    <xf numFmtId="0" fontId="77" fillId="15" borderId="15" xfId="0" applyFont="1" applyFill="1" applyBorder="1" applyAlignment="1">
      <alignment vertical="center"/>
    </xf>
    <xf numFmtId="0" fontId="98" fillId="15" borderId="14" xfId="0" applyFont="1" applyFill="1" applyBorder="1" applyAlignment="1">
      <alignment vertical="center"/>
    </xf>
    <xf numFmtId="0" fontId="77" fillId="15" borderId="5" xfId="0" applyFont="1" applyFill="1" applyBorder="1" applyAlignment="1">
      <alignment vertical="center"/>
    </xf>
    <xf numFmtId="0" fontId="98" fillId="15" borderId="5" xfId="0" applyFont="1" applyFill="1" applyBorder="1" applyAlignment="1">
      <alignment vertical="center"/>
    </xf>
    <xf numFmtId="0" fontId="77" fillId="15" borderId="32" xfId="0" applyFont="1" applyFill="1" applyBorder="1" applyAlignment="1">
      <alignment vertical="center"/>
    </xf>
    <xf numFmtId="0" fontId="77" fillId="15" borderId="62" xfId="0" applyFont="1" applyFill="1" applyBorder="1" applyAlignment="1">
      <alignment vertical="center"/>
    </xf>
    <xf numFmtId="0" fontId="77" fillId="15" borderId="34" xfId="0" applyFont="1" applyFill="1" applyBorder="1" applyAlignment="1">
      <alignment vertical="center"/>
    </xf>
    <xf numFmtId="0" fontId="49" fillId="15" borderId="5" xfId="0" applyFont="1" applyFill="1" applyBorder="1" applyAlignment="1">
      <alignment vertical="center"/>
    </xf>
    <xf numFmtId="0" fontId="77" fillId="15" borderId="14" xfId="0" applyFont="1" applyFill="1" applyBorder="1" applyAlignment="1">
      <alignment vertical="center"/>
    </xf>
    <xf numFmtId="0" fontId="77" fillId="15" borderId="72" xfId="0" applyFont="1" applyFill="1" applyBorder="1" applyAlignment="1">
      <alignment vertical="center"/>
    </xf>
    <xf numFmtId="0" fontId="49" fillId="15" borderId="15" xfId="0" applyFont="1" applyFill="1" applyBorder="1" applyAlignment="1">
      <alignment vertical="center"/>
    </xf>
    <xf numFmtId="0" fontId="49" fillId="15" borderId="118" xfId="0" applyFont="1" applyFill="1" applyBorder="1" applyAlignment="1">
      <alignment vertical="center"/>
    </xf>
    <xf numFmtId="0" fontId="77" fillId="15" borderId="110" xfId="0" applyFont="1" applyFill="1" applyBorder="1" applyAlignment="1">
      <alignment vertical="center"/>
    </xf>
    <xf numFmtId="0" fontId="77" fillId="15" borderId="31" xfId="0" applyFont="1" applyFill="1" applyBorder="1" applyAlignment="1">
      <alignment vertical="center"/>
    </xf>
    <xf numFmtId="0" fontId="77" fillId="15" borderId="75" xfId="0" applyFont="1" applyFill="1" applyBorder="1" applyAlignment="1">
      <alignment vertical="center"/>
    </xf>
    <xf numFmtId="0" fontId="53" fillId="15" borderId="14" xfId="0" applyFont="1" applyFill="1" applyBorder="1" applyAlignment="1">
      <alignment vertical="center"/>
    </xf>
    <xf numFmtId="0" fontId="49" fillId="15" borderId="14" xfId="0" applyFont="1" applyFill="1" applyBorder="1" applyAlignment="1">
      <alignment vertical="center"/>
    </xf>
    <xf numFmtId="0" fontId="77" fillId="15" borderId="118" xfId="0" applyFont="1" applyFill="1" applyBorder="1" applyAlignment="1">
      <alignment vertical="center"/>
    </xf>
    <xf numFmtId="0" fontId="53" fillId="15" borderId="118" xfId="0" applyFont="1" applyFill="1" applyBorder="1" applyAlignment="1">
      <alignment vertical="center"/>
    </xf>
    <xf numFmtId="0" fontId="77" fillId="15" borderId="102" xfId="0" applyFont="1" applyFill="1" applyBorder="1" applyAlignment="1">
      <alignment vertical="center"/>
    </xf>
    <xf numFmtId="0" fontId="77" fillId="15" borderId="103" xfId="0" applyFont="1" applyFill="1" applyBorder="1" applyAlignment="1">
      <alignment vertical="center"/>
    </xf>
    <xf numFmtId="0" fontId="77" fillId="15" borderId="60" xfId="0" applyFont="1" applyFill="1" applyBorder="1" applyAlignment="1">
      <alignment vertical="center"/>
    </xf>
    <xf numFmtId="0" fontId="77" fillId="15" borderId="61" xfId="0" applyFont="1" applyFill="1" applyBorder="1" applyAlignment="1">
      <alignment vertical="center"/>
    </xf>
    <xf numFmtId="0" fontId="77" fillId="15" borderId="106" xfId="0" applyFont="1" applyFill="1" applyBorder="1" applyAlignment="1">
      <alignment vertical="center"/>
    </xf>
    <xf numFmtId="0" fontId="77" fillId="15" borderId="67" xfId="0" applyFont="1" applyFill="1" applyBorder="1" applyAlignment="1">
      <alignment vertical="center"/>
    </xf>
    <xf numFmtId="0" fontId="77" fillId="15" borderId="79" xfId="0" applyFont="1" applyFill="1" applyBorder="1" applyAlignment="1">
      <alignment horizontal="center" vertical="center"/>
    </xf>
    <xf numFmtId="0" fontId="77" fillId="15" borderId="43" xfId="0" applyFont="1" applyFill="1" applyBorder="1" applyAlignment="1">
      <alignment horizontal="center" vertical="center"/>
    </xf>
    <xf numFmtId="0" fontId="77" fillId="15" borderId="64" xfId="0" applyFont="1" applyFill="1" applyBorder="1" applyAlignment="1">
      <alignment vertical="center"/>
    </xf>
    <xf numFmtId="0" fontId="77" fillId="15" borderId="96" xfId="0" applyFont="1" applyFill="1" applyBorder="1" applyAlignment="1">
      <alignment vertical="center"/>
    </xf>
    <xf numFmtId="0" fontId="77" fillId="15" borderId="155" xfId="0" applyFont="1" applyFill="1" applyBorder="1" applyAlignment="1">
      <alignment vertical="center"/>
    </xf>
    <xf numFmtId="0" fontId="77" fillId="15" borderId="78" xfId="0" applyFont="1" applyFill="1" applyBorder="1" applyAlignment="1">
      <alignment vertical="center"/>
    </xf>
    <xf numFmtId="0" fontId="77" fillId="15" borderId="80" xfId="0" applyFont="1" applyFill="1" applyBorder="1" applyAlignment="1">
      <alignment vertical="center"/>
    </xf>
    <xf numFmtId="0" fontId="77" fillId="15" borderId="91" xfId="0" applyFont="1" applyFill="1" applyBorder="1" applyAlignment="1">
      <alignment vertical="center"/>
    </xf>
    <xf numFmtId="0" fontId="49" fillId="0" borderId="5" xfId="0" applyFont="1" applyFill="1" applyBorder="1" applyAlignment="1">
      <alignment horizontal="center" vertical="center"/>
    </xf>
    <xf numFmtId="0" fontId="77" fillId="0" borderId="5" xfId="0" applyFont="1" applyFill="1" applyBorder="1" applyAlignment="1">
      <alignment vertical="center"/>
    </xf>
    <xf numFmtId="0" fontId="49" fillId="56" borderId="72" xfId="0" applyFont="1" applyFill="1" applyBorder="1" applyAlignment="1">
      <alignment horizontal="center" vertical="center"/>
    </xf>
    <xf numFmtId="0" fontId="77" fillId="15" borderId="79" xfId="0" applyFont="1" applyFill="1" applyBorder="1" applyAlignment="1">
      <alignment vertical="center"/>
    </xf>
    <xf numFmtId="0" fontId="77" fillId="15" borderId="43" xfId="0" applyFont="1" applyFill="1" applyBorder="1" applyAlignment="1">
      <alignment vertical="center"/>
    </xf>
    <xf numFmtId="0" fontId="77" fillId="15" borderId="44" xfId="0" applyFont="1" applyFill="1" applyBorder="1" applyAlignment="1">
      <alignment vertical="center"/>
    </xf>
    <xf numFmtId="0" fontId="49" fillId="15" borderId="74" xfId="0" applyFont="1" applyFill="1" applyBorder="1" applyAlignment="1">
      <alignment vertical="center"/>
    </xf>
    <xf numFmtId="0" fontId="97" fillId="15" borderId="74" xfId="0" applyFont="1" applyFill="1" applyBorder="1" applyAlignment="1">
      <alignment vertical="center"/>
    </xf>
    <xf numFmtId="0" fontId="96" fillId="15" borderId="89" xfId="0" applyFont="1" applyFill="1" applyBorder="1" applyAlignment="1">
      <alignment vertical="center"/>
    </xf>
    <xf numFmtId="0" fontId="99" fillId="15" borderId="5" xfId="0" applyFont="1" applyFill="1" applyBorder="1" applyAlignment="1">
      <alignment vertical="center"/>
    </xf>
    <xf numFmtId="0" fontId="99" fillId="15" borderId="32" xfId="0" applyFont="1" applyFill="1" applyBorder="1" applyAlignment="1">
      <alignment vertical="center"/>
    </xf>
    <xf numFmtId="0" fontId="53" fillId="15" borderId="64" xfId="0" applyFont="1" applyFill="1" applyBorder="1" applyAlignment="1">
      <alignment vertical="center"/>
    </xf>
    <xf numFmtId="0" fontId="98" fillId="15" borderId="15" xfId="0" applyFont="1" applyFill="1" applyBorder="1" applyAlignment="1">
      <alignment vertical="center"/>
    </xf>
    <xf numFmtId="0" fontId="53" fillId="15" borderId="32" xfId="0" applyFont="1" applyFill="1" applyBorder="1" applyAlignment="1">
      <alignment vertical="center"/>
    </xf>
    <xf numFmtId="0" fontId="84" fillId="42" borderId="62" xfId="0" applyFont="1" applyFill="1" applyBorder="1" applyAlignment="1">
      <alignment horizontal="center" vertical="center" wrapText="1"/>
    </xf>
    <xf numFmtId="0" fontId="77" fillId="15" borderId="55" xfId="0" applyFont="1" applyFill="1" applyBorder="1" applyAlignment="1">
      <alignment vertical="center"/>
    </xf>
    <xf numFmtId="0" fontId="50" fillId="0" borderId="21" xfId="0" applyFont="1" applyBorder="1"/>
    <xf numFmtId="0" fontId="50" fillId="0" borderId="22" xfId="0" applyFont="1" applyBorder="1"/>
    <xf numFmtId="0" fontId="50" fillId="0" borderId="18" xfId="0" applyFont="1" applyBorder="1"/>
    <xf numFmtId="0" fontId="50" fillId="0" borderId="68" xfId="0" applyFont="1" applyBorder="1"/>
    <xf numFmtId="0" fontId="50" fillId="0" borderId="42" xfId="0" applyFont="1" applyBorder="1"/>
    <xf numFmtId="0" fontId="10" fillId="0" borderId="44" xfId="0" applyFont="1" applyBorder="1"/>
    <xf numFmtId="0" fontId="50" fillId="0" borderId="17" xfId="0" applyFont="1" applyBorder="1"/>
    <xf numFmtId="0" fontId="50" fillId="0" borderId="26" xfId="0" applyFont="1" applyBorder="1"/>
    <xf numFmtId="0" fontId="50" fillId="0" borderId="19" xfId="0" applyFont="1" applyBorder="1"/>
    <xf numFmtId="0" fontId="77" fillId="15" borderId="56" xfId="0" applyFont="1" applyFill="1" applyBorder="1" applyAlignment="1">
      <alignment vertical="center"/>
    </xf>
    <xf numFmtId="0" fontId="50" fillId="0" borderId="78" xfId="0" applyFont="1" applyBorder="1"/>
    <xf numFmtId="0" fontId="50" fillId="0" borderId="84" xfId="0" applyFont="1" applyBorder="1"/>
    <xf numFmtId="0" fontId="50" fillId="0" borderId="64" xfId="0" applyFont="1" applyBorder="1"/>
    <xf numFmtId="0" fontId="50" fillId="0" borderId="32" xfId="0" applyFont="1" applyBorder="1"/>
    <xf numFmtId="0" fontId="50" fillId="0" borderId="79" xfId="0" applyFont="1" applyBorder="1"/>
    <xf numFmtId="0" fontId="50" fillId="0" borderId="56" xfId="0" applyFont="1" applyBorder="1"/>
    <xf numFmtId="0" fontId="77" fillId="15" borderId="73" xfId="0" applyFont="1" applyFill="1" applyBorder="1" applyAlignment="1">
      <alignment vertical="center"/>
    </xf>
    <xf numFmtId="0" fontId="50" fillId="0" borderId="13" xfId="0" applyFont="1" applyBorder="1"/>
    <xf numFmtId="0" fontId="50" fillId="0" borderId="25" xfId="0" applyFont="1" applyBorder="1"/>
    <xf numFmtId="0" fontId="50" fillId="0" borderId="4" xfId="0" applyFont="1" applyBorder="1"/>
    <xf numFmtId="0" fontId="77" fillId="15" borderId="90" xfId="0" applyFont="1" applyFill="1" applyBorder="1" applyAlignment="1">
      <alignment vertical="center"/>
    </xf>
    <xf numFmtId="0" fontId="50" fillId="0" borderId="29" xfId="0" applyFont="1" applyBorder="1"/>
    <xf numFmtId="0" fontId="50" fillId="0" borderId="20" xfId="0" applyFont="1" applyBorder="1"/>
    <xf numFmtId="0" fontId="77" fillId="0" borderId="64" xfId="0" applyFont="1" applyFill="1" applyBorder="1" applyAlignment="1">
      <alignment vertical="center"/>
    </xf>
    <xf numFmtId="0" fontId="49" fillId="0" borderId="5" xfId="0" applyFont="1" applyFill="1" applyBorder="1" applyAlignment="1">
      <alignment vertical="center"/>
    </xf>
    <xf numFmtId="0" fontId="49" fillId="0" borderId="62" xfId="0" applyFont="1" applyFill="1" applyBorder="1" applyAlignment="1">
      <alignment horizontal="center" vertical="center"/>
    </xf>
    <xf numFmtId="0" fontId="49" fillId="15" borderId="64" xfId="0" applyFont="1" applyFill="1" applyBorder="1" applyAlignment="1">
      <alignment vertical="center"/>
    </xf>
    <xf numFmtId="0" fontId="49" fillId="15" borderId="62" xfId="0" applyFont="1" applyFill="1" applyBorder="1" applyAlignment="1">
      <alignment vertical="center"/>
    </xf>
    <xf numFmtId="0" fontId="50" fillId="0" borderId="22" xfId="0" applyFont="1" applyFill="1" applyBorder="1"/>
    <xf numFmtId="0" fontId="50" fillId="0" borderId="18" xfId="0" applyFont="1" applyFill="1" applyBorder="1"/>
    <xf numFmtId="0" fontId="50" fillId="0" borderId="152" xfId="0" applyFont="1" applyBorder="1"/>
    <xf numFmtId="0" fontId="50" fillId="0" borderId="27" xfId="0" applyFont="1" applyBorder="1"/>
    <xf numFmtId="0" fontId="77" fillId="15" borderId="14" xfId="0" applyFont="1" applyFill="1" applyBorder="1" applyAlignment="1">
      <alignment horizontal="center" vertical="center"/>
    </xf>
    <xf numFmtId="0" fontId="50" fillId="0" borderId="153" xfId="0" applyFont="1" applyBorder="1"/>
    <xf numFmtId="0" fontId="50" fillId="0" borderId="10" xfId="0" applyFont="1" applyBorder="1"/>
    <xf numFmtId="0" fontId="50" fillId="0" borderId="154" xfId="0" applyFont="1" applyBorder="1"/>
    <xf numFmtId="0" fontId="50" fillId="0" borderId="147" xfId="0" applyFont="1" applyBorder="1"/>
    <xf numFmtId="0" fontId="10" fillId="0" borderId="143" xfId="0" applyFont="1" applyBorder="1"/>
    <xf numFmtId="0" fontId="77" fillId="15" borderId="130" xfId="0" applyFont="1" applyFill="1" applyBorder="1" applyAlignment="1">
      <alignment vertical="center"/>
    </xf>
    <xf numFmtId="0" fontId="50" fillId="0" borderId="112" xfId="0" applyFont="1" applyBorder="1"/>
    <xf numFmtId="0" fontId="10" fillId="0" borderId="5" xfId="0" applyFont="1" applyFill="1" applyBorder="1"/>
    <xf numFmtId="0" fontId="50" fillId="0" borderId="119" xfId="0" applyFont="1" applyBorder="1"/>
    <xf numFmtId="0" fontId="50" fillId="0" borderId="120" xfId="0" applyFont="1" applyBorder="1"/>
    <xf numFmtId="0" fontId="77" fillId="15" borderId="157" xfId="0" applyFont="1" applyFill="1" applyBorder="1" applyAlignment="1">
      <alignment vertical="center"/>
    </xf>
    <xf numFmtId="0" fontId="77" fillId="15" borderId="121" xfId="0" applyFont="1" applyFill="1" applyBorder="1" applyAlignment="1">
      <alignment vertical="center"/>
    </xf>
    <xf numFmtId="0" fontId="50" fillId="0" borderId="71" xfId="0" applyFont="1" applyBorder="1"/>
    <xf numFmtId="0" fontId="98" fillId="0" borderId="91" xfId="0" applyFont="1" applyBorder="1" applyAlignment="1">
      <alignment vertical="center"/>
    </xf>
    <xf numFmtId="0" fontId="98" fillId="0" borderId="14" xfId="0" applyFont="1" applyBorder="1" applyAlignment="1">
      <alignment vertical="center"/>
    </xf>
    <xf numFmtId="0" fontId="98" fillId="0" borderId="110" xfId="0" applyFont="1" applyBorder="1" applyAlignment="1">
      <alignment vertical="center"/>
    </xf>
    <xf numFmtId="0" fontId="98" fillId="0" borderId="118" xfId="0" applyFont="1" applyBorder="1" applyAlignment="1">
      <alignment vertical="center"/>
    </xf>
    <xf numFmtId="0" fontId="100" fillId="0" borderId="118" xfId="0" applyFont="1" applyBorder="1" applyAlignment="1">
      <alignment vertical="center"/>
    </xf>
    <xf numFmtId="0" fontId="100" fillId="0" borderId="14" xfId="0" applyFont="1" applyBorder="1" applyAlignment="1">
      <alignment vertical="center"/>
    </xf>
    <xf numFmtId="0" fontId="100" fillId="0" borderId="72" xfId="0" applyFont="1" applyBorder="1" applyAlignment="1">
      <alignment vertical="center"/>
    </xf>
    <xf numFmtId="0" fontId="50" fillId="0" borderId="28" xfId="0" applyFont="1" applyBorder="1"/>
    <xf numFmtId="0" fontId="50" fillId="0" borderId="63" xfId="0" applyFont="1" applyBorder="1"/>
    <xf numFmtId="0" fontId="98" fillId="0" borderId="90" xfId="0" applyFont="1" applyBorder="1" applyAlignment="1">
      <alignment vertical="center"/>
    </xf>
    <xf numFmtId="0" fontId="98" fillId="0" borderId="55" xfId="0" applyFont="1" applyBorder="1" applyAlignment="1">
      <alignment vertical="center"/>
    </xf>
    <xf numFmtId="0" fontId="98" fillId="0" borderId="15" xfId="0" applyFont="1" applyBorder="1" applyAlignment="1">
      <alignment vertical="center"/>
    </xf>
    <xf numFmtId="0" fontId="98" fillId="0" borderId="5" xfId="0" applyFont="1" applyBorder="1" applyAlignment="1">
      <alignment vertical="center"/>
    </xf>
    <xf numFmtId="0" fontId="50" fillId="0" borderId="66" xfId="0" applyFont="1" applyBorder="1"/>
    <xf numFmtId="0" fontId="101" fillId="15" borderId="90" xfId="0" applyFont="1" applyFill="1" applyBorder="1" applyAlignment="1"/>
    <xf numFmtId="0" fontId="101" fillId="15" borderId="15" xfId="0" applyFont="1" applyFill="1" applyBorder="1" applyAlignment="1"/>
    <xf numFmtId="0" fontId="98" fillId="0" borderId="90" xfId="0" applyFont="1" applyFill="1" applyBorder="1" applyAlignment="1">
      <alignment vertical="center"/>
    </xf>
    <xf numFmtId="0" fontId="98" fillId="0" borderId="15" xfId="0" applyFont="1" applyFill="1" applyBorder="1" applyAlignment="1">
      <alignment vertical="center"/>
    </xf>
    <xf numFmtId="0" fontId="50" fillId="15" borderId="119" xfId="0" applyFont="1" applyFill="1" applyBorder="1"/>
    <xf numFmtId="0" fontId="98" fillId="0" borderId="34" xfId="0" applyFont="1" applyBorder="1" applyAlignment="1">
      <alignment vertical="center"/>
    </xf>
    <xf numFmtId="0" fontId="98" fillId="0" borderId="5" xfId="0" applyFont="1" applyFill="1" applyBorder="1" applyAlignment="1">
      <alignment vertical="center"/>
    </xf>
    <xf numFmtId="0" fontId="98" fillId="0" borderId="110" xfId="0" applyFont="1" applyFill="1" applyBorder="1" applyAlignment="1">
      <alignment vertical="center"/>
    </xf>
    <xf numFmtId="0" fontId="98" fillId="0" borderId="14" xfId="0" applyFont="1" applyFill="1" applyBorder="1" applyAlignment="1">
      <alignment vertical="center"/>
    </xf>
    <xf numFmtId="0" fontId="98" fillId="0" borderId="156" xfId="0" applyFont="1" applyBorder="1" applyAlignment="1">
      <alignment vertical="center"/>
    </xf>
    <xf numFmtId="0" fontId="98" fillId="0" borderId="75" xfId="0" applyFont="1" applyBorder="1" applyAlignment="1">
      <alignment vertical="center"/>
    </xf>
    <xf numFmtId="0" fontId="98" fillId="0" borderId="79" xfId="0" applyFont="1" applyFill="1" applyBorder="1" applyAlignment="1">
      <alignment vertical="center"/>
    </xf>
    <xf numFmtId="0" fontId="98" fillId="0" borderId="43" xfId="0" applyFont="1" applyFill="1" applyBorder="1" applyAlignment="1">
      <alignment vertical="center"/>
    </xf>
    <xf numFmtId="0" fontId="98" fillId="0" borderId="56" xfId="0" applyFont="1" applyFill="1" applyBorder="1" applyAlignment="1">
      <alignment vertical="center"/>
    </xf>
    <xf numFmtId="0" fontId="98" fillId="15" borderId="43" xfId="0" applyFont="1" applyFill="1" applyBorder="1" applyAlignment="1">
      <alignment vertical="center"/>
    </xf>
    <xf numFmtId="0" fontId="98" fillId="0" borderId="73" xfId="0" applyFont="1" applyFill="1" applyBorder="1" applyAlignment="1">
      <alignment vertical="center"/>
    </xf>
    <xf numFmtId="0" fontId="49" fillId="15" borderId="43" xfId="0" applyFont="1" applyFill="1" applyBorder="1" applyAlignment="1">
      <alignment horizontal="center" vertical="center"/>
    </xf>
    <xf numFmtId="0" fontId="98" fillId="0" borderId="44" xfId="0" applyFont="1" applyFill="1" applyBorder="1" applyAlignment="1">
      <alignment vertical="center"/>
    </xf>
    <xf numFmtId="0" fontId="53" fillId="0" borderId="103" xfId="0" applyFont="1" applyFill="1" applyBorder="1" applyAlignment="1">
      <alignment vertical="center"/>
    </xf>
    <xf numFmtId="0" fontId="53" fillId="0" borderId="31" xfId="0" applyFont="1" applyFill="1" applyBorder="1" applyAlignment="1">
      <alignment vertical="center"/>
    </xf>
    <xf numFmtId="0" fontId="53" fillId="0" borderId="15" xfId="0" applyFont="1" applyFill="1" applyBorder="1" applyAlignment="1">
      <alignment vertical="center"/>
    </xf>
    <xf numFmtId="0" fontId="53" fillId="0" borderId="34" xfId="0" applyFont="1" applyFill="1" applyBorder="1" applyAlignment="1">
      <alignment vertical="center"/>
    </xf>
    <xf numFmtId="0" fontId="35" fillId="0" borderId="84" xfId="0" applyFont="1" applyBorder="1" applyAlignment="1">
      <alignment vertical="center"/>
    </xf>
    <xf numFmtId="0" fontId="49" fillId="8" borderId="65" xfId="0" applyFont="1" applyFill="1" applyBorder="1" applyAlignment="1">
      <alignment horizontal="center" vertical="center"/>
    </xf>
    <xf numFmtId="0" fontId="26" fillId="29" borderId="60" xfId="0" applyFont="1" applyFill="1" applyBorder="1" applyAlignment="1">
      <alignment horizontal="center" vertical="center"/>
    </xf>
    <xf numFmtId="0" fontId="49" fillId="15" borderId="32" xfId="0" applyFont="1" applyFill="1" applyBorder="1" applyAlignment="1">
      <alignment vertical="center"/>
    </xf>
    <xf numFmtId="0" fontId="49" fillId="0" borderId="14" xfId="0" applyFont="1" applyFill="1" applyBorder="1" applyAlignment="1">
      <alignment horizontal="center" vertical="center"/>
    </xf>
    <xf numFmtId="0" fontId="61" fillId="15" borderId="5" xfId="0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vertical="center"/>
    </xf>
    <xf numFmtId="0" fontId="4" fillId="15" borderId="31" xfId="0" applyFont="1" applyFill="1" applyBorder="1" applyAlignment="1">
      <alignment vertical="center"/>
    </xf>
    <xf numFmtId="0" fontId="4" fillId="0" borderId="67" xfId="0" applyFont="1" applyFill="1" applyBorder="1" applyAlignment="1">
      <alignment vertical="center"/>
    </xf>
    <xf numFmtId="0" fontId="61" fillId="15" borderId="108" xfId="0" applyFont="1" applyFill="1" applyBorder="1" applyAlignment="1">
      <alignment vertical="center"/>
    </xf>
    <xf numFmtId="0" fontId="61" fillId="15" borderId="74" xfId="0" applyFont="1" applyFill="1" applyBorder="1" applyAlignment="1">
      <alignment vertical="center"/>
    </xf>
    <xf numFmtId="0" fontId="35" fillId="0" borderId="109" xfId="0" applyFont="1" applyFill="1" applyBorder="1" applyAlignment="1">
      <alignment vertical="center"/>
    </xf>
    <xf numFmtId="0" fontId="35" fillId="0" borderId="64" xfId="0" applyFont="1" applyBorder="1" applyAlignment="1">
      <alignment horizontal="center" vertical="center"/>
    </xf>
    <xf numFmtId="0" fontId="6" fillId="15" borderId="43" xfId="0" applyFont="1" applyFill="1" applyBorder="1" applyAlignment="1">
      <alignment horizontal="center" vertical="center"/>
    </xf>
    <xf numFmtId="0" fontId="35" fillId="0" borderId="44" xfId="0" applyFont="1" applyBorder="1" applyAlignment="1">
      <alignment horizontal="center" vertical="center"/>
    </xf>
    <xf numFmtId="0" fontId="35" fillId="0" borderId="80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13" fillId="14" borderId="67" xfId="0" applyFont="1" applyFill="1" applyBorder="1" applyAlignment="1">
      <alignment horizontal="center" vertical="center"/>
    </xf>
    <xf numFmtId="0" fontId="94" fillId="0" borderId="0" xfId="0" applyFont="1" applyBorder="1"/>
    <xf numFmtId="0" fontId="7" fillId="0" borderId="0" xfId="0" applyFont="1" applyBorder="1" applyAlignment="1">
      <alignment horizontal="center" vertical="center"/>
    </xf>
    <xf numFmtId="0" fontId="102" fillId="17" borderId="5" xfId="0" applyFont="1" applyFill="1" applyBorder="1" applyAlignment="1">
      <alignment horizontal="center" vertical="center" wrapText="1"/>
    </xf>
    <xf numFmtId="0" fontId="7" fillId="0" borderId="60" xfId="0" applyFont="1" applyBorder="1"/>
    <xf numFmtId="0" fontId="8" fillId="0" borderId="5" xfId="0" applyFont="1" applyFill="1" applyBorder="1" applyAlignment="1">
      <alignment vertical="center"/>
    </xf>
    <xf numFmtId="0" fontId="24" fillId="15" borderId="74" xfId="0" applyFont="1" applyFill="1" applyBorder="1" applyAlignment="1">
      <alignment vertical="center"/>
    </xf>
    <xf numFmtId="0" fontId="6" fillId="15" borderId="90" xfId="0" applyFont="1" applyFill="1" applyBorder="1" applyAlignment="1">
      <alignment vertical="center"/>
    </xf>
    <xf numFmtId="0" fontId="39" fillId="0" borderId="84" xfId="0" applyFont="1" applyFill="1" applyBorder="1" applyAlignment="1">
      <alignment vertical="center"/>
    </xf>
    <xf numFmtId="0" fontId="13" fillId="20" borderId="67" xfId="0" applyFont="1" applyFill="1" applyBorder="1" applyAlignment="1">
      <alignment horizontal="center" vertical="center"/>
    </xf>
    <xf numFmtId="0" fontId="7" fillId="0" borderId="75" xfId="0" applyFont="1" applyBorder="1" applyAlignment="1">
      <alignment horizontal="center" vertical="center"/>
    </xf>
    <xf numFmtId="0" fontId="102" fillId="17" borderId="14" xfId="0" applyFont="1" applyFill="1" applyBorder="1" applyAlignment="1">
      <alignment horizontal="center" vertical="center" wrapText="1"/>
    </xf>
    <xf numFmtId="0" fontId="61" fillId="15" borderId="14" xfId="0" applyFont="1" applyFill="1" applyBorder="1" applyAlignment="1">
      <alignment horizontal="center" vertical="center"/>
    </xf>
    <xf numFmtId="0" fontId="35" fillId="0" borderId="106" xfId="0" applyFont="1" applyBorder="1" applyAlignment="1">
      <alignment vertical="center"/>
    </xf>
    <xf numFmtId="0" fontId="4" fillId="18" borderId="43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vertical="center"/>
    </xf>
    <xf numFmtId="0" fontId="6" fillId="18" borderId="74" xfId="0" applyFont="1" applyFill="1" applyBorder="1" applyAlignment="1">
      <alignment vertical="center"/>
    </xf>
    <xf numFmtId="0" fontId="7" fillId="0" borderId="201" xfId="0" applyFont="1" applyBorder="1" applyAlignment="1">
      <alignment horizontal="left" vertical="center"/>
    </xf>
    <xf numFmtId="0" fontId="3" fillId="0" borderId="58" xfId="0" applyFont="1" applyBorder="1"/>
    <xf numFmtId="0" fontId="3" fillId="0" borderId="18" xfId="0" applyFont="1" applyBorder="1"/>
    <xf numFmtId="0" fontId="3" fillId="0" borderId="50" xfId="0" applyFont="1" applyBorder="1"/>
    <xf numFmtId="0" fontId="3" fillId="0" borderId="112" xfId="0" applyFont="1" applyBorder="1"/>
    <xf numFmtId="0" fontId="3" fillId="0" borderId="145" xfId="0" applyFont="1" applyBorder="1"/>
    <xf numFmtId="0" fontId="3" fillId="0" borderId="25" xfId="0" applyFont="1" applyBorder="1"/>
    <xf numFmtId="0" fontId="3" fillId="0" borderId="65" xfId="0" applyFont="1" applyBorder="1"/>
    <xf numFmtId="0" fontId="3" fillId="0" borderId="66" xfId="0" applyFont="1" applyBorder="1"/>
    <xf numFmtId="0" fontId="3" fillId="0" borderId="4" xfId="0" applyFont="1" applyBorder="1"/>
    <xf numFmtId="0" fontId="3" fillId="0" borderId="10" xfId="0" applyFont="1" applyBorder="1"/>
    <xf numFmtId="0" fontId="3" fillId="0" borderId="19" xfId="0" applyFont="1" applyBorder="1"/>
    <xf numFmtId="0" fontId="3" fillId="0" borderId="13" xfId="0" applyFont="1" applyBorder="1"/>
    <xf numFmtId="0" fontId="3" fillId="0" borderId="63" xfId="0" applyFont="1" applyBorder="1"/>
    <xf numFmtId="0" fontId="3" fillId="0" borderId="129" xfId="0" applyFont="1" applyBorder="1"/>
    <xf numFmtId="0" fontId="3" fillId="0" borderId="83" xfId="0" applyFont="1" applyBorder="1"/>
    <xf numFmtId="0" fontId="3" fillId="0" borderId="111" xfId="0" applyFont="1" applyBorder="1"/>
    <xf numFmtId="0" fontId="3" fillId="0" borderId="33" xfId="0" applyFont="1" applyBorder="1"/>
    <xf numFmtId="0" fontId="3" fillId="0" borderId="42" xfId="0" applyFont="1" applyBorder="1"/>
    <xf numFmtId="0" fontId="3" fillId="0" borderId="123" xfId="0" applyFont="1" applyBorder="1"/>
    <xf numFmtId="0" fontId="3" fillId="0" borderId="170" xfId="0" applyFont="1" applyBorder="1"/>
    <xf numFmtId="0" fontId="3" fillId="0" borderId="32" xfId="0" applyFont="1" applyBorder="1"/>
    <xf numFmtId="0" fontId="3" fillId="0" borderId="93" xfId="0" applyFont="1" applyBorder="1"/>
    <xf numFmtId="0" fontId="3" fillId="0" borderId="124" xfId="0" applyFont="1" applyBorder="1"/>
    <xf numFmtId="0" fontId="3" fillId="0" borderId="98" xfId="0" applyFont="1" applyBorder="1"/>
    <xf numFmtId="0" fontId="3" fillId="0" borderId="68" xfId="0" applyFont="1" applyBorder="1"/>
    <xf numFmtId="0" fontId="3" fillId="0" borderId="122" xfId="0" applyFont="1" applyBorder="1"/>
    <xf numFmtId="0" fontId="3" fillId="0" borderId="197" xfId="0" applyFont="1" applyBorder="1"/>
    <xf numFmtId="0" fontId="3" fillId="0" borderId="161" xfId="0" applyFont="1" applyBorder="1"/>
    <xf numFmtId="0" fontId="3" fillId="0" borderId="29" xfId="0" applyFont="1" applyBorder="1"/>
    <xf numFmtId="0" fontId="4" fillId="0" borderId="58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3" fillId="0" borderId="71" xfId="0" applyFont="1" applyBorder="1"/>
    <xf numFmtId="0" fontId="12" fillId="0" borderId="127" xfId="0" applyFont="1" applyBorder="1" applyAlignment="1">
      <alignment vertical="center"/>
    </xf>
    <xf numFmtId="0" fontId="3" fillId="0" borderId="152" xfId="0" applyFont="1" applyBorder="1"/>
    <xf numFmtId="0" fontId="3" fillId="0" borderId="153" xfId="0" applyFont="1" applyBorder="1"/>
    <xf numFmtId="0" fontId="3" fillId="0" borderId="154" xfId="0" applyFont="1" applyBorder="1"/>
    <xf numFmtId="0" fontId="3" fillId="0" borderId="20" xfId="0" applyFont="1" applyBorder="1"/>
    <xf numFmtId="0" fontId="3" fillId="0" borderId="144" xfId="0" applyFont="1" applyBorder="1"/>
    <xf numFmtId="0" fontId="3" fillId="0" borderId="206" xfId="0" applyFont="1" applyBorder="1"/>
    <xf numFmtId="0" fontId="3" fillId="0" borderId="146" xfId="0" applyFont="1" applyBorder="1"/>
    <xf numFmtId="0" fontId="3" fillId="0" borderId="203" xfId="0" applyFont="1" applyBorder="1"/>
    <xf numFmtId="0" fontId="3" fillId="0" borderId="204" xfId="0" applyFont="1" applyBorder="1"/>
    <xf numFmtId="0" fontId="12" fillId="0" borderId="119" xfId="0" applyFont="1" applyBorder="1" applyAlignment="1">
      <alignment vertical="center"/>
    </xf>
    <xf numFmtId="0" fontId="3" fillId="0" borderId="184" xfId="0" applyFont="1" applyBorder="1"/>
    <xf numFmtId="0" fontId="13" fillId="2" borderId="90" xfId="0" applyFont="1" applyFill="1" applyBorder="1" applyAlignment="1">
      <alignment horizontal="center" vertical="center"/>
    </xf>
    <xf numFmtId="0" fontId="6" fillId="15" borderId="109" xfId="0" applyFont="1" applyFill="1" applyBorder="1" applyAlignment="1">
      <alignment vertical="center"/>
    </xf>
    <xf numFmtId="0" fontId="62" fillId="5" borderId="85" xfId="0" applyFont="1" applyFill="1" applyBorder="1" applyAlignment="1">
      <alignment vertical="top"/>
    </xf>
    <xf numFmtId="0" fontId="39" fillId="15" borderId="73" xfId="0" applyFont="1" applyFill="1" applyBorder="1" applyAlignment="1">
      <alignment horizontal="center" vertical="center"/>
    </xf>
    <xf numFmtId="0" fontId="39" fillId="15" borderId="37" xfId="0" applyFont="1" applyFill="1" applyBorder="1" applyAlignment="1">
      <alignment vertical="center"/>
    </xf>
    <xf numFmtId="0" fontId="12" fillId="0" borderId="58" xfId="0" applyFont="1" applyBorder="1" applyAlignment="1">
      <alignment vertical="center"/>
    </xf>
    <xf numFmtId="0" fontId="12" fillId="0" borderId="117" xfId="0" applyFont="1" applyBorder="1" applyAlignment="1">
      <alignment vertical="center"/>
    </xf>
    <xf numFmtId="0" fontId="3" fillId="0" borderId="147" xfId="0" applyFont="1" applyBorder="1"/>
    <xf numFmtId="0" fontId="3" fillId="0" borderId="80" xfId="0" applyFont="1" applyBorder="1"/>
    <xf numFmtId="0" fontId="3" fillId="0" borderId="169" xfId="0" applyFont="1" applyBorder="1"/>
    <xf numFmtId="0" fontId="12" fillId="0" borderId="64" xfId="0" applyFont="1" applyBorder="1" applyAlignment="1">
      <alignment horizontal="left" vertical="center"/>
    </xf>
    <xf numFmtId="0" fontId="12" fillId="0" borderId="79" xfId="0" applyFont="1" applyBorder="1" applyAlignment="1">
      <alignment horizontal="left" vertical="center"/>
    </xf>
    <xf numFmtId="0" fontId="3" fillId="0" borderId="162" xfId="0" applyFont="1" applyBorder="1"/>
    <xf numFmtId="0" fontId="3" fillId="0" borderId="62" xfId="0" applyFont="1" applyBorder="1"/>
    <xf numFmtId="0" fontId="3" fillId="0" borderId="61" xfId="0" applyFont="1" applyBorder="1"/>
    <xf numFmtId="0" fontId="4" fillId="0" borderId="58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6" fillId="15" borderId="110" xfId="0" applyFont="1" applyFill="1" applyBorder="1" applyAlignment="1">
      <alignment vertical="center"/>
    </xf>
    <xf numFmtId="0" fontId="8" fillId="0" borderId="34" xfId="0" applyFont="1" applyFill="1" applyBorder="1" applyAlignment="1">
      <alignment vertical="center"/>
    </xf>
    <xf numFmtId="0" fontId="6" fillId="15" borderId="103" xfId="0" applyFont="1" applyFill="1" applyBorder="1" applyAlignment="1">
      <alignment vertical="center"/>
    </xf>
    <xf numFmtId="0" fontId="12" fillId="0" borderId="91" xfId="0" applyFont="1" applyBorder="1" applyAlignment="1">
      <alignment horizontal="left" vertical="center"/>
    </xf>
    <xf numFmtId="0" fontId="3" fillId="0" borderId="182" xfId="0" applyFont="1" applyBorder="1"/>
    <xf numFmtId="0" fontId="3" fillId="0" borderId="209" xfId="0" applyFont="1" applyBorder="1"/>
    <xf numFmtId="0" fontId="3" fillId="0" borderId="78" xfId="0" applyFont="1" applyBorder="1"/>
    <xf numFmtId="0" fontId="4" fillId="0" borderId="98" xfId="0" applyFont="1" applyBorder="1" applyAlignment="1">
      <alignment horizontal="center"/>
    </xf>
    <xf numFmtId="0" fontId="4" fillId="0" borderId="208" xfId="0" applyFont="1" applyBorder="1" applyAlignment="1">
      <alignment horizontal="center" vertical="center"/>
    </xf>
    <xf numFmtId="0" fontId="3" fillId="0" borderId="210" xfId="0" applyFont="1" applyBorder="1"/>
    <xf numFmtId="0" fontId="4" fillId="0" borderId="66" xfId="0" applyFont="1" applyBorder="1" applyAlignment="1">
      <alignment horizontal="center"/>
    </xf>
    <xf numFmtId="0" fontId="4" fillId="0" borderId="69" xfId="0" applyFont="1" applyBorder="1" applyAlignment="1">
      <alignment horizontal="center"/>
    </xf>
    <xf numFmtId="0" fontId="3" fillId="0" borderId="116" xfId="0" applyFont="1" applyBorder="1"/>
    <xf numFmtId="0" fontId="3" fillId="0" borderId="69" xfId="0" applyFont="1" applyBorder="1"/>
    <xf numFmtId="0" fontId="35" fillId="15" borderId="85" xfId="0" applyFont="1" applyFill="1" applyBorder="1" applyAlignment="1">
      <alignment vertical="center"/>
    </xf>
    <xf numFmtId="0" fontId="75" fillId="15" borderId="60" xfId="0" applyFont="1" applyFill="1" applyBorder="1" applyAlignment="1">
      <alignment vertical="center"/>
    </xf>
    <xf numFmtId="0" fontId="26" fillId="15" borderId="15" xfId="0" applyFont="1" applyFill="1" applyBorder="1" applyAlignment="1"/>
    <xf numFmtId="0" fontId="35" fillId="15" borderId="74" xfId="0" applyFont="1" applyFill="1" applyBorder="1" applyAlignment="1">
      <alignment vertical="center"/>
    </xf>
    <xf numFmtId="0" fontId="3" fillId="0" borderId="143" xfId="0" applyFont="1" applyBorder="1"/>
    <xf numFmtId="0" fontId="35" fillId="15" borderId="109" xfId="0" applyFont="1" applyFill="1" applyBorder="1" applyAlignment="1">
      <alignment vertical="center"/>
    </xf>
    <xf numFmtId="0" fontId="35" fillId="15" borderId="90" xfId="0" applyFont="1" applyFill="1" applyBorder="1" applyAlignment="1">
      <alignment vertical="center"/>
    </xf>
    <xf numFmtId="0" fontId="104" fillId="28" borderId="2" xfId="0" applyFont="1" applyFill="1" applyBorder="1" applyAlignment="1">
      <alignment horizontal="center"/>
    </xf>
    <xf numFmtId="0" fontId="104" fillId="28" borderId="168" xfId="0" applyFont="1" applyFill="1" applyBorder="1" applyAlignment="1">
      <alignment horizontal="center"/>
    </xf>
    <xf numFmtId="0" fontId="105" fillId="15" borderId="108" xfId="0" applyFont="1" applyFill="1" applyBorder="1" applyAlignment="1">
      <alignment vertical="center"/>
    </xf>
    <xf numFmtId="0" fontId="105" fillId="15" borderId="60" xfId="0" applyFont="1" applyFill="1" applyBorder="1" applyAlignment="1">
      <alignment vertical="center"/>
    </xf>
    <xf numFmtId="0" fontId="104" fillId="30" borderId="86" xfId="0" applyFont="1" applyFill="1" applyBorder="1"/>
    <xf numFmtId="0" fontId="104" fillId="30" borderId="60" xfId="0" applyFont="1" applyFill="1" applyBorder="1"/>
    <xf numFmtId="0" fontId="104" fillId="30" borderId="14" xfId="0" applyFont="1" applyFill="1" applyBorder="1"/>
    <xf numFmtId="0" fontId="104" fillId="28" borderId="13" xfId="0" applyFont="1" applyFill="1" applyBorder="1" applyAlignment="1">
      <alignment horizontal="center"/>
    </xf>
    <xf numFmtId="0" fontId="104" fillId="15" borderId="5" xfId="0" applyFont="1" applyFill="1" applyBorder="1" applyAlignment="1">
      <alignment vertical="center"/>
    </xf>
    <xf numFmtId="0" fontId="104" fillId="15" borderId="3" xfId="0" applyFont="1" applyFill="1" applyBorder="1"/>
    <xf numFmtId="0" fontId="108" fillId="2" borderId="64" xfId="0" applyFont="1" applyFill="1" applyBorder="1" applyAlignment="1">
      <alignment horizontal="center" vertical="center"/>
    </xf>
    <xf numFmtId="0" fontId="108" fillId="2" borderId="5" xfId="0" applyFont="1" applyFill="1" applyBorder="1" applyAlignment="1">
      <alignment horizontal="center" vertical="center"/>
    </xf>
    <xf numFmtId="0" fontId="108" fillId="2" borderId="15" xfId="0" applyFont="1" applyFill="1" applyBorder="1" applyAlignment="1">
      <alignment horizontal="center" vertical="center"/>
    </xf>
    <xf numFmtId="0" fontId="108" fillId="2" borderId="67" xfId="0" applyFont="1" applyFill="1" applyBorder="1" applyAlignment="1">
      <alignment horizontal="center" vertical="center"/>
    </xf>
    <xf numFmtId="0" fontId="108" fillId="2" borderId="80" xfId="0" applyFont="1" applyFill="1" applyBorder="1" applyAlignment="1">
      <alignment horizontal="center" vertical="center"/>
    </xf>
    <xf numFmtId="0" fontId="108" fillId="20" borderId="15" xfId="0" applyFont="1" applyFill="1" applyBorder="1" applyAlignment="1">
      <alignment horizontal="center" vertical="center"/>
    </xf>
    <xf numFmtId="0" fontId="108" fillId="2" borderId="55" xfId="0" applyFont="1" applyFill="1" applyBorder="1" applyAlignment="1">
      <alignment horizontal="center" vertical="center"/>
    </xf>
    <xf numFmtId="0" fontId="109" fillId="15" borderId="116" xfId="0" applyFont="1" applyFill="1" applyBorder="1" applyAlignment="1">
      <alignment vertical="center"/>
    </xf>
    <xf numFmtId="0" fontId="109" fillId="15" borderId="74" xfId="0" applyFont="1" applyFill="1" applyBorder="1" applyAlignment="1">
      <alignment vertical="center"/>
    </xf>
    <xf numFmtId="0" fontId="108" fillId="15" borderId="74" xfId="0" applyFont="1" applyFill="1" applyBorder="1" applyAlignment="1">
      <alignment vertical="center"/>
    </xf>
    <xf numFmtId="0" fontId="108" fillId="15" borderId="108" xfId="0" applyFont="1" applyFill="1" applyBorder="1" applyAlignment="1">
      <alignment vertical="center"/>
    </xf>
    <xf numFmtId="0" fontId="110" fillId="15" borderId="108" xfId="0" applyFont="1" applyFill="1" applyBorder="1" applyAlignment="1">
      <alignment vertical="center"/>
    </xf>
    <xf numFmtId="0" fontId="106" fillId="15" borderId="60" xfId="0" applyFont="1" applyFill="1" applyBorder="1" applyAlignment="1">
      <alignment vertical="center"/>
    </xf>
    <xf numFmtId="0" fontId="108" fillId="15" borderId="60" xfId="0" applyFont="1" applyFill="1" applyBorder="1" applyAlignment="1">
      <alignment vertical="center"/>
    </xf>
    <xf numFmtId="0" fontId="108" fillId="15" borderId="61" xfId="0" applyFont="1" applyFill="1" applyBorder="1" applyAlignment="1">
      <alignment vertical="center"/>
    </xf>
    <xf numFmtId="0" fontId="111" fillId="15" borderId="80" xfId="0" applyFont="1" applyFill="1" applyBorder="1" applyAlignment="1">
      <alignment vertical="center"/>
    </xf>
    <xf numFmtId="0" fontId="111" fillId="15" borderId="15" xfId="0" applyFont="1" applyFill="1" applyBorder="1" applyAlignment="1">
      <alignment vertical="center"/>
    </xf>
    <xf numFmtId="0" fontId="111" fillId="15" borderId="64" xfId="0" applyFont="1" applyFill="1" applyBorder="1" applyAlignment="1">
      <alignment vertical="center"/>
    </xf>
    <xf numFmtId="0" fontId="111" fillId="15" borderId="5" xfId="0" applyFont="1" applyFill="1" applyBorder="1" applyAlignment="1">
      <alignment vertical="center"/>
    </xf>
    <xf numFmtId="0" fontId="112" fillId="15" borderId="5" xfId="0" applyFont="1" applyFill="1" applyBorder="1" applyAlignment="1">
      <alignment vertical="center"/>
    </xf>
    <xf numFmtId="0" fontId="113" fillId="0" borderId="0" xfId="0" applyFont="1" applyBorder="1"/>
    <xf numFmtId="0" fontId="109" fillId="15" borderId="5" xfId="0" applyFont="1" applyFill="1" applyBorder="1" applyAlignment="1">
      <alignment vertical="center"/>
    </xf>
    <xf numFmtId="0" fontId="109" fillId="15" borderId="62" xfId="0" applyFont="1" applyFill="1" applyBorder="1" applyAlignment="1">
      <alignment vertical="center"/>
    </xf>
    <xf numFmtId="0" fontId="111" fillId="15" borderId="32" xfId="0" applyFont="1" applyFill="1" applyBorder="1" applyAlignment="1">
      <alignment vertical="center"/>
    </xf>
    <xf numFmtId="0" fontId="113" fillId="0" borderId="5" xfId="0" applyFont="1" applyBorder="1"/>
    <xf numFmtId="0" fontId="109" fillId="15" borderId="64" xfId="0" applyFont="1" applyFill="1" applyBorder="1" applyAlignment="1">
      <alignment vertical="center"/>
    </xf>
    <xf numFmtId="0" fontId="111" fillId="15" borderId="62" xfId="0" applyFont="1" applyFill="1" applyBorder="1" applyAlignment="1">
      <alignment vertical="center"/>
    </xf>
    <xf numFmtId="0" fontId="113" fillId="0" borderId="64" xfId="0" applyFont="1" applyBorder="1"/>
    <xf numFmtId="0" fontId="111" fillId="15" borderId="34" xfId="0" applyFont="1" applyFill="1" applyBorder="1" applyAlignment="1">
      <alignment vertical="center"/>
    </xf>
    <xf numFmtId="0" fontId="106" fillId="15" borderId="5" xfId="0" applyFont="1" applyFill="1" applyBorder="1" applyAlignment="1">
      <alignment vertical="center"/>
    </xf>
    <xf numFmtId="0" fontId="106" fillId="10" borderId="32" xfId="0" applyFont="1" applyFill="1" applyBorder="1" applyAlignment="1">
      <alignment vertical="center"/>
    </xf>
    <xf numFmtId="0" fontId="111" fillId="15" borderId="14" xfId="0" applyFont="1" applyFill="1" applyBorder="1" applyAlignment="1">
      <alignment vertical="center"/>
    </xf>
    <xf numFmtId="0" fontId="106" fillId="25" borderId="14" xfId="0" applyFont="1" applyFill="1" applyBorder="1" applyAlignment="1">
      <alignment vertical="center"/>
    </xf>
    <xf numFmtId="0" fontId="106" fillId="25" borderId="5" xfId="0" applyFont="1" applyFill="1" applyBorder="1" applyAlignment="1">
      <alignment vertical="center"/>
    </xf>
    <xf numFmtId="0" fontId="109" fillId="15" borderId="34" xfId="0" applyFont="1" applyFill="1" applyBorder="1" applyAlignment="1">
      <alignment vertical="center"/>
    </xf>
    <xf numFmtId="0" fontId="109" fillId="35" borderId="5" xfId="0" applyFont="1" applyFill="1" applyBorder="1" applyAlignment="1">
      <alignment vertical="center"/>
    </xf>
    <xf numFmtId="0" fontId="106" fillId="15" borderId="5" xfId="0" applyFont="1" applyFill="1" applyBorder="1" applyAlignment="1">
      <alignment vertical="center" wrapText="1"/>
    </xf>
    <xf numFmtId="0" fontId="111" fillId="15" borderId="72" xfId="0" applyFont="1" applyFill="1" applyBorder="1" applyAlignment="1">
      <alignment vertical="center"/>
    </xf>
    <xf numFmtId="0" fontId="106" fillId="15" borderId="15" xfId="0" applyFont="1" applyFill="1" applyBorder="1" applyAlignment="1">
      <alignment vertical="center"/>
    </xf>
    <xf numFmtId="0" fontId="111" fillId="15" borderId="91" xfId="0" applyFont="1" applyFill="1" applyBorder="1" applyAlignment="1">
      <alignment vertical="center"/>
    </xf>
    <xf numFmtId="0" fontId="106" fillId="15" borderId="118" xfId="0" applyFont="1" applyFill="1" applyBorder="1" applyAlignment="1">
      <alignment vertical="center"/>
    </xf>
    <xf numFmtId="0" fontId="111" fillId="15" borderId="110" xfId="0" applyFont="1" applyFill="1" applyBorder="1" applyAlignment="1">
      <alignment vertical="center"/>
    </xf>
    <xf numFmtId="0" fontId="111" fillId="15" borderId="31" xfId="0" applyFont="1" applyFill="1" applyBorder="1" applyAlignment="1">
      <alignment vertical="center"/>
    </xf>
    <xf numFmtId="0" fontId="111" fillId="15" borderId="75" xfId="0" applyFont="1" applyFill="1" applyBorder="1" applyAlignment="1">
      <alignment vertical="center"/>
    </xf>
    <xf numFmtId="0" fontId="109" fillId="15" borderId="14" xfId="0" applyFont="1" applyFill="1" applyBorder="1" applyAlignment="1">
      <alignment vertical="center"/>
    </xf>
    <xf numFmtId="0" fontId="106" fillId="15" borderId="14" xfId="0" applyFont="1" applyFill="1" applyBorder="1" applyAlignment="1">
      <alignment vertical="center"/>
    </xf>
    <xf numFmtId="0" fontId="111" fillId="15" borderId="118" xfId="0" applyFont="1" applyFill="1" applyBorder="1" applyAlignment="1">
      <alignment vertical="center"/>
    </xf>
    <xf numFmtId="0" fontId="109" fillId="15" borderId="118" xfId="0" applyFont="1" applyFill="1" applyBorder="1" applyAlignment="1">
      <alignment vertical="center"/>
    </xf>
    <xf numFmtId="0" fontId="109" fillId="15" borderId="75" xfId="0" applyFont="1" applyFill="1" applyBorder="1" applyAlignment="1">
      <alignment vertical="center"/>
    </xf>
    <xf numFmtId="0" fontId="111" fillId="15" borderId="102" xfId="0" applyFont="1" applyFill="1" applyBorder="1" applyAlignment="1">
      <alignment vertical="center"/>
    </xf>
    <xf numFmtId="0" fontId="111" fillId="15" borderId="103" xfId="0" applyFont="1" applyFill="1" applyBorder="1" applyAlignment="1">
      <alignment vertical="center"/>
    </xf>
    <xf numFmtId="0" fontId="106" fillId="15" borderId="31" xfId="0" applyFont="1" applyFill="1" applyBorder="1" applyAlignment="1">
      <alignment vertical="center"/>
    </xf>
    <xf numFmtId="0" fontId="106" fillId="0" borderId="169" xfId="0" applyFont="1" applyBorder="1"/>
    <xf numFmtId="0" fontId="104" fillId="0" borderId="171" xfId="0" applyFont="1" applyBorder="1"/>
    <xf numFmtId="0" fontId="104" fillId="0" borderId="58" xfId="0" applyFont="1" applyBorder="1"/>
    <xf numFmtId="0" fontId="114" fillId="15" borderId="84" xfId="0" applyFont="1" applyFill="1" applyBorder="1" applyAlignment="1">
      <alignment vertical="center"/>
    </xf>
    <xf numFmtId="0" fontId="114" fillId="15" borderId="85" xfId="0" applyFont="1" applyFill="1" applyBorder="1" applyAlignment="1">
      <alignment vertical="center"/>
    </xf>
    <xf numFmtId="0" fontId="114" fillId="15" borderId="60" xfId="0" applyFont="1" applyFill="1" applyBorder="1" applyAlignment="1">
      <alignment vertical="center"/>
    </xf>
    <xf numFmtId="0" fontId="104" fillId="29" borderId="60" xfId="0" applyFont="1" applyFill="1" applyBorder="1" applyAlignment="1">
      <alignment horizontal="center"/>
    </xf>
    <xf numFmtId="0" fontId="114" fillId="15" borderId="61" xfId="0" applyFont="1" applyFill="1" applyBorder="1" applyAlignment="1">
      <alignment vertical="center"/>
    </xf>
    <xf numFmtId="0" fontId="106" fillId="0" borderId="93" xfId="0" applyFont="1" applyBorder="1"/>
    <xf numFmtId="0" fontId="104" fillId="0" borderId="19" xfId="0" applyFont="1" applyBorder="1"/>
    <xf numFmtId="0" fontId="104" fillId="0" borderId="63" xfId="0" applyFont="1" applyBorder="1"/>
    <xf numFmtId="0" fontId="114" fillId="15" borderId="106" xfId="0" applyFont="1" applyFill="1" applyBorder="1" applyAlignment="1">
      <alignment vertical="center"/>
    </xf>
    <xf numFmtId="0" fontId="114" fillId="15" borderId="31" xfId="0" applyFont="1" applyFill="1" applyBorder="1" applyAlignment="1">
      <alignment vertical="center"/>
    </xf>
    <xf numFmtId="0" fontId="114" fillId="15" borderId="67" xfId="0" applyFont="1" applyFill="1" applyBorder="1" applyAlignment="1">
      <alignment vertical="center"/>
    </xf>
    <xf numFmtId="0" fontId="106" fillId="0" borderId="68" xfId="0" applyFont="1" applyBorder="1"/>
    <xf numFmtId="0" fontId="104" fillId="0" borderId="42" xfId="0" applyFont="1" applyBorder="1"/>
    <xf numFmtId="0" fontId="114" fillId="15" borderId="79" xfId="0" applyFont="1" applyFill="1" applyBorder="1" applyAlignment="1">
      <alignment horizontal="center" vertical="center"/>
    </xf>
    <xf numFmtId="0" fontId="114" fillId="15" borderId="43" xfId="0" applyFont="1" applyFill="1" applyBorder="1" applyAlignment="1">
      <alignment horizontal="center" vertical="center"/>
    </xf>
    <xf numFmtId="0" fontId="114" fillId="15" borderId="44" xfId="0" applyFont="1" applyFill="1" applyBorder="1" applyAlignment="1">
      <alignment horizontal="center" vertical="center"/>
    </xf>
    <xf numFmtId="0" fontId="104" fillId="0" borderId="71" xfId="0" applyFont="1" applyBorder="1"/>
    <xf numFmtId="0" fontId="114" fillId="15" borderId="75" xfId="0" applyFont="1" applyFill="1" applyBorder="1" applyAlignment="1">
      <alignment vertical="center"/>
    </xf>
    <xf numFmtId="0" fontId="114" fillId="19" borderId="14" xfId="0" applyFont="1" applyFill="1" applyBorder="1" applyAlignment="1">
      <alignment vertical="center"/>
    </xf>
    <xf numFmtId="0" fontId="104" fillId="19" borderId="14" xfId="0" applyFont="1" applyFill="1" applyBorder="1" applyAlignment="1">
      <alignment horizontal="center" vertical="center"/>
    </xf>
    <xf numFmtId="0" fontId="114" fillId="15" borderId="103" xfId="0" applyFont="1" applyFill="1" applyBorder="1" applyAlignment="1">
      <alignment vertical="center"/>
    </xf>
    <xf numFmtId="0" fontId="114" fillId="15" borderId="118" xfId="0" applyFont="1" applyFill="1" applyBorder="1" applyAlignment="1">
      <alignment horizontal="center" vertical="center"/>
    </xf>
    <xf numFmtId="0" fontId="114" fillId="15" borderId="14" xfId="0" applyFont="1" applyFill="1" applyBorder="1" applyAlignment="1">
      <alignment vertical="center"/>
    </xf>
    <xf numFmtId="0" fontId="114" fillId="15" borderId="72" xfId="0" applyFont="1" applyFill="1" applyBorder="1" applyAlignment="1">
      <alignment vertical="center"/>
    </xf>
    <xf numFmtId="0" fontId="104" fillId="0" borderId="50" xfId="0" applyFont="1" applyBorder="1"/>
    <xf numFmtId="0" fontId="114" fillId="15" borderId="64" xfId="0" applyFont="1" applyFill="1" applyBorder="1" applyAlignment="1">
      <alignment vertical="center"/>
    </xf>
    <xf numFmtId="0" fontId="114" fillId="15" borderId="5" xfId="0" applyFont="1" applyFill="1" applyBorder="1" applyAlignment="1">
      <alignment vertical="center"/>
    </xf>
    <xf numFmtId="0" fontId="114" fillId="15" borderId="102" xfId="0" applyFont="1" applyFill="1" applyBorder="1" applyAlignment="1">
      <alignment vertical="center"/>
    </xf>
    <xf numFmtId="0" fontId="104" fillId="0" borderId="98" xfId="0" applyFont="1" applyBorder="1"/>
    <xf numFmtId="0" fontId="113" fillId="15" borderId="70" xfId="0" applyFont="1" applyFill="1" applyBorder="1" applyAlignment="1">
      <alignment horizontal="center"/>
    </xf>
    <xf numFmtId="0" fontId="114" fillId="15" borderId="114" xfId="0" applyFont="1" applyFill="1" applyBorder="1" applyAlignment="1">
      <alignment vertical="center"/>
    </xf>
    <xf numFmtId="0" fontId="104" fillId="0" borderId="65" xfId="0" applyFont="1" applyBorder="1"/>
    <xf numFmtId="0" fontId="114" fillId="15" borderId="96" xfId="0" applyFont="1" applyFill="1" applyBorder="1" applyAlignment="1">
      <alignment vertical="center"/>
    </xf>
    <xf numFmtId="0" fontId="104" fillId="0" borderId="117" xfId="0" applyFont="1" applyBorder="1"/>
    <xf numFmtId="0" fontId="109" fillId="35" borderId="15" xfId="0" applyFont="1" applyFill="1" applyBorder="1" applyAlignment="1">
      <alignment vertical="center"/>
    </xf>
    <xf numFmtId="0" fontId="114" fillId="15" borderId="78" xfId="0" applyFont="1" applyFill="1" applyBorder="1" applyAlignment="1">
      <alignment vertical="center"/>
    </xf>
    <xf numFmtId="0" fontId="104" fillId="0" borderId="18" xfId="0" applyFont="1" applyBorder="1"/>
    <xf numFmtId="0" fontId="114" fillId="15" borderId="15" xfId="0" applyFont="1" applyFill="1" applyBorder="1" applyAlignment="1">
      <alignment vertical="center"/>
    </xf>
    <xf numFmtId="0" fontId="114" fillId="15" borderId="62" xfId="0" applyFont="1" applyFill="1" applyBorder="1" applyAlignment="1">
      <alignment vertical="center"/>
    </xf>
    <xf numFmtId="0" fontId="114" fillId="15" borderId="80" xfId="0" applyFont="1" applyFill="1" applyBorder="1" applyAlignment="1">
      <alignment vertical="center"/>
    </xf>
    <xf numFmtId="0" fontId="104" fillId="0" borderId="166" xfId="0" applyFont="1" applyBorder="1"/>
    <xf numFmtId="0" fontId="104" fillId="0" borderId="76" xfId="0" applyFont="1" applyBorder="1"/>
    <xf numFmtId="0" fontId="114" fillId="15" borderId="135" xfId="0" applyFont="1" applyFill="1" applyBorder="1" applyAlignment="1">
      <alignment vertical="center"/>
    </xf>
    <xf numFmtId="0" fontId="114" fillId="15" borderId="155" xfId="0" applyFont="1" applyFill="1" applyBorder="1" applyAlignment="1">
      <alignment vertical="center"/>
    </xf>
    <xf numFmtId="0" fontId="104" fillId="0" borderId="24" xfId="0" applyFont="1" applyBorder="1"/>
    <xf numFmtId="0" fontId="104" fillId="0" borderId="25" xfId="0" applyFont="1" applyBorder="1"/>
    <xf numFmtId="0" fontId="114" fillId="15" borderId="91" xfId="0" applyFont="1" applyFill="1" applyBorder="1" applyAlignment="1">
      <alignment vertical="center"/>
    </xf>
    <xf numFmtId="0" fontId="104" fillId="0" borderId="0" xfId="0" applyFont="1" applyBorder="1"/>
    <xf numFmtId="0" fontId="104" fillId="14" borderId="5" xfId="0" applyFont="1" applyFill="1" applyBorder="1" applyAlignment="1">
      <alignment horizontal="center" vertical="center"/>
    </xf>
    <xf numFmtId="0" fontId="105" fillId="5" borderId="5" xfId="0" applyFont="1" applyFill="1" applyBorder="1" applyAlignment="1">
      <alignment vertical="center"/>
    </xf>
    <xf numFmtId="0" fontId="104" fillId="14" borderId="62" xfId="0" applyFont="1" applyFill="1" applyBorder="1" applyAlignment="1">
      <alignment horizontal="center" vertical="center"/>
    </xf>
    <xf numFmtId="0" fontId="113" fillId="0" borderId="32" xfId="0" applyFont="1" applyBorder="1" applyAlignment="1">
      <alignment vertical="center"/>
    </xf>
    <xf numFmtId="0" fontId="104" fillId="29" borderId="34" xfId="0" applyFont="1" applyFill="1" applyBorder="1" applyAlignment="1">
      <alignment horizontal="center" vertical="center"/>
    </xf>
    <xf numFmtId="0" fontId="104" fillId="0" borderId="22" xfId="0" applyFont="1" applyBorder="1"/>
    <xf numFmtId="0" fontId="114" fillId="15" borderId="32" xfId="0" applyFont="1" applyFill="1" applyBorder="1" applyAlignment="1">
      <alignment vertical="center"/>
    </xf>
    <xf numFmtId="0" fontId="113" fillId="0" borderId="62" xfId="0" applyFont="1" applyBorder="1"/>
    <xf numFmtId="0" fontId="104" fillId="60" borderId="14" xfId="0" applyFont="1" applyFill="1" applyBorder="1" applyAlignment="1">
      <alignment horizontal="center" vertical="center"/>
    </xf>
    <xf numFmtId="0" fontId="104" fillId="29" borderId="15" xfId="0" applyFont="1" applyFill="1" applyBorder="1" applyAlignment="1">
      <alignment horizontal="center" vertical="center"/>
    </xf>
    <xf numFmtId="0" fontId="104" fillId="15" borderId="15" xfId="0" applyFont="1" applyFill="1" applyBorder="1" applyAlignment="1">
      <alignment vertical="center"/>
    </xf>
    <xf numFmtId="0" fontId="104" fillId="29" borderId="90" xfId="0" applyFont="1" applyFill="1" applyBorder="1" applyAlignment="1">
      <alignment horizontal="center" vertical="center"/>
    </xf>
    <xf numFmtId="0" fontId="114" fillId="15" borderId="55" xfId="0" applyFont="1" applyFill="1" applyBorder="1" applyAlignment="1">
      <alignment vertical="center"/>
    </xf>
    <xf numFmtId="0" fontId="114" fillId="15" borderId="34" xfId="0" applyFont="1" applyFill="1" applyBorder="1" applyAlignment="1">
      <alignment vertical="center"/>
    </xf>
    <xf numFmtId="0" fontId="104" fillId="15" borderId="14" xfId="0" applyFont="1" applyFill="1" applyBorder="1" applyAlignment="1">
      <alignment vertical="center"/>
    </xf>
    <xf numFmtId="0" fontId="104" fillId="15" borderId="118" xfId="0" applyFont="1" applyFill="1" applyBorder="1" applyAlignment="1">
      <alignment vertical="center"/>
    </xf>
    <xf numFmtId="0" fontId="104" fillId="15" borderId="110" xfId="0" applyFont="1" applyFill="1" applyBorder="1" applyAlignment="1">
      <alignment vertical="center"/>
    </xf>
    <xf numFmtId="0" fontId="114" fillId="15" borderId="110" xfId="0" applyFont="1" applyFill="1" applyBorder="1" applyAlignment="1">
      <alignment vertical="center"/>
    </xf>
    <xf numFmtId="0" fontId="113" fillId="0" borderId="130" xfId="0" applyFont="1" applyBorder="1"/>
    <xf numFmtId="0" fontId="104" fillId="0" borderId="64" xfId="0" applyFont="1" applyFill="1" applyBorder="1" applyAlignment="1">
      <alignment horizontal="center" vertical="center"/>
    </xf>
    <xf numFmtId="0" fontId="104" fillId="0" borderId="5" xfId="0" applyFont="1" applyFill="1" applyBorder="1" applyAlignment="1">
      <alignment horizontal="center" vertical="center"/>
    </xf>
    <xf numFmtId="0" fontId="114" fillId="0" borderId="5" xfId="0" applyFont="1" applyFill="1" applyBorder="1" applyAlignment="1">
      <alignment vertical="center"/>
    </xf>
    <xf numFmtId="0" fontId="114" fillId="0" borderId="32" xfId="0" applyFont="1" applyFill="1" applyBorder="1" applyAlignment="1">
      <alignment vertical="center"/>
    </xf>
    <xf numFmtId="0" fontId="104" fillId="60" borderId="5" xfId="0" applyFont="1" applyFill="1" applyBorder="1" applyAlignment="1">
      <alignment horizontal="center" vertical="center"/>
    </xf>
    <xf numFmtId="0" fontId="104" fillId="0" borderId="5" xfId="0" applyFont="1" applyFill="1" applyBorder="1" applyAlignment="1">
      <alignment vertical="center"/>
    </xf>
    <xf numFmtId="0" fontId="104" fillId="0" borderId="62" xfId="0" applyFont="1" applyFill="1" applyBorder="1" applyAlignment="1">
      <alignment vertical="center"/>
    </xf>
    <xf numFmtId="0" fontId="104" fillId="15" borderId="5" xfId="0" applyFont="1" applyFill="1" applyBorder="1" applyAlignment="1">
      <alignment horizontal="center" vertical="center"/>
    </xf>
    <xf numFmtId="0" fontId="104" fillId="15" borderId="32" xfId="0" applyFont="1" applyFill="1" applyBorder="1" applyAlignment="1">
      <alignment horizontal="center" vertical="center"/>
    </xf>
    <xf numFmtId="0" fontId="104" fillId="0" borderId="110" xfId="0" applyFont="1" applyFill="1" applyBorder="1" applyAlignment="1">
      <alignment vertical="center"/>
    </xf>
    <xf numFmtId="0" fontId="104" fillId="0" borderId="14" xfId="0" applyFont="1" applyFill="1" applyBorder="1" applyAlignment="1">
      <alignment vertical="center"/>
    </xf>
    <xf numFmtId="0" fontId="104" fillId="0" borderId="72" xfId="0" applyFont="1" applyFill="1" applyBorder="1" applyAlignment="1">
      <alignment vertical="center"/>
    </xf>
    <xf numFmtId="0" fontId="104" fillId="0" borderId="26" xfId="0" applyFont="1" applyBorder="1"/>
    <xf numFmtId="0" fontId="104" fillId="15" borderId="31" xfId="0" applyFont="1" applyFill="1" applyBorder="1" applyAlignment="1">
      <alignment vertical="center"/>
    </xf>
    <xf numFmtId="0" fontId="104" fillId="0" borderId="181" xfId="0" applyFont="1" applyBorder="1"/>
    <xf numFmtId="0" fontId="104" fillId="15" borderId="116" xfId="0" applyFont="1" applyFill="1" applyBorder="1" applyAlignment="1">
      <alignment vertical="center"/>
    </xf>
    <xf numFmtId="0" fontId="114" fillId="15" borderId="74" xfId="0" applyFont="1" applyFill="1" applyBorder="1" applyAlignment="1">
      <alignment vertical="center"/>
    </xf>
    <xf numFmtId="0" fontId="114" fillId="15" borderId="108" xfId="0" applyFont="1" applyFill="1" applyBorder="1" applyAlignment="1">
      <alignment vertical="center"/>
    </xf>
    <xf numFmtId="0" fontId="104" fillId="0" borderId="183" xfId="0" applyFont="1" applyBorder="1"/>
    <xf numFmtId="0" fontId="114" fillId="15" borderId="43" xfId="0" applyFont="1" applyFill="1" applyBorder="1" applyAlignment="1">
      <alignment vertical="center"/>
    </xf>
    <xf numFmtId="0" fontId="114" fillId="15" borderId="44" xfId="0" applyFont="1" applyFill="1" applyBorder="1" applyAlignment="1">
      <alignment vertical="center"/>
    </xf>
    <xf numFmtId="0" fontId="104" fillId="0" borderId="112" xfId="0" applyFont="1" applyBorder="1"/>
    <xf numFmtId="0" fontId="104" fillId="25" borderId="5" xfId="0" applyFont="1" applyFill="1" applyBorder="1" applyAlignment="1">
      <alignment horizontal="center" vertical="center"/>
    </xf>
    <xf numFmtId="0" fontId="104" fillId="0" borderId="68" xfId="0" applyFont="1" applyBorder="1"/>
    <xf numFmtId="0" fontId="114" fillId="15" borderId="79" xfId="0" applyFont="1" applyFill="1" applyBorder="1" applyAlignment="1">
      <alignment vertical="center"/>
    </xf>
    <xf numFmtId="0" fontId="104" fillId="0" borderId="176" xfId="0" applyFont="1" applyBorder="1"/>
    <xf numFmtId="0" fontId="104" fillId="0" borderId="28" xfId="0" applyFont="1" applyBorder="1"/>
    <xf numFmtId="0" fontId="104" fillId="25" borderId="14" xfId="0" applyFont="1" applyFill="1" applyBorder="1" applyAlignment="1">
      <alignment vertical="center"/>
    </xf>
    <xf numFmtId="0" fontId="104" fillId="25" borderId="14" xfId="0" applyFont="1" applyFill="1" applyBorder="1" applyAlignment="1">
      <alignment horizontal="center" vertical="center"/>
    </xf>
    <xf numFmtId="0" fontId="104" fillId="0" borderId="161" xfId="0" applyFont="1" applyBorder="1"/>
    <xf numFmtId="0" fontId="104" fillId="0" borderId="151" xfId="0" applyFont="1" applyBorder="1"/>
    <xf numFmtId="0" fontId="104" fillId="0" borderId="199" xfId="0" applyFont="1" applyBorder="1"/>
    <xf numFmtId="0" fontId="104" fillId="28" borderId="121" xfId="0" applyFont="1" applyFill="1" applyBorder="1" applyAlignment="1">
      <alignment horizontal="center"/>
    </xf>
    <xf numFmtId="0" fontId="114" fillId="15" borderId="90" xfId="0" applyFont="1" applyFill="1" applyBorder="1" applyAlignment="1">
      <alignment vertical="center"/>
    </xf>
    <xf numFmtId="0" fontId="104" fillId="28" borderId="7" xfId="0" applyFont="1" applyFill="1" applyBorder="1" applyAlignment="1">
      <alignment horizontal="center"/>
    </xf>
    <xf numFmtId="0" fontId="22" fillId="25" borderId="15" xfId="0" applyFont="1" applyFill="1" applyBorder="1" applyAlignment="1">
      <alignment vertical="center"/>
    </xf>
    <xf numFmtId="0" fontId="4" fillId="7" borderId="14" xfId="0" applyFont="1" applyFill="1" applyBorder="1" applyAlignment="1">
      <alignment horizontal="center" vertical="center"/>
    </xf>
    <xf numFmtId="0" fontId="39" fillId="63" borderId="117" xfId="0" applyFont="1" applyFill="1" applyBorder="1" applyAlignment="1">
      <alignment horizontal="center" vertical="center"/>
    </xf>
    <xf numFmtId="0" fontId="39" fillId="63" borderId="0" xfId="0" applyFont="1" applyFill="1" applyBorder="1" applyAlignment="1">
      <alignment horizontal="center" vertical="center"/>
    </xf>
    <xf numFmtId="0" fontId="39" fillId="63" borderId="130" xfId="0" applyFont="1" applyFill="1" applyBorder="1" applyAlignment="1">
      <alignment horizontal="center" vertical="center"/>
    </xf>
    <xf numFmtId="0" fontId="7" fillId="19" borderId="34" xfId="0" applyFont="1" applyFill="1" applyBorder="1" applyAlignment="1">
      <alignment vertical="center"/>
    </xf>
    <xf numFmtId="0" fontId="7" fillId="19" borderId="5" xfId="0" applyFont="1" applyFill="1" applyBorder="1" applyAlignment="1">
      <alignment vertical="center"/>
    </xf>
    <xf numFmtId="0" fontId="61" fillId="15" borderId="55" xfId="0" applyFont="1" applyFill="1" applyBorder="1" applyAlignment="1">
      <alignment vertical="center"/>
    </xf>
    <xf numFmtId="0" fontId="61" fillId="15" borderId="15" xfId="0" applyFont="1" applyFill="1" applyBorder="1" applyAlignment="1">
      <alignment vertical="center"/>
    </xf>
    <xf numFmtId="0" fontId="3" fillId="0" borderId="119" xfId="0" applyFont="1" applyBorder="1"/>
    <xf numFmtId="0" fontId="3" fillId="0" borderId="120" xfId="0" applyFont="1" applyBorder="1"/>
    <xf numFmtId="0" fontId="116" fillId="25" borderId="5" xfId="0" applyFont="1" applyFill="1" applyBorder="1" applyAlignment="1">
      <alignment vertical="center"/>
    </xf>
    <xf numFmtId="0" fontId="39" fillId="15" borderId="116" xfId="0" applyFont="1" applyFill="1" applyBorder="1" applyAlignment="1">
      <alignment vertical="center"/>
    </xf>
    <xf numFmtId="0" fontId="39" fillId="15" borderId="108" xfId="0" applyFont="1" applyFill="1" applyBorder="1" applyAlignment="1">
      <alignment vertical="center"/>
    </xf>
    <xf numFmtId="0" fontId="93" fillId="15" borderId="15" xfId="0" applyFont="1" applyFill="1" applyBorder="1" applyAlignment="1">
      <alignment horizontal="center" vertical="center"/>
    </xf>
    <xf numFmtId="0" fontId="104" fillId="19" borderId="5" xfId="0" applyFont="1" applyFill="1" applyBorder="1" applyAlignment="1">
      <alignment vertical="center"/>
    </xf>
    <xf numFmtId="0" fontId="104" fillId="19" borderId="62" xfId="0" applyFont="1" applyFill="1" applyBorder="1" applyAlignment="1">
      <alignment vertical="center"/>
    </xf>
    <xf numFmtId="0" fontId="104" fillId="19" borderId="35" xfId="0" applyFont="1" applyFill="1" applyBorder="1" applyAlignment="1">
      <alignment horizontal="center" vertical="center"/>
    </xf>
    <xf numFmtId="0" fontId="104" fillId="19" borderId="5" xfId="0" applyFont="1" applyFill="1" applyBorder="1" applyAlignment="1">
      <alignment horizontal="center" vertical="center"/>
    </xf>
    <xf numFmtId="0" fontId="114" fillId="15" borderId="15" xfId="0" applyFont="1" applyFill="1" applyBorder="1" applyAlignment="1">
      <alignment horizontal="center" vertical="center"/>
    </xf>
    <xf numFmtId="0" fontId="75" fillId="15" borderId="31" xfId="0" applyFont="1" applyFill="1" applyBorder="1" applyAlignment="1">
      <alignment vertical="center"/>
    </xf>
    <xf numFmtId="0" fontId="26" fillId="15" borderId="34" xfId="0" applyFont="1" applyFill="1" applyBorder="1" applyAlignment="1"/>
    <xf numFmtId="0" fontId="26" fillId="15" borderId="80" xfId="0" applyFont="1" applyFill="1" applyBorder="1" applyAlignment="1"/>
    <xf numFmtId="0" fontId="26" fillId="15" borderId="78" xfId="0" applyFont="1" applyFill="1" applyBorder="1" applyAlignment="1"/>
    <xf numFmtId="0" fontId="35" fillId="15" borderId="37" xfId="0" applyFont="1" applyFill="1" applyBorder="1" applyAlignment="1">
      <alignment vertical="center"/>
    </xf>
    <xf numFmtId="0" fontId="35" fillId="15" borderId="55" xfId="0" applyFont="1" applyFill="1" applyBorder="1" applyAlignment="1">
      <alignment vertical="center"/>
    </xf>
    <xf numFmtId="0" fontId="3" fillId="0" borderId="35" xfId="0" applyFont="1" applyBorder="1"/>
    <xf numFmtId="0" fontId="35" fillId="15" borderId="103" xfId="0" applyFont="1" applyFill="1" applyBorder="1" applyAlignment="1">
      <alignment vertical="center"/>
    </xf>
    <xf numFmtId="0" fontId="118" fillId="56" borderId="32" xfId="0" applyFont="1" applyFill="1" applyBorder="1" applyAlignment="1">
      <alignment horizontal="center" vertical="center"/>
    </xf>
    <xf numFmtId="0" fontId="35" fillId="15" borderId="75" xfId="0" applyFont="1" applyFill="1" applyBorder="1" applyAlignment="1">
      <alignment vertical="center"/>
    </xf>
    <xf numFmtId="0" fontId="64" fillId="42" borderId="32" xfId="0" applyFont="1" applyFill="1" applyBorder="1" applyAlignment="1">
      <alignment vertical="center"/>
    </xf>
    <xf numFmtId="0" fontId="7" fillId="56" borderId="14" xfId="0" applyFont="1" applyFill="1" applyBorder="1" applyAlignment="1">
      <alignment horizontal="center" vertical="center"/>
    </xf>
    <xf numFmtId="0" fontId="119" fillId="0" borderId="5" xfId="0" applyFont="1" applyFill="1" applyBorder="1" applyAlignment="1">
      <alignment vertical="center"/>
    </xf>
    <xf numFmtId="0" fontId="119" fillId="0" borderId="15" xfId="0" applyFont="1" applyFill="1" applyBorder="1" applyAlignment="1">
      <alignment vertical="center"/>
    </xf>
    <xf numFmtId="0" fontId="117" fillId="0" borderId="5" xfId="0" applyFont="1" applyFill="1" applyBorder="1" applyAlignment="1">
      <alignment vertical="center"/>
    </xf>
    <xf numFmtId="0" fontId="53" fillId="0" borderId="32" xfId="0" applyFont="1" applyFill="1" applyBorder="1" applyAlignment="1">
      <alignment vertical="center"/>
    </xf>
    <xf numFmtId="0" fontId="39" fillId="15" borderId="33" xfId="0" applyFont="1" applyFill="1" applyBorder="1" applyAlignment="1">
      <alignment vertical="center"/>
    </xf>
    <xf numFmtId="0" fontId="53" fillId="15" borderId="33" xfId="0" applyFont="1" applyFill="1" applyBorder="1" applyAlignment="1">
      <alignment vertical="center"/>
    </xf>
    <xf numFmtId="0" fontId="4" fillId="42" borderId="74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wrapText="1"/>
    </xf>
    <xf numFmtId="0" fontId="3" fillId="0" borderId="187" xfId="0" applyFont="1" applyBorder="1"/>
    <xf numFmtId="0" fontId="35" fillId="0" borderId="85" xfId="0" applyFont="1" applyBorder="1" applyAlignment="1">
      <alignment vertical="center"/>
    </xf>
    <xf numFmtId="0" fontId="116" fillId="25" borderId="60" xfId="0" applyFont="1" applyFill="1" applyBorder="1" applyAlignment="1">
      <alignment vertical="center"/>
    </xf>
    <xf numFmtId="0" fontId="3" fillId="0" borderId="64" xfId="0" applyFont="1" applyBorder="1"/>
    <xf numFmtId="0" fontId="0" fillId="0" borderId="79" xfId="0" applyBorder="1"/>
    <xf numFmtId="0" fontId="3" fillId="0" borderId="37" xfId="0" applyFont="1" applyBorder="1"/>
    <xf numFmtId="0" fontId="4" fillId="18" borderId="15" xfId="0" applyFont="1" applyFill="1" applyBorder="1" applyAlignment="1">
      <alignment vertical="center"/>
    </xf>
    <xf numFmtId="0" fontId="69" fillId="56" borderId="5" xfId="0" applyFont="1" applyFill="1" applyBorder="1" applyAlignment="1">
      <alignment horizontal="center" vertical="center"/>
    </xf>
    <xf numFmtId="0" fontId="0" fillId="0" borderId="64" xfId="0" applyBorder="1"/>
    <xf numFmtId="0" fontId="3" fillId="0" borderId="159" xfId="0" applyFont="1" applyBorder="1"/>
    <xf numFmtId="0" fontId="0" fillId="0" borderId="65" xfId="0" applyBorder="1"/>
    <xf numFmtId="0" fontId="66" fillId="15" borderId="60" xfId="0" applyFont="1" applyFill="1" applyBorder="1" applyAlignment="1">
      <alignment vertical="center"/>
    </xf>
    <xf numFmtId="0" fontId="66" fillId="15" borderId="61" xfId="0" applyFont="1" applyFill="1" applyBorder="1" applyAlignment="1">
      <alignment vertical="center"/>
    </xf>
    <xf numFmtId="0" fontId="7" fillId="19" borderId="64" xfId="0" applyFont="1" applyFill="1" applyBorder="1" applyAlignment="1">
      <alignment vertical="center"/>
    </xf>
    <xf numFmtId="0" fontId="0" fillId="0" borderId="57" xfId="0" applyBorder="1"/>
    <xf numFmtId="0" fontId="3" fillId="0" borderId="0" xfId="0" applyFont="1" applyBorder="1"/>
    <xf numFmtId="0" fontId="3" fillId="0" borderId="84" xfId="0" applyFont="1" applyBorder="1"/>
    <xf numFmtId="0" fontId="26" fillId="15" borderId="67" xfId="0" applyFont="1" applyFill="1" applyBorder="1" applyAlignment="1">
      <alignment vertical="center"/>
    </xf>
    <xf numFmtId="0" fontId="22" fillId="25" borderId="60" xfId="0" applyFont="1" applyFill="1" applyBorder="1" applyAlignment="1">
      <alignment vertical="center"/>
    </xf>
    <xf numFmtId="0" fontId="0" fillId="0" borderId="119" xfId="0" applyBorder="1"/>
    <xf numFmtId="0" fontId="7" fillId="0" borderId="93" xfId="0" applyFont="1" applyBorder="1"/>
    <xf numFmtId="0" fontId="81" fillId="15" borderId="14" xfId="0" applyFont="1" applyFill="1" applyBorder="1" applyAlignment="1">
      <alignment horizontal="center" vertical="center"/>
    </xf>
    <xf numFmtId="0" fontId="81" fillId="15" borderId="5" xfId="0" applyFont="1" applyFill="1" applyBorder="1" applyAlignment="1">
      <alignment vertical="center"/>
    </xf>
    <xf numFmtId="0" fontId="35" fillId="53" borderId="5" xfId="0" applyFont="1" applyFill="1" applyBorder="1" applyAlignment="1">
      <alignment vertical="center"/>
    </xf>
    <xf numFmtId="0" fontId="0" fillId="53" borderId="62" xfId="0" applyFill="1" applyBorder="1" applyAlignment="1"/>
    <xf numFmtId="0" fontId="81" fillId="15" borderId="43" xfId="0" applyFont="1" applyFill="1" applyBorder="1" applyAlignment="1">
      <alignment horizontal="center" vertical="center"/>
    </xf>
    <xf numFmtId="0" fontId="81" fillId="15" borderId="15" xfId="0" applyFont="1" applyFill="1" applyBorder="1" applyAlignment="1">
      <alignment vertical="center"/>
    </xf>
    <xf numFmtId="0" fontId="81" fillId="0" borderId="5" xfId="0" applyFont="1" applyBorder="1" applyAlignment="1">
      <alignment horizontal="center" vertical="center"/>
    </xf>
    <xf numFmtId="0" fontId="81" fillId="0" borderId="62" xfId="0" applyFont="1" applyBorder="1" applyAlignment="1">
      <alignment horizontal="center" vertical="center"/>
    </xf>
    <xf numFmtId="0" fontId="81" fillId="0" borderId="14" xfId="0" applyFont="1" applyBorder="1" applyAlignment="1">
      <alignment vertical="center"/>
    </xf>
    <xf numFmtId="0" fontId="39" fillId="15" borderId="159" xfId="0" applyFont="1" applyFill="1" applyBorder="1" applyAlignment="1">
      <alignment vertical="center"/>
    </xf>
    <xf numFmtId="0" fontId="26" fillId="29" borderId="35" xfId="0" applyFont="1" applyFill="1" applyBorder="1" applyAlignment="1">
      <alignment horizontal="center" vertical="center"/>
    </xf>
    <xf numFmtId="0" fontId="7" fillId="19" borderId="5" xfId="0" applyFont="1" applyFill="1" applyBorder="1" applyAlignment="1">
      <alignment horizontal="center" vertical="center"/>
    </xf>
    <xf numFmtId="0" fontId="0" fillId="19" borderId="5" xfId="0" applyFill="1" applyBorder="1"/>
    <xf numFmtId="0" fontId="6" fillId="15" borderId="67" xfId="0" applyFont="1" applyFill="1" applyBorder="1" applyAlignment="1">
      <alignment horizontal="center" vertical="center"/>
    </xf>
    <xf numFmtId="0" fontId="4" fillId="18" borderId="14" xfId="0" applyFont="1" applyFill="1" applyBorder="1" applyAlignment="1">
      <alignment horizontal="center" vertical="center"/>
    </xf>
    <xf numFmtId="0" fontId="6" fillId="19" borderId="5" xfId="0" applyFont="1" applyFill="1" applyBorder="1" applyAlignment="1">
      <alignment horizontal="center" vertical="center"/>
    </xf>
    <xf numFmtId="0" fontId="3" fillId="0" borderId="55" xfId="0" applyFont="1" applyBorder="1"/>
    <xf numFmtId="0" fontId="0" fillId="19" borderId="14" xfId="0" applyFill="1" applyBorder="1"/>
    <xf numFmtId="0" fontId="7" fillId="19" borderId="14" xfId="0" applyFont="1" applyFill="1" applyBorder="1" applyAlignment="1">
      <alignment horizontal="center" vertical="center"/>
    </xf>
    <xf numFmtId="0" fontId="3" fillId="0" borderId="117" xfId="0" applyFont="1" applyBorder="1"/>
    <xf numFmtId="0" fontId="3" fillId="0" borderId="166" xfId="0" applyFont="1" applyBorder="1"/>
    <xf numFmtId="0" fontId="3" fillId="0" borderId="156" xfId="0" applyFont="1" applyBorder="1"/>
    <xf numFmtId="0" fontId="81" fillId="15" borderId="15" xfId="0" applyFont="1" applyFill="1" applyBorder="1" applyAlignment="1">
      <alignment horizontal="center" vertical="center"/>
    </xf>
    <xf numFmtId="0" fontId="81" fillId="19" borderId="5" xfId="0" applyFont="1" applyFill="1" applyBorder="1" applyAlignment="1">
      <alignment horizontal="center" vertical="center"/>
    </xf>
    <xf numFmtId="0" fontId="81" fillId="15" borderId="31" xfId="0" applyFont="1" applyFill="1" applyBorder="1" applyAlignment="1">
      <alignment horizontal="center" vertical="center"/>
    </xf>
    <xf numFmtId="0" fontId="6" fillId="19" borderId="62" xfId="0" applyFont="1" applyFill="1" applyBorder="1" applyAlignment="1">
      <alignment horizontal="center" vertical="center"/>
    </xf>
    <xf numFmtId="0" fontId="64" fillId="42" borderId="84" xfId="0" applyFont="1" applyFill="1" applyBorder="1" applyAlignment="1">
      <alignment vertical="center"/>
    </xf>
    <xf numFmtId="0" fontId="3" fillId="0" borderId="185" xfId="0" applyFont="1" applyBorder="1"/>
    <xf numFmtId="0" fontId="4" fillId="0" borderId="50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8" fillId="19" borderId="5" xfId="0" applyFont="1" applyFill="1" applyBorder="1" applyAlignment="1">
      <alignment vertical="center"/>
    </xf>
    <xf numFmtId="0" fontId="6" fillId="19" borderId="15" xfId="0" applyFont="1" applyFill="1" applyBorder="1" applyAlignment="1">
      <alignment horizontal="center" vertical="center"/>
    </xf>
    <xf numFmtId="0" fontId="124" fillId="15" borderId="5" xfId="0" applyFont="1" applyFill="1" applyBorder="1" applyAlignment="1">
      <alignment horizontal="center" vertical="center"/>
    </xf>
    <xf numFmtId="0" fontId="124" fillId="15" borderId="60" xfId="0" applyFont="1" applyFill="1" applyBorder="1" applyAlignment="1">
      <alignment horizontal="center" vertical="center"/>
    </xf>
    <xf numFmtId="0" fontId="35" fillId="0" borderId="118" xfId="0" applyFont="1" applyBorder="1" applyAlignment="1">
      <alignment horizontal="center" vertical="center"/>
    </xf>
    <xf numFmtId="0" fontId="81" fillId="15" borderId="60" xfId="0" applyFont="1" applyFill="1" applyBorder="1" applyAlignment="1">
      <alignment horizontal="center" vertical="center"/>
    </xf>
    <xf numFmtId="0" fontId="35" fillId="15" borderId="14" xfId="0" applyFont="1" applyFill="1" applyBorder="1" applyAlignment="1">
      <alignment horizontal="center" vertical="center"/>
    </xf>
    <xf numFmtId="0" fontId="81" fillId="0" borderId="15" xfId="0" applyFont="1" applyBorder="1" applyAlignment="1">
      <alignment horizontal="center" vertical="center"/>
    </xf>
    <xf numFmtId="0" fontId="81" fillId="0" borderId="14" xfId="0" applyFont="1" applyBorder="1" applyAlignment="1">
      <alignment horizontal="center" vertical="center"/>
    </xf>
    <xf numFmtId="0" fontId="4" fillId="19" borderId="5" xfId="0" applyFont="1" applyFill="1" applyBorder="1" applyAlignment="1">
      <alignment vertical="center"/>
    </xf>
    <xf numFmtId="0" fontId="39" fillId="15" borderId="55" xfId="0" applyFont="1" applyFill="1" applyBorder="1" applyAlignment="1">
      <alignment horizontal="center" vertical="center"/>
    </xf>
    <xf numFmtId="0" fontId="39" fillId="19" borderId="96" xfId="0" applyFont="1" applyFill="1" applyBorder="1" applyAlignment="1">
      <alignment horizontal="center" vertical="center"/>
    </xf>
    <xf numFmtId="0" fontId="4" fillId="19" borderId="34" xfId="0" applyFont="1" applyFill="1" applyBorder="1" applyAlignment="1">
      <alignment vertical="center"/>
    </xf>
    <xf numFmtId="0" fontId="4" fillId="19" borderId="31" xfId="0" applyFont="1" applyFill="1" applyBorder="1" applyAlignment="1">
      <alignment horizontal="center" vertical="center"/>
    </xf>
    <xf numFmtId="0" fontId="4" fillId="0" borderId="96" xfId="0" applyFont="1" applyFill="1" applyBorder="1" applyAlignment="1">
      <alignment horizontal="center" vertical="center"/>
    </xf>
    <xf numFmtId="0" fontId="7" fillId="12" borderId="34" xfId="0" applyFont="1" applyFill="1" applyBorder="1" applyAlignment="1">
      <alignment horizontal="center" vertical="center"/>
    </xf>
    <xf numFmtId="0" fontId="26" fillId="15" borderId="75" xfId="0" applyFont="1" applyFill="1" applyBorder="1" applyAlignment="1"/>
    <xf numFmtId="0" fontId="81" fillId="0" borderId="60" xfId="0" applyFont="1" applyFill="1" applyBorder="1" applyAlignment="1">
      <alignment horizontal="center" vertical="center"/>
    </xf>
    <xf numFmtId="0" fontId="81" fillId="0" borderId="43" xfId="0" applyFont="1" applyFill="1" applyBorder="1" applyAlignment="1">
      <alignment horizontal="center" vertical="center"/>
    </xf>
    <xf numFmtId="0" fontId="81" fillId="0" borderId="15" xfId="0" applyFont="1" applyFill="1" applyBorder="1" applyAlignment="1">
      <alignment horizontal="center" vertical="center"/>
    </xf>
    <xf numFmtId="0" fontId="81" fillId="0" borderId="78" xfId="0" applyFont="1" applyFill="1" applyBorder="1" applyAlignment="1">
      <alignment horizontal="center" vertical="center"/>
    </xf>
    <xf numFmtId="0" fontId="12" fillId="0" borderId="32" xfId="0" applyFont="1" applyBorder="1" applyAlignment="1">
      <alignment vertical="center"/>
    </xf>
    <xf numFmtId="0" fontId="6" fillId="0" borderId="103" xfId="0" applyFont="1" applyBorder="1" applyAlignment="1">
      <alignment vertical="center"/>
    </xf>
    <xf numFmtId="0" fontId="81" fillId="0" borderId="31" xfId="0" applyFont="1" applyFill="1" applyBorder="1" applyAlignment="1">
      <alignment horizontal="center" vertical="center"/>
    </xf>
    <xf numFmtId="0" fontId="0" fillId="0" borderId="37" xfId="0" applyBorder="1"/>
    <xf numFmtId="0" fontId="119" fillId="0" borderId="64" xfId="0" applyFont="1" applyFill="1" applyBorder="1" applyAlignment="1">
      <alignment vertical="center"/>
    </xf>
    <xf numFmtId="0" fontId="119" fillId="0" borderId="80" xfId="0" applyFont="1" applyFill="1" applyBorder="1" applyAlignment="1">
      <alignment vertical="center"/>
    </xf>
    <xf numFmtId="0" fontId="4" fillId="56" borderId="91" xfId="0" applyFont="1" applyFill="1" applyBorder="1" applyAlignment="1">
      <alignment horizontal="center" vertical="center"/>
    </xf>
    <xf numFmtId="0" fontId="0" fillId="0" borderId="35" xfId="0" applyBorder="1"/>
    <xf numFmtId="0" fontId="81" fillId="0" borderId="34" xfId="0" applyFont="1" applyFill="1" applyBorder="1" applyAlignment="1">
      <alignment horizontal="center" vertical="center"/>
    </xf>
    <xf numFmtId="0" fontId="81" fillId="0" borderId="90" xfId="0" applyFont="1" applyFill="1" applyBorder="1" applyAlignment="1">
      <alignment horizontal="center" vertical="center"/>
    </xf>
    <xf numFmtId="0" fontId="12" fillId="0" borderId="55" xfId="0" applyFont="1" applyBorder="1" applyAlignment="1">
      <alignment vertical="center"/>
    </xf>
    <xf numFmtId="0" fontId="4" fillId="67" borderId="15" xfId="0" applyFont="1" applyFill="1" applyBorder="1" applyAlignment="1">
      <alignment horizontal="center" vertical="center"/>
    </xf>
    <xf numFmtId="0" fontId="7" fillId="0" borderId="156" xfId="0" applyFont="1" applyFill="1" applyBorder="1" applyAlignment="1">
      <alignment horizontal="center" vertical="center"/>
    </xf>
    <xf numFmtId="0" fontId="116" fillId="0" borderId="65" xfId="0" applyFont="1" applyFill="1" applyBorder="1" applyAlignment="1">
      <alignment horizontal="center" vertical="center"/>
    </xf>
    <xf numFmtId="0" fontId="116" fillId="0" borderId="34" xfId="0" applyFont="1" applyFill="1" applyBorder="1" applyAlignment="1">
      <alignment horizontal="center" vertical="center"/>
    </xf>
    <xf numFmtId="0" fontId="116" fillId="0" borderId="32" xfId="0" applyFont="1" applyFill="1" applyBorder="1" applyAlignment="1">
      <alignment horizontal="center" vertical="center"/>
    </xf>
    <xf numFmtId="0" fontId="116" fillId="0" borderId="33" xfId="0" applyFont="1" applyFill="1" applyBorder="1" applyAlignment="1">
      <alignment horizontal="center" vertical="center"/>
    </xf>
    <xf numFmtId="0" fontId="116" fillId="0" borderId="55" xfId="0" applyFont="1" applyFill="1" applyBorder="1" applyAlignment="1">
      <alignment horizontal="center" vertical="center"/>
    </xf>
    <xf numFmtId="0" fontId="116" fillId="0" borderId="37" xfId="0" applyFont="1" applyFill="1" applyBorder="1" applyAlignment="1">
      <alignment horizontal="center" vertical="center"/>
    </xf>
    <xf numFmtId="0" fontId="116" fillId="0" borderId="90" xfId="0" applyFont="1" applyFill="1" applyBorder="1" applyAlignment="1">
      <alignment horizontal="center" vertical="center"/>
    </xf>
    <xf numFmtId="0" fontId="81" fillId="0" borderId="14" xfId="0" applyFont="1" applyFill="1" applyBorder="1" applyAlignment="1">
      <alignment horizontal="center" vertical="center"/>
    </xf>
    <xf numFmtId="0" fontId="6" fillId="0" borderId="34" xfId="0" applyFont="1" applyBorder="1" applyAlignment="1">
      <alignment vertical="center"/>
    </xf>
    <xf numFmtId="0" fontId="0" fillId="15" borderId="15" xfId="0" applyFill="1" applyBorder="1" applyAlignment="1"/>
    <xf numFmtId="0" fontId="4" fillId="67" borderId="62" xfId="0" applyFont="1" applyFill="1" applyBorder="1" applyAlignment="1">
      <alignment horizontal="center" vertical="center"/>
    </xf>
    <xf numFmtId="0" fontId="6" fillId="15" borderId="67" xfId="0" applyFont="1" applyFill="1" applyBorder="1" applyAlignment="1">
      <alignment vertical="center"/>
    </xf>
    <xf numFmtId="0" fontId="13" fillId="6" borderId="129" xfId="0" applyFont="1" applyFill="1" applyBorder="1" applyAlignment="1">
      <alignment vertical="center"/>
    </xf>
    <xf numFmtId="0" fontId="3" fillId="56" borderId="14" xfId="0" applyFont="1" applyFill="1" applyBorder="1" applyAlignment="1">
      <alignment horizontal="center" vertical="center"/>
    </xf>
    <xf numFmtId="0" fontId="123" fillId="67" borderId="5" xfId="0" applyFont="1" applyFill="1" applyBorder="1" applyAlignment="1">
      <alignment horizontal="center"/>
    </xf>
    <xf numFmtId="0" fontId="18" fillId="19" borderId="32" xfId="0" applyFont="1" applyFill="1" applyBorder="1" applyAlignment="1"/>
    <xf numFmtId="0" fontId="8" fillId="19" borderId="34" xfId="0" applyFont="1" applyFill="1" applyBorder="1" applyAlignment="1">
      <alignment vertical="center"/>
    </xf>
    <xf numFmtId="0" fontId="123" fillId="67" borderId="34" xfId="0" applyFont="1" applyFill="1" applyBorder="1" applyAlignment="1">
      <alignment horizontal="center"/>
    </xf>
    <xf numFmtId="0" fontId="123" fillId="67" borderId="14" xfId="0" applyFont="1" applyFill="1" applyBorder="1" applyAlignment="1">
      <alignment horizontal="center"/>
    </xf>
    <xf numFmtId="0" fontId="4" fillId="68" borderId="84" xfId="0" applyFont="1" applyFill="1" applyBorder="1" applyAlignment="1">
      <alignment vertical="center"/>
    </xf>
    <xf numFmtId="0" fontId="4" fillId="19" borderId="85" xfId="0" applyFont="1" applyFill="1" applyBorder="1" applyAlignment="1">
      <alignment vertical="center"/>
    </xf>
    <xf numFmtId="0" fontId="6" fillId="15" borderId="55" xfId="0" applyFont="1" applyFill="1" applyBorder="1" applyAlignment="1">
      <alignment vertical="center"/>
    </xf>
    <xf numFmtId="0" fontId="4" fillId="0" borderId="90" xfId="0" applyFont="1" applyFill="1" applyBorder="1" applyAlignment="1">
      <alignment vertical="center"/>
    </xf>
    <xf numFmtId="0" fontId="12" fillId="0" borderId="13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19" fillId="53" borderId="5" xfId="0" applyFont="1" applyFill="1" applyBorder="1" applyAlignment="1">
      <alignment vertical="center"/>
    </xf>
    <xf numFmtId="0" fontId="6" fillId="53" borderId="5" xfId="0" applyFont="1" applyFill="1" applyBorder="1" applyAlignment="1">
      <alignment vertical="center"/>
    </xf>
    <xf numFmtId="0" fontId="6" fillId="53" borderId="62" xfId="0" applyFont="1" applyFill="1" applyBorder="1" applyAlignment="1">
      <alignment vertical="center"/>
    </xf>
    <xf numFmtId="0" fontId="6" fillId="11" borderId="34" xfId="0" applyFont="1" applyFill="1" applyBorder="1" applyAlignment="1">
      <alignment horizontal="center" vertical="center"/>
    </xf>
    <xf numFmtId="0" fontId="61" fillId="15" borderId="60" xfId="0" applyFont="1" applyFill="1" applyBorder="1" applyAlignment="1">
      <alignment horizontal="center" vertical="center"/>
    </xf>
    <xf numFmtId="0" fontId="35" fillId="0" borderId="61" xfId="0" applyFont="1" applyBorder="1" applyAlignment="1">
      <alignment horizontal="center" vertical="center"/>
    </xf>
    <xf numFmtId="0" fontId="35" fillId="0" borderId="80" xfId="0" applyFont="1" applyBorder="1" applyAlignment="1">
      <alignment horizontal="center" vertical="center"/>
    </xf>
    <xf numFmtId="0" fontId="7" fillId="19" borderId="64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35" fillId="0" borderId="79" xfId="0" applyFont="1" applyBorder="1" applyAlignment="1">
      <alignment horizontal="center" vertical="center"/>
    </xf>
    <xf numFmtId="0" fontId="3" fillId="0" borderId="57" xfId="0" applyFont="1" applyBorder="1"/>
    <xf numFmtId="0" fontId="81" fillId="0" borderId="31" xfId="0" applyFont="1" applyBorder="1" applyAlignment="1">
      <alignment horizontal="center" vertical="center"/>
    </xf>
    <xf numFmtId="0" fontId="35" fillId="15" borderId="31" xfId="0" applyFont="1" applyFill="1" applyBorder="1" applyAlignment="1">
      <alignment horizontal="center" vertical="center"/>
    </xf>
    <xf numFmtId="0" fontId="7" fillId="7" borderId="72" xfId="0" applyFont="1" applyFill="1" applyBorder="1" applyAlignment="1">
      <alignment horizontal="center" vertical="center"/>
    </xf>
    <xf numFmtId="0" fontId="6" fillId="5" borderId="64" xfId="0" applyFont="1" applyFill="1" applyBorder="1" applyAlignment="1">
      <alignment vertical="center"/>
    </xf>
    <xf numFmtId="0" fontId="81" fillId="0" borderId="62" xfId="0" applyFont="1" applyFill="1" applyBorder="1" applyAlignment="1">
      <alignment horizontal="center" vertical="center"/>
    </xf>
    <xf numFmtId="0" fontId="81" fillId="0" borderId="64" xfId="0" applyFont="1" applyFill="1" applyBorder="1" applyAlignment="1">
      <alignment horizontal="center" vertical="center"/>
    </xf>
    <xf numFmtId="0" fontId="6" fillId="19" borderId="64" xfId="0" applyFont="1" applyFill="1" applyBorder="1" applyAlignment="1">
      <alignment horizontal="center" vertical="center"/>
    </xf>
    <xf numFmtId="0" fontId="6" fillId="19" borderId="80" xfId="0" applyFont="1" applyFill="1" applyBorder="1" applyAlignment="1">
      <alignment horizontal="center" vertical="center"/>
    </xf>
    <xf numFmtId="0" fontId="81" fillId="0" borderId="159" xfId="0" applyFont="1" applyFill="1" applyBorder="1" applyAlignment="1">
      <alignment horizontal="center" vertical="center"/>
    </xf>
    <xf numFmtId="0" fontId="8" fillId="0" borderId="65" xfId="0" applyFont="1" applyFill="1" applyBorder="1" applyAlignment="1">
      <alignment vertical="center"/>
    </xf>
    <xf numFmtId="0" fontId="81" fillId="0" borderId="135" xfId="0" applyFont="1" applyFill="1" applyBorder="1" applyAlignment="1">
      <alignment horizontal="center" vertical="center"/>
    </xf>
    <xf numFmtId="0" fontId="6" fillId="0" borderId="96" xfId="0" applyFont="1" applyFill="1" applyBorder="1" applyAlignment="1">
      <alignment vertical="center"/>
    </xf>
    <xf numFmtId="0" fontId="81" fillId="0" borderId="157" xfId="0" applyFont="1" applyFill="1" applyBorder="1" applyAlignment="1">
      <alignment horizontal="center" vertical="center"/>
    </xf>
    <xf numFmtId="0" fontId="119" fillId="0" borderId="14" xfId="0" applyFont="1" applyFill="1" applyBorder="1" applyAlignment="1">
      <alignment vertical="center"/>
    </xf>
    <xf numFmtId="0" fontId="103" fillId="0" borderId="35" xfId="0" applyFont="1" applyBorder="1"/>
    <xf numFmtId="0" fontId="103" fillId="0" borderId="33" xfId="0" applyFont="1" applyBorder="1"/>
    <xf numFmtId="0" fontId="0" fillId="19" borderId="91" xfId="0" applyFill="1" applyBorder="1"/>
    <xf numFmtId="0" fontId="0" fillId="19" borderId="79" xfId="0" applyFill="1" applyBorder="1"/>
    <xf numFmtId="0" fontId="0" fillId="19" borderId="43" xfId="0" applyFill="1" applyBorder="1"/>
    <xf numFmtId="0" fontId="7" fillId="19" borderId="43" xfId="0" applyFont="1" applyFill="1" applyBorder="1" applyAlignment="1">
      <alignment horizontal="center" vertical="center"/>
    </xf>
    <xf numFmtId="0" fontId="12" fillId="0" borderId="33" xfId="0" applyFont="1" applyBorder="1" applyAlignment="1">
      <alignment vertical="center"/>
    </xf>
    <xf numFmtId="0" fontId="6" fillId="0" borderId="157" xfId="0" applyFont="1" applyFill="1" applyBorder="1" applyAlignment="1">
      <alignment vertical="center"/>
    </xf>
    <xf numFmtId="0" fontId="6" fillId="0" borderId="155" xfId="0" applyFont="1" applyFill="1" applyBorder="1" applyAlignment="1">
      <alignment vertical="center"/>
    </xf>
    <xf numFmtId="0" fontId="93" fillId="23" borderId="5" xfId="0" applyFont="1" applyFill="1" applyBorder="1" applyAlignment="1">
      <alignment vertical="center"/>
    </xf>
    <xf numFmtId="0" fontId="35" fillId="15" borderId="84" xfId="0" applyFont="1" applyFill="1" applyBorder="1" applyAlignment="1">
      <alignment vertical="center"/>
    </xf>
    <xf numFmtId="0" fontId="126" fillId="23" borderId="14" xfId="0" applyFont="1" applyFill="1" applyBorder="1" applyAlignment="1">
      <alignment vertical="center"/>
    </xf>
    <xf numFmtId="0" fontId="93" fillId="41" borderId="5" xfId="0" applyFont="1" applyFill="1" applyBorder="1" applyAlignment="1">
      <alignment vertical="center"/>
    </xf>
    <xf numFmtId="0" fontId="0" fillId="19" borderId="15" xfId="0" applyFill="1" applyBorder="1"/>
    <xf numFmtId="0" fontId="7" fillId="19" borderId="15" xfId="0" applyFont="1" applyFill="1" applyBorder="1" applyAlignment="1">
      <alignment horizontal="center" vertical="center"/>
    </xf>
    <xf numFmtId="0" fontId="4" fillId="19" borderId="15" xfId="0" applyFont="1" applyFill="1" applyBorder="1" applyAlignment="1">
      <alignment horizontal="center" vertical="center"/>
    </xf>
    <xf numFmtId="0" fontId="7" fillId="19" borderId="118" xfId="0" applyFont="1" applyFill="1" applyBorder="1" applyAlignment="1">
      <alignment horizontal="center" vertical="center"/>
    </xf>
    <xf numFmtId="0" fontId="4" fillId="19" borderId="15" xfId="0" applyFont="1" applyFill="1" applyBorder="1" applyAlignment="1">
      <alignment vertical="center"/>
    </xf>
    <xf numFmtId="0" fontId="4" fillId="19" borderId="55" xfId="0" applyFont="1" applyFill="1" applyBorder="1" applyAlignment="1">
      <alignment vertical="center"/>
    </xf>
    <xf numFmtId="0" fontId="4" fillId="19" borderId="90" xfId="0" applyFont="1" applyFill="1" applyBorder="1" applyAlignment="1">
      <alignment vertical="center"/>
    </xf>
    <xf numFmtId="0" fontId="93" fillId="43" borderId="50" xfId="0" applyFont="1" applyFill="1" applyBorder="1" applyAlignment="1">
      <alignment vertical="center"/>
    </xf>
    <xf numFmtId="0" fontId="93" fillId="5" borderId="5" xfId="0" applyFont="1" applyFill="1" applyBorder="1" applyAlignment="1">
      <alignment vertical="center" wrapText="1"/>
    </xf>
    <xf numFmtId="0" fontId="39" fillId="15" borderId="90" xfId="0" applyFont="1" applyFill="1" applyBorder="1" applyAlignment="1">
      <alignment horizontal="center" vertical="center"/>
    </xf>
    <xf numFmtId="0" fontId="39" fillId="15" borderId="15" xfId="0" applyFont="1" applyFill="1" applyBorder="1" applyAlignment="1">
      <alignment horizontal="center" vertical="center"/>
    </xf>
    <xf numFmtId="0" fontId="3" fillId="0" borderId="79" xfId="0" applyFont="1" applyBorder="1"/>
    <xf numFmtId="0" fontId="13" fillId="74" borderId="67" xfId="0" applyFont="1" applyFill="1" applyBorder="1" applyAlignment="1">
      <alignment horizontal="center" vertical="center"/>
    </xf>
    <xf numFmtId="0" fontId="49" fillId="15" borderId="14" xfId="0" applyFont="1" applyFill="1" applyBorder="1" applyAlignment="1">
      <alignment vertical="center" wrapText="1"/>
    </xf>
    <xf numFmtId="0" fontId="3" fillId="0" borderId="5" xfId="0" applyFont="1" applyBorder="1"/>
    <xf numFmtId="0" fontId="3" fillId="0" borderId="43" xfId="0" applyFont="1" applyBorder="1"/>
    <xf numFmtId="0" fontId="93" fillId="41" borderId="60" xfId="0" applyFont="1" applyFill="1" applyBorder="1" applyAlignment="1">
      <alignment vertical="center"/>
    </xf>
    <xf numFmtId="0" fontId="126" fillId="23" borderId="60" xfId="0" applyFont="1" applyFill="1" applyBorder="1" applyAlignment="1">
      <alignment vertical="center"/>
    </xf>
    <xf numFmtId="0" fontId="3" fillId="0" borderId="56" xfId="0" applyFont="1" applyBorder="1"/>
    <xf numFmtId="0" fontId="126" fillId="23" borderId="5" xfId="0" applyFont="1" applyFill="1" applyBorder="1" applyAlignment="1">
      <alignment vertical="center"/>
    </xf>
    <xf numFmtId="0" fontId="81" fillId="0" borderId="5" xfId="0" applyFont="1" applyBorder="1" applyAlignment="1">
      <alignment horizontal="center"/>
    </xf>
    <xf numFmtId="0" fontId="3" fillId="0" borderId="60" xfId="0" applyFont="1" applyBorder="1"/>
    <xf numFmtId="0" fontId="4" fillId="8" borderId="60" xfId="0" applyFont="1" applyFill="1" applyBorder="1" applyAlignment="1">
      <alignment vertical="center"/>
    </xf>
    <xf numFmtId="0" fontId="93" fillId="71" borderId="5" xfId="0" applyFont="1" applyFill="1" applyBorder="1" applyAlignment="1">
      <alignment vertical="center"/>
    </xf>
    <xf numFmtId="0" fontId="93" fillId="76" borderId="5" xfId="0" applyFont="1" applyFill="1" applyBorder="1" applyAlignment="1">
      <alignment vertical="center"/>
    </xf>
    <xf numFmtId="0" fontId="26" fillId="15" borderId="43" xfId="0" applyFont="1" applyFill="1" applyBorder="1" applyAlignment="1">
      <alignment vertical="center"/>
    </xf>
    <xf numFmtId="0" fontId="93" fillId="43" borderId="5" xfId="0" applyFont="1" applyFill="1" applyBorder="1" applyAlignment="1">
      <alignment vertical="center"/>
    </xf>
    <xf numFmtId="0" fontId="93" fillId="71" borderId="60" xfId="0" applyFont="1" applyFill="1" applyBorder="1" applyAlignment="1">
      <alignment vertical="center"/>
    </xf>
    <xf numFmtId="0" fontId="127" fillId="10" borderId="60" xfId="0" applyFont="1" applyFill="1" applyBorder="1" applyAlignment="1">
      <alignment vertical="center"/>
    </xf>
    <xf numFmtId="0" fontId="93" fillId="43" borderId="60" xfId="0" applyFont="1" applyFill="1" applyBorder="1" applyAlignment="1">
      <alignment vertical="center"/>
    </xf>
    <xf numFmtId="0" fontId="4" fillId="65" borderId="5" xfId="0" applyFont="1" applyFill="1" applyBorder="1" applyAlignment="1">
      <alignment vertical="center"/>
    </xf>
    <xf numFmtId="0" fontId="4" fillId="67" borderId="60" xfId="0" applyFont="1" applyFill="1" applyBorder="1" applyAlignment="1">
      <alignment vertical="center"/>
    </xf>
    <xf numFmtId="0" fontId="130" fillId="0" borderId="0" xfId="0" applyFont="1"/>
    <xf numFmtId="0" fontId="3" fillId="70" borderId="152" xfId="0" applyFont="1" applyFill="1" applyBorder="1"/>
    <xf numFmtId="0" fontId="3" fillId="70" borderId="13" xfId="0" applyFont="1" applyFill="1" applyBorder="1"/>
    <xf numFmtId="0" fontId="12" fillId="70" borderId="112" xfId="0" applyFont="1" applyFill="1" applyBorder="1" applyAlignment="1">
      <alignment horizontal="left" vertical="center"/>
    </xf>
    <xf numFmtId="0" fontId="3" fillId="70" borderId="4" xfId="0" applyFont="1" applyFill="1" applyBorder="1"/>
    <xf numFmtId="0" fontId="12" fillId="70" borderId="68" xfId="0" applyFont="1" applyFill="1" applyBorder="1" applyAlignment="1">
      <alignment horizontal="left" vertical="center"/>
    </xf>
    <xf numFmtId="0" fontId="3" fillId="70" borderId="64" xfId="0" applyFont="1" applyFill="1" applyBorder="1"/>
    <xf numFmtId="0" fontId="3" fillId="70" borderId="154" xfId="0" applyFont="1" applyFill="1" applyBorder="1"/>
    <xf numFmtId="0" fontId="3" fillId="70" borderId="88" xfId="0" applyFont="1" applyFill="1" applyBorder="1"/>
    <xf numFmtId="0" fontId="12" fillId="70" borderId="65" xfId="0" applyFont="1" applyFill="1" applyBorder="1" applyAlignment="1">
      <alignment horizontal="left" vertical="center"/>
    </xf>
    <xf numFmtId="0" fontId="3" fillId="70" borderId="153" xfId="0" applyFont="1" applyFill="1" applyBorder="1"/>
    <xf numFmtId="0" fontId="3" fillId="70" borderId="98" xfId="0" applyFont="1" applyFill="1" applyBorder="1"/>
    <xf numFmtId="0" fontId="3" fillId="70" borderId="119" xfId="0" applyFont="1" applyFill="1" applyBorder="1"/>
    <xf numFmtId="0" fontId="3" fillId="70" borderId="33" xfId="0" applyFont="1" applyFill="1" applyBorder="1"/>
    <xf numFmtId="0" fontId="3" fillId="70" borderId="184" xfId="0" applyFont="1" applyFill="1" applyBorder="1"/>
    <xf numFmtId="0" fontId="116" fillId="0" borderId="5" xfId="0" applyFont="1" applyFill="1" applyBorder="1" applyAlignment="1">
      <alignment vertical="center"/>
    </xf>
    <xf numFmtId="0" fontId="93" fillId="0" borderId="5" xfId="0" applyFont="1" applyFill="1" applyBorder="1" applyAlignment="1">
      <alignment vertical="center"/>
    </xf>
    <xf numFmtId="0" fontId="4" fillId="0" borderId="111" xfId="0" applyFont="1" applyFill="1" applyBorder="1" applyAlignment="1">
      <alignment vertical="center"/>
    </xf>
    <xf numFmtId="0" fontId="4" fillId="0" borderId="159" xfId="0" applyFont="1" applyFill="1" applyBorder="1" applyAlignment="1">
      <alignment vertical="center"/>
    </xf>
    <xf numFmtId="0" fontId="35" fillId="0" borderId="111" xfId="0" applyFont="1" applyFill="1" applyBorder="1" applyAlignment="1">
      <alignment vertical="center"/>
    </xf>
    <xf numFmtId="0" fontId="4" fillId="0" borderId="111" xfId="0" applyFont="1" applyFill="1" applyBorder="1" applyAlignment="1">
      <alignment horizontal="center" vertical="center"/>
    </xf>
    <xf numFmtId="0" fontId="35" fillId="0" borderId="159" xfId="0" applyFont="1" applyBorder="1" applyAlignment="1">
      <alignment vertical="center"/>
    </xf>
    <xf numFmtId="0" fontId="35" fillId="0" borderId="156" xfId="0" applyFont="1" applyFill="1" applyBorder="1" applyAlignment="1">
      <alignment vertical="center"/>
    </xf>
    <xf numFmtId="0" fontId="131" fillId="15" borderId="64" xfId="0" applyFont="1" applyFill="1" applyBorder="1" applyAlignment="1">
      <alignment horizontal="center" vertical="center"/>
    </xf>
    <xf numFmtId="0" fontId="132" fillId="19" borderId="64" xfId="0" applyFont="1" applyFill="1" applyBorder="1" applyAlignment="1">
      <alignment horizontal="center"/>
    </xf>
    <xf numFmtId="0" fontId="131" fillId="19" borderId="5" xfId="0" applyFont="1" applyFill="1" applyBorder="1" applyAlignment="1">
      <alignment horizontal="center" vertical="center"/>
    </xf>
    <xf numFmtId="0" fontId="131" fillId="15" borderId="60" xfId="0" applyFont="1" applyFill="1" applyBorder="1" applyAlignment="1">
      <alignment horizontal="center" vertical="center"/>
    </xf>
    <xf numFmtId="0" fontId="131" fillId="15" borderId="5" xfId="0" applyFont="1" applyFill="1" applyBorder="1" applyAlignment="1">
      <alignment horizontal="center" vertical="center"/>
    </xf>
    <xf numFmtId="0" fontId="131" fillId="15" borderId="15" xfId="0" applyFont="1" applyFill="1" applyBorder="1" applyAlignment="1">
      <alignment horizontal="center" vertical="center"/>
    </xf>
    <xf numFmtId="0" fontId="132" fillId="19" borderId="43" xfId="0" applyFont="1" applyFill="1" applyBorder="1" applyAlignment="1">
      <alignment horizontal="center"/>
    </xf>
    <xf numFmtId="0" fontId="131" fillId="15" borderId="14" xfId="0" applyFont="1" applyFill="1" applyBorder="1" applyAlignment="1">
      <alignment horizontal="center" vertical="center"/>
    </xf>
    <xf numFmtId="0" fontId="132" fillId="19" borderId="43" xfId="0" applyFont="1" applyFill="1" applyBorder="1" applyAlignment="1"/>
    <xf numFmtId="0" fontId="131" fillId="15" borderId="31" xfId="0" applyFont="1" applyFill="1" applyBorder="1" applyAlignment="1">
      <alignment horizontal="center" vertical="center"/>
    </xf>
    <xf numFmtId="0" fontId="131" fillId="19" borderId="14" xfId="0" applyFont="1" applyFill="1" applyBorder="1" applyAlignment="1">
      <alignment horizontal="center" vertical="center"/>
    </xf>
    <xf numFmtId="0" fontId="131" fillId="19" borderId="15" xfId="0" applyFont="1" applyFill="1" applyBorder="1" applyAlignment="1">
      <alignment horizontal="center" vertical="center"/>
    </xf>
    <xf numFmtId="0" fontId="132" fillId="19" borderId="14" xfId="0" applyFont="1" applyFill="1" applyBorder="1" applyAlignment="1">
      <alignment horizontal="center"/>
    </xf>
    <xf numFmtId="0" fontId="131" fillId="15" borderId="43" xfId="0" applyFont="1" applyFill="1" applyBorder="1" applyAlignment="1">
      <alignment horizontal="center" vertical="center"/>
    </xf>
    <xf numFmtId="0" fontId="131" fillId="15" borderId="62" xfId="0" applyFont="1" applyFill="1" applyBorder="1" applyAlignment="1">
      <alignment horizontal="center" vertical="center"/>
    </xf>
    <xf numFmtId="0" fontId="3" fillId="70" borderId="78" xfId="0" applyFont="1" applyFill="1" applyBorder="1"/>
    <xf numFmtId="0" fontId="3" fillId="70" borderId="80" xfId="0" applyFont="1" applyFill="1" applyBorder="1"/>
    <xf numFmtId="0" fontId="129" fillId="8" borderId="32" xfId="0" applyFont="1" applyFill="1" applyBorder="1" applyAlignment="1">
      <alignment horizontal="center" vertical="center"/>
    </xf>
    <xf numFmtId="0" fontId="4" fillId="19" borderId="60" xfId="0" applyFont="1" applyFill="1" applyBorder="1" applyAlignment="1">
      <alignment horizontal="center"/>
    </xf>
    <xf numFmtId="0" fontId="35" fillId="15" borderId="56" xfId="0" applyFont="1" applyFill="1" applyBorder="1" applyAlignment="1">
      <alignment vertical="center"/>
    </xf>
    <xf numFmtId="0" fontId="4" fillId="0" borderId="108" xfId="0" applyFont="1" applyFill="1" applyBorder="1" applyAlignment="1">
      <alignment horizontal="center" vertical="center"/>
    </xf>
    <xf numFmtId="0" fontId="6" fillId="0" borderId="70" xfId="0" applyFont="1" applyFill="1" applyBorder="1" applyAlignment="1">
      <alignment horizontal="center" vertical="center"/>
    </xf>
    <xf numFmtId="0" fontId="6" fillId="0" borderId="109" xfId="0" applyFont="1" applyFill="1" applyBorder="1" applyAlignment="1">
      <alignment horizontal="center" vertical="center"/>
    </xf>
    <xf numFmtId="0" fontId="135" fillId="0" borderId="5" xfId="0" applyFont="1" applyBorder="1" applyAlignment="1">
      <alignment readingOrder="1"/>
    </xf>
    <xf numFmtId="0" fontId="131" fillId="15" borderId="74" xfId="0" applyFont="1" applyFill="1" applyBorder="1" applyAlignment="1">
      <alignment horizontal="center" vertical="center"/>
    </xf>
    <xf numFmtId="0" fontId="39" fillId="15" borderId="89" xfId="0" applyFont="1" applyFill="1" applyBorder="1" applyAlignment="1">
      <alignment vertical="center"/>
    </xf>
    <xf numFmtId="0" fontId="131" fillId="0" borderId="5" xfId="0" applyFont="1" applyFill="1" applyBorder="1" applyAlignment="1">
      <alignment horizontal="center" vertical="center"/>
    </xf>
    <xf numFmtId="0" fontId="4" fillId="56" borderId="5" xfId="0" applyFont="1" applyFill="1" applyBorder="1" applyAlignment="1">
      <alignment vertical="center"/>
    </xf>
    <xf numFmtId="0" fontId="39" fillId="53" borderId="64" xfId="0" applyFont="1" applyFill="1" applyBorder="1" applyAlignment="1">
      <alignment vertical="center"/>
    </xf>
    <xf numFmtId="0" fontId="39" fillId="53" borderId="5" xfId="0" applyFont="1" applyFill="1" applyBorder="1" applyAlignment="1">
      <alignment vertical="center"/>
    </xf>
    <xf numFmtId="0" fontId="3" fillId="19" borderId="4" xfId="0" applyFont="1" applyFill="1" applyBorder="1"/>
    <xf numFmtId="0" fontId="5" fillId="19" borderId="5" xfId="0" applyFont="1" applyFill="1" applyBorder="1" applyAlignment="1">
      <alignment vertical="center"/>
    </xf>
    <xf numFmtId="0" fontId="7" fillId="19" borderId="15" xfId="0" applyFont="1" applyFill="1" applyBorder="1" applyAlignment="1">
      <alignment vertical="center"/>
    </xf>
    <xf numFmtId="0" fontId="8" fillId="5" borderId="5" xfId="0" applyFont="1" applyFill="1" applyBorder="1" applyAlignment="1">
      <alignment horizontal="center" vertical="center"/>
    </xf>
    <xf numFmtId="0" fontId="7" fillId="19" borderId="32" xfId="0" applyFont="1" applyFill="1" applyBorder="1" applyAlignment="1">
      <alignment vertical="center"/>
    </xf>
    <xf numFmtId="0" fontId="4" fillId="19" borderId="32" xfId="0" applyFont="1" applyFill="1" applyBorder="1" applyAlignment="1">
      <alignment horizontal="center" vertical="center"/>
    </xf>
    <xf numFmtId="0" fontId="4" fillId="19" borderId="14" xfId="0" applyFont="1" applyFill="1" applyBorder="1" applyAlignment="1">
      <alignment horizontal="center" vertical="center"/>
    </xf>
    <xf numFmtId="0" fontId="8" fillId="15" borderId="84" xfId="0" applyFont="1" applyFill="1" applyBorder="1" applyAlignment="1">
      <alignment vertical="center"/>
    </xf>
    <xf numFmtId="0" fontId="18" fillId="19" borderId="34" xfId="0" applyFont="1" applyFill="1" applyBorder="1" applyAlignment="1">
      <alignment vertical="center"/>
    </xf>
    <xf numFmtId="0" fontId="0" fillId="19" borderId="103" xfId="0" applyFill="1" applyBorder="1"/>
    <xf numFmtId="0" fontId="66" fillId="0" borderId="5" xfId="0" applyFont="1" applyFill="1" applyBorder="1" applyAlignment="1">
      <alignment vertical="center"/>
    </xf>
    <xf numFmtId="0" fontId="93" fillId="43" borderId="15" xfId="0" applyFont="1" applyFill="1" applyBorder="1" applyAlignment="1">
      <alignment vertical="center"/>
    </xf>
    <xf numFmtId="0" fontId="4" fillId="8" borderId="90" xfId="0" applyFont="1" applyFill="1" applyBorder="1" applyAlignment="1">
      <alignment vertical="center"/>
    </xf>
    <xf numFmtId="0" fontId="13" fillId="19" borderId="61" xfId="0" applyFont="1" applyFill="1" applyBorder="1" applyAlignment="1">
      <alignment vertical="center"/>
    </xf>
    <xf numFmtId="0" fontId="0" fillId="0" borderId="55" xfId="0" applyBorder="1"/>
    <xf numFmtId="0" fontId="64" fillId="23" borderId="15" xfId="0" applyFont="1" applyFill="1" applyBorder="1" applyAlignment="1">
      <alignment vertical="center"/>
    </xf>
    <xf numFmtId="0" fontId="0" fillId="0" borderId="187" xfId="0" applyBorder="1"/>
    <xf numFmtId="0" fontId="7" fillId="0" borderId="59" xfId="0" applyFont="1" applyBorder="1"/>
    <xf numFmtId="0" fontId="7" fillId="0" borderId="88" xfId="0" applyFont="1" applyBorder="1"/>
    <xf numFmtId="0" fontId="7" fillId="15" borderId="43" xfId="0" applyFont="1" applyFill="1" applyBorder="1" applyAlignment="1"/>
    <xf numFmtId="0" fontId="7" fillId="0" borderId="118" xfId="0" applyFont="1" applyBorder="1"/>
    <xf numFmtId="0" fontId="7" fillId="0" borderId="122" xfId="0" applyFont="1" applyBorder="1"/>
    <xf numFmtId="0" fontId="64" fillId="23" borderId="14" xfId="0" applyFont="1" applyFill="1" applyBorder="1" applyAlignment="1">
      <alignment vertical="center"/>
    </xf>
    <xf numFmtId="0" fontId="4" fillId="15" borderId="91" xfId="0" applyFont="1" applyFill="1" applyBorder="1" applyAlignment="1">
      <alignment vertical="center"/>
    </xf>
    <xf numFmtId="0" fontId="7" fillId="0" borderId="80" xfId="0" applyFont="1" applyBorder="1"/>
    <xf numFmtId="0" fontId="7" fillId="0" borderId="112" xfId="0" applyFont="1" applyBorder="1"/>
    <xf numFmtId="0" fontId="26" fillId="19" borderId="15" xfId="0" applyFont="1" applyFill="1" applyBorder="1" applyAlignment="1">
      <alignment vertical="center"/>
    </xf>
    <xf numFmtId="0" fontId="69" fillId="56" borderId="43" xfId="0" applyFont="1" applyFill="1" applyBorder="1" applyAlignment="1">
      <alignment horizontal="center" vertical="center"/>
    </xf>
    <xf numFmtId="0" fontId="0" fillId="0" borderId="110" xfId="0" applyBorder="1"/>
    <xf numFmtId="0" fontId="0" fillId="0" borderId="72" xfId="0" applyBorder="1"/>
    <xf numFmtId="0" fontId="7" fillId="0" borderId="130" xfId="0" applyFont="1" applyBorder="1"/>
    <xf numFmtId="0" fontId="71" fillId="15" borderId="5" xfId="0" applyFont="1" applyFill="1" applyBorder="1" applyAlignment="1">
      <alignment vertical="center"/>
    </xf>
    <xf numFmtId="0" fontId="130" fillId="0" borderId="5" xfId="0" applyFont="1" applyBorder="1" applyAlignment="1">
      <alignment readingOrder="1"/>
    </xf>
    <xf numFmtId="0" fontId="46" fillId="5" borderId="5" xfId="0" applyFont="1" applyFill="1" applyBorder="1" applyAlignment="1">
      <alignment vertical="center"/>
    </xf>
    <xf numFmtId="0" fontId="137" fillId="15" borderId="31" xfId="0" applyFont="1" applyFill="1" applyBorder="1" applyAlignment="1">
      <alignment horizontal="center" vertical="center" indent="1"/>
    </xf>
    <xf numFmtId="0" fontId="6" fillId="15" borderId="85" xfId="0" applyFont="1" applyFill="1" applyBorder="1" applyAlignment="1">
      <alignment vertical="center"/>
    </xf>
    <xf numFmtId="0" fontId="81" fillId="15" borderId="31" xfId="0" applyFont="1" applyFill="1" applyBorder="1" applyAlignment="1">
      <alignment horizontal="center" vertical="center" indent="1"/>
    </xf>
    <xf numFmtId="0" fontId="8" fillId="15" borderId="75" xfId="0" applyFont="1" applyFill="1" applyBorder="1" applyAlignment="1">
      <alignment vertical="center"/>
    </xf>
    <xf numFmtId="0" fontId="8" fillId="15" borderId="103" xfId="0" applyFont="1" applyFill="1" applyBorder="1" applyAlignment="1">
      <alignment vertical="center"/>
    </xf>
    <xf numFmtId="0" fontId="124" fillId="15" borderId="43" xfId="0" applyFont="1" applyFill="1" applyBorder="1" applyAlignment="1">
      <alignment horizontal="center" vertical="center"/>
    </xf>
    <xf numFmtId="0" fontId="81" fillId="15" borderId="5" xfId="0" applyFont="1" applyFill="1" applyBorder="1" applyAlignment="1">
      <alignment horizontal="center" vertical="center" indent="1"/>
    </xf>
    <xf numFmtId="0" fontId="8" fillId="15" borderId="32" xfId="0" applyFont="1" applyFill="1" applyBorder="1" applyAlignment="1">
      <alignment vertical="center"/>
    </xf>
    <xf numFmtId="0" fontId="134" fillId="72" borderId="33" xfId="0" applyFont="1" applyFill="1" applyBorder="1" applyAlignment="1">
      <alignment horizontal="center"/>
    </xf>
    <xf numFmtId="0" fontId="134" fillId="72" borderId="111" xfId="0" applyFont="1" applyFill="1" applyBorder="1" applyAlignment="1">
      <alignment horizontal="center"/>
    </xf>
    <xf numFmtId="0" fontId="64" fillId="25" borderId="5" xfId="0" applyFont="1" applyFill="1" applyBorder="1" applyAlignment="1">
      <alignment vertical="center"/>
    </xf>
    <xf numFmtId="0" fontId="4" fillId="0" borderId="72" xfId="0" applyFont="1" applyFill="1" applyBorder="1" applyAlignment="1">
      <alignment horizontal="center" vertical="center"/>
    </xf>
    <xf numFmtId="0" fontId="131" fillId="15" borderId="102" xfId="0" applyFont="1" applyFill="1" applyBorder="1" applyAlignment="1">
      <alignment horizontal="center" vertical="center"/>
    </xf>
    <xf numFmtId="0" fontId="7" fillId="0" borderId="62" xfId="0" applyFont="1" applyFill="1" applyBorder="1" applyAlignment="1">
      <alignment vertical="center"/>
    </xf>
    <xf numFmtId="0" fontId="18" fillId="19" borderId="62" xfId="0" applyFont="1" applyFill="1" applyBorder="1" applyAlignment="1">
      <alignment vertical="center"/>
    </xf>
    <xf numFmtId="0" fontId="7" fillId="19" borderId="62" xfId="0" applyFont="1" applyFill="1" applyBorder="1" applyAlignment="1">
      <alignment vertical="center"/>
    </xf>
    <xf numFmtId="0" fontId="66" fillId="0" borderId="62" xfId="0" applyFont="1" applyFill="1" applyBorder="1" applyAlignment="1">
      <alignment vertical="center"/>
    </xf>
    <xf numFmtId="0" fontId="4" fillId="15" borderId="80" xfId="0" applyFont="1" applyFill="1" applyBorder="1" applyAlignment="1">
      <alignment vertical="center"/>
    </xf>
    <xf numFmtId="0" fontId="39" fillId="75" borderId="79" xfId="0" applyFont="1" applyFill="1" applyBorder="1" applyAlignment="1">
      <alignment vertical="center"/>
    </xf>
    <xf numFmtId="0" fontId="3" fillId="0" borderId="108" xfId="0" applyFont="1" applyBorder="1"/>
    <xf numFmtId="0" fontId="3" fillId="70" borderId="84" xfId="0" applyFont="1" applyFill="1" applyBorder="1"/>
    <xf numFmtId="0" fontId="3" fillId="70" borderId="55" xfId="0" applyFont="1" applyFill="1" applyBorder="1"/>
    <xf numFmtId="0" fontId="3" fillId="0" borderId="212" xfId="0" applyFont="1" applyBorder="1"/>
    <xf numFmtId="0" fontId="12" fillId="70" borderId="112" xfId="0" applyFont="1" applyFill="1" applyBorder="1" applyAlignment="1">
      <alignment vertical="center"/>
    </xf>
    <xf numFmtId="0" fontId="12" fillId="70" borderId="65" xfId="0" applyFont="1" applyFill="1" applyBorder="1" applyAlignment="1">
      <alignment vertical="center"/>
    </xf>
    <xf numFmtId="0" fontId="12" fillId="70" borderId="68" xfId="0" applyFont="1" applyFill="1" applyBorder="1" applyAlignment="1">
      <alignment vertical="center"/>
    </xf>
    <xf numFmtId="0" fontId="3" fillId="70" borderId="18" xfId="0" applyFont="1" applyFill="1" applyBorder="1"/>
    <xf numFmtId="0" fontId="3" fillId="19" borderId="18" xfId="0" applyFont="1" applyFill="1" applyBorder="1"/>
    <xf numFmtId="0" fontId="3" fillId="0" borderId="76" xfId="0" applyFont="1" applyBorder="1"/>
    <xf numFmtId="0" fontId="3" fillId="70" borderId="37" xfId="0" applyFont="1" applyFill="1" applyBorder="1"/>
    <xf numFmtId="0" fontId="3" fillId="70" borderId="32" xfId="0" applyFont="1" applyFill="1" applyBorder="1"/>
    <xf numFmtId="0" fontId="134" fillId="0" borderId="0" xfId="0" applyFont="1" applyAlignment="1">
      <alignment horizontal="center"/>
    </xf>
    <xf numFmtId="0" fontId="12" fillId="0" borderId="65" xfId="0" applyFont="1" applyBorder="1" applyAlignment="1">
      <alignment vertical="center"/>
    </xf>
    <xf numFmtId="0" fontId="136" fillId="19" borderId="15" xfId="0" applyFont="1" applyFill="1" applyBorder="1" applyAlignment="1"/>
    <xf numFmtId="0" fontId="136" fillId="19" borderId="5" xfId="0" applyFont="1" applyFill="1" applyBorder="1" applyAlignment="1"/>
    <xf numFmtId="0" fontId="136" fillId="19" borderId="60" xfId="0" applyFont="1" applyFill="1" applyBorder="1" applyAlignment="1"/>
    <xf numFmtId="0" fontId="75" fillId="15" borderId="80" xfId="0" applyFont="1" applyFill="1" applyBorder="1" applyAlignment="1">
      <alignment vertical="center"/>
    </xf>
    <xf numFmtId="0" fontId="75" fillId="15" borderId="15" xfId="0" applyFont="1" applyFill="1" applyBorder="1" applyAlignment="1">
      <alignment vertical="center"/>
    </xf>
    <xf numFmtId="0" fontId="0" fillId="15" borderId="159" xfId="0" applyFill="1" applyBorder="1" applyAlignment="1"/>
    <xf numFmtId="0" fontId="81" fillId="15" borderId="15" xfId="0" applyFont="1" applyFill="1" applyBorder="1" applyAlignment="1">
      <alignment horizontal="center" vertical="center" indent="1"/>
    </xf>
    <xf numFmtId="0" fontId="81" fillId="15" borderId="43" xfId="0" applyFont="1" applyFill="1" applyBorder="1" applyAlignment="1">
      <alignment horizontal="center" vertical="center" indent="1"/>
    </xf>
    <xf numFmtId="0" fontId="116" fillId="19" borderId="5" xfId="0" applyFont="1" applyFill="1" applyBorder="1" applyAlignment="1">
      <alignment horizontal="center" vertical="center"/>
    </xf>
    <xf numFmtId="0" fontId="138" fillId="15" borderId="60" xfId="0" applyFont="1" applyFill="1" applyBorder="1" applyAlignment="1">
      <alignment horizontal="center" vertical="center"/>
    </xf>
    <xf numFmtId="0" fontId="35" fillId="15" borderId="110" xfId="0" applyFont="1" applyFill="1" applyBorder="1" applyAlignment="1">
      <alignment horizontal="center" vertical="center"/>
    </xf>
    <xf numFmtId="0" fontId="138" fillId="15" borderId="80" xfId="0" applyFont="1" applyFill="1" applyBorder="1" applyAlignment="1">
      <alignment horizontal="center" vertical="center"/>
    </xf>
    <xf numFmtId="0" fontId="138" fillId="15" borderId="15" xfId="0" applyFont="1" applyFill="1" applyBorder="1" applyAlignment="1">
      <alignment horizontal="center" vertical="center"/>
    </xf>
    <xf numFmtId="0" fontId="138" fillId="15" borderId="5" xfId="0" applyFont="1" applyFill="1" applyBorder="1" applyAlignment="1">
      <alignment horizontal="center" vertical="center"/>
    </xf>
    <xf numFmtId="0" fontId="138" fillId="0" borderId="5" xfId="0" applyFont="1" applyFill="1" applyBorder="1" applyAlignment="1">
      <alignment horizontal="center" vertical="center"/>
    </xf>
    <xf numFmtId="0" fontId="138" fillId="19" borderId="5" xfId="0" applyFont="1" applyFill="1" applyBorder="1" applyAlignment="1">
      <alignment horizontal="center" vertical="center"/>
    </xf>
    <xf numFmtId="0" fontId="138" fillId="15" borderId="14" xfId="0" applyFont="1" applyFill="1" applyBorder="1" applyAlignment="1">
      <alignment horizontal="center" vertical="center"/>
    </xf>
    <xf numFmtId="0" fontId="138" fillId="15" borderId="43" xfId="0" applyFont="1" applyFill="1" applyBorder="1" applyAlignment="1">
      <alignment horizontal="center" vertical="center"/>
    </xf>
    <xf numFmtId="0" fontId="138" fillId="0" borderId="5" xfId="0" applyFont="1" applyBorder="1" applyAlignment="1">
      <alignment horizontal="center"/>
    </xf>
    <xf numFmtId="0" fontId="138" fillId="15" borderId="62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139" fillId="0" borderId="5" xfId="0" applyFont="1" applyFill="1" applyBorder="1" applyAlignment="1">
      <alignment horizontal="center" vertical="center"/>
    </xf>
    <xf numFmtId="0" fontId="4" fillId="19" borderId="14" xfId="0" applyFont="1" applyFill="1" applyBorder="1" applyAlignment="1">
      <alignment vertical="center"/>
    </xf>
    <xf numFmtId="0" fontId="4" fillId="53" borderId="35" xfId="0" applyFont="1" applyFill="1" applyBorder="1" applyAlignment="1">
      <alignment vertical="center"/>
    </xf>
    <xf numFmtId="0" fontId="4" fillId="53" borderId="110" xfId="0" applyFont="1" applyFill="1" applyBorder="1" applyAlignment="1">
      <alignment vertical="center"/>
    </xf>
    <xf numFmtId="0" fontId="35" fillId="53" borderId="14" xfId="0" applyFont="1" applyFill="1" applyBorder="1" applyAlignment="1">
      <alignment vertical="center"/>
    </xf>
    <xf numFmtId="0" fontId="139" fillId="53" borderId="5" xfId="0" applyFont="1" applyFill="1" applyBorder="1" applyAlignment="1">
      <alignment horizontal="center" vertical="center"/>
    </xf>
    <xf numFmtId="0" fontId="3" fillId="53" borderId="5" xfId="0" applyFont="1" applyFill="1" applyBorder="1" applyAlignment="1">
      <alignment horizontal="center" vertical="center"/>
    </xf>
    <xf numFmtId="0" fontId="35" fillId="53" borderId="112" xfId="0" applyFont="1" applyFill="1" applyBorder="1" applyAlignment="1">
      <alignment vertical="center"/>
    </xf>
    <xf numFmtId="0" fontId="4" fillId="56" borderId="78" xfId="0" applyFont="1" applyFill="1" applyBorder="1" applyAlignment="1">
      <alignment horizontal="center" vertical="center"/>
    </xf>
    <xf numFmtId="0" fontId="7" fillId="0" borderId="57" xfId="0" applyFont="1" applyBorder="1"/>
    <xf numFmtId="0" fontId="26" fillId="15" borderId="74" xfId="0" applyFont="1" applyFill="1" applyBorder="1" applyAlignment="1">
      <alignment vertical="center"/>
    </xf>
    <xf numFmtId="0" fontId="35" fillId="15" borderId="108" xfId="0" applyFont="1" applyFill="1" applyBorder="1" applyAlignment="1">
      <alignment vertical="center"/>
    </xf>
    <xf numFmtId="0" fontId="4" fillId="12" borderId="43" xfId="0" applyFont="1" applyFill="1" applyBorder="1" applyAlignment="1">
      <alignment horizontal="center" vertical="center"/>
    </xf>
    <xf numFmtId="0" fontId="22" fillId="25" borderId="5" xfId="0" applyFont="1" applyFill="1" applyBorder="1" applyAlignment="1">
      <alignment horizontal="center" vertical="center"/>
    </xf>
    <xf numFmtId="0" fontId="4" fillId="79" borderId="111" xfId="0" applyFont="1" applyFill="1" applyBorder="1" applyAlignment="1">
      <alignment horizontal="center" vertical="center"/>
    </xf>
    <xf numFmtId="0" fontId="4" fillId="56" borderId="14" xfId="0" applyFont="1" applyFill="1" applyBorder="1" applyAlignment="1">
      <alignment horizontal="center" vertical="center"/>
    </xf>
    <xf numFmtId="0" fontId="4" fillId="56" borderId="43" xfId="0" applyFont="1" applyFill="1" applyBorder="1" applyAlignment="1">
      <alignment horizontal="center" vertical="center"/>
    </xf>
    <xf numFmtId="0" fontId="4" fillId="74" borderId="5" xfId="0" applyFont="1" applyFill="1" applyBorder="1" applyAlignment="1">
      <alignment horizontal="center" vertical="center"/>
    </xf>
    <xf numFmtId="0" fontId="26" fillId="15" borderId="90" xfId="0" applyFont="1" applyFill="1" applyBorder="1" applyAlignment="1"/>
    <xf numFmtId="0" fontId="9" fillId="0" borderId="169" xfId="0" applyFont="1" applyBorder="1" applyAlignment="1">
      <alignment horizontal="left" vertical="center"/>
    </xf>
    <xf numFmtId="0" fontId="9" fillId="0" borderId="203" xfId="0" applyFont="1" applyBorder="1" applyAlignment="1">
      <alignment vertical="center"/>
    </xf>
    <xf numFmtId="0" fontId="9" fillId="0" borderId="213" xfId="0" applyFont="1" applyBorder="1" applyAlignment="1">
      <alignment vertical="center"/>
    </xf>
    <xf numFmtId="0" fontId="7" fillId="0" borderId="127" xfId="0" applyFont="1" applyBorder="1"/>
    <xf numFmtId="0" fontId="9" fillId="0" borderId="214" xfId="0" applyFont="1" applyBorder="1" applyAlignment="1">
      <alignment vertical="center"/>
    </xf>
    <xf numFmtId="0" fontId="4" fillId="12" borderId="14" xfId="0" applyFont="1" applyFill="1" applyBorder="1" applyAlignment="1">
      <alignment horizontal="center"/>
    </xf>
    <xf numFmtId="0" fontId="4" fillId="12" borderId="34" xfId="0" applyFont="1" applyFill="1" applyBorder="1" applyAlignment="1">
      <alignment horizontal="center" vertical="center"/>
    </xf>
    <xf numFmtId="0" fontId="7" fillId="56" borderId="60" xfId="0" applyFont="1" applyFill="1" applyBorder="1" applyAlignment="1">
      <alignment horizontal="center" vertical="center"/>
    </xf>
    <xf numFmtId="0" fontId="7" fillId="56" borderId="43" xfId="0" applyFont="1" applyFill="1" applyBorder="1" applyAlignment="1">
      <alignment horizontal="center" vertical="center"/>
    </xf>
    <xf numFmtId="0" fontId="39" fillId="15" borderId="0" xfId="0" applyFont="1" applyFill="1" applyAlignment="1">
      <alignment vertical="center"/>
    </xf>
    <xf numFmtId="0" fontId="7" fillId="56" borderId="15" xfId="0" applyFont="1" applyFill="1" applyBorder="1" applyAlignment="1">
      <alignment horizontal="center" vertical="center"/>
    </xf>
    <xf numFmtId="0" fontId="4" fillId="56" borderId="64" xfId="0" applyFont="1" applyFill="1" applyBorder="1" applyAlignment="1">
      <alignment horizontal="center" vertical="center"/>
    </xf>
    <xf numFmtId="0" fontId="138" fillId="15" borderId="64" xfId="0" applyFont="1" applyFill="1" applyBorder="1" applyAlignment="1">
      <alignment horizontal="center" vertical="center"/>
    </xf>
    <xf numFmtId="0" fontId="0" fillId="19" borderId="64" xfId="0" applyFill="1" applyBorder="1"/>
    <xf numFmtId="0" fontId="118" fillId="56" borderId="55" xfId="0" applyFont="1" applyFill="1" applyBorder="1" applyAlignment="1">
      <alignment horizontal="center" vertical="center"/>
    </xf>
    <xf numFmtId="0" fontId="26" fillId="15" borderId="31" xfId="0" applyFont="1" applyFill="1" applyBorder="1" applyAlignment="1"/>
    <xf numFmtId="0" fontId="118" fillId="56" borderId="118" xfId="0" applyFont="1" applyFill="1" applyBorder="1" applyAlignment="1">
      <alignment horizontal="center" vertical="center"/>
    </xf>
    <xf numFmtId="0" fontId="81" fillId="15" borderId="60" xfId="0" applyFont="1" applyFill="1" applyBorder="1" applyAlignment="1">
      <alignment horizontal="center"/>
    </xf>
    <xf numFmtId="0" fontId="4" fillId="0" borderId="64" xfId="0" applyFont="1" applyFill="1" applyBorder="1" applyAlignment="1">
      <alignment horizontal="center" vertical="center"/>
    </xf>
    <xf numFmtId="0" fontId="81" fillId="19" borderId="64" xfId="0" applyFont="1" applyFill="1" applyBorder="1" applyAlignment="1">
      <alignment horizontal="center" vertical="center"/>
    </xf>
    <xf numFmtId="0" fontId="81" fillId="15" borderId="62" xfId="0" applyFont="1" applyFill="1" applyBorder="1" applyAlignment="1">
      <alignment horizontal="center" vertical="center"/>
    </xf>
    <xf numFmtId="0" fontId="116" fillId="8" borderId="62" xfId="0" applyFont="1" applyFill="1" applyBorder="1" applyAlignment="1">
      <alignment horizontal="center" vertical="center"/>
    </xf>
    <xf numFmtId="0" fontId="81" fillId="15" borderId="44" xfId="0" applyFont="1" applyFill="1" applyBorder="1" applyAlignment="1">
      <alignment horizontal="center" vertical="center"/>
    </xf>
    <xf numFmtId="0" fontId="3" fillId="0" borderId="91" xfId="0" applyFont="1" applyBorder="1"/>
    <xf numFmtId="0" fontId="35" fillId="15" borderId="60" xfId="0" applyFont="1" applyFill="1" applyBorder="1" applyAlignment="1">
      <alignment horizontal="center" vertical="center"/>
    </xf>
    <xf numFmtId="0" fontId="4" fillId="56" borderId="60" xfId="0" applyFont="1" applyFill="1" applyBorder="1" applyAlignment="1">
      <alignment vertical="center"/>
    </xf>
    <xf numFmtId="0" fontId="4" fillId="56" borderId="83" xfId="0" applyFont="1" applyFill="1" applyBorder="1" applyAlignment="1">
      <alignment horizontal="center" vertical="center"/>
    </xf>
    <xf numFmtId="0" fontId="135" fillId="0" borderId="60" xfId="0" applyFont="1" applyBorder="1" applyAlignment="1">
      <alignment readingOrder="1"/>
    </xf>
    <xf numFmtId="0" fontId="124" fillId="15" borderId="44" xfId="0" applyFont="1" applyFill="1" applyBorder="1" applyAlignment="1">
      <alignment horizontal="center" vertical="center"/>
    </xf>
    <xf numFmtId="0" fontId="3" fillId="0" borderId="118" xfId="0" applyFont="1" applyBorder="1"/>
    <xf numFmtId="0" fontId="81" fillId="19" borderId="15" xfId="0" applyFont="1" applyFill="1" applyBorder="1" applyAlignment="1">
      <alignment horizontal="center" vertical="center"/>
    </xf>
    <xf numFmtId="0" fontId="35" fillId="15" borderId="79" xfId="0" applyFont="1" applyFill="1" applyBorder="1" applyAlignment="1">
      <alignment horizontal="center" vertical="center"/>
    </xf>
    <xf numFmtId="0" fontId="4" fillId="73" borderId="43" xfId="0" applyFont="1" applyFill="1" applyBorder="1" applyAlignment="1">
      <alignment horizontal="center" vertical="center"/>
    </xf>
    <xf numFmtId="0" fontId="106" fillId="8" borderId="43" xfId="0" applyFont="1" applyFill="1" applyBorder="1" applyAlignment="1">
      <alignment horizontal="center" vertical="center"/>
    </xf>
    <xf numFmtId="0" fontId="0" fillId="15" borderId="43" xfId="0" applyFill="1" applyBorder="1"/>
    <xf numFmtId="0" fontId="3" fillId="0" borderId="171" xfId="0" applyFont="1" applyBorder="1"/>
    <xf numFmtId="0" fontId="3" fillId="0" borderId="70" xfId="0" applyFont="1" applyBorder="1"/>
    <xf numFmtId="0" fontId="3" fillId="0" borderId="88" xfId="0" applyFont="1" applyBorder="1"/>
    <xf numFmtId="0" fontId="4" fillId="79" borderId="80" xfId="0" applyFont="1" applyFill="1" applyBorder="1" applyAlignment="1">
      <alignment horizontal="center" vertical="center"/>
    </xf>
    <xf numFmtId="0" fontId="4" fillId="56" borderId="114" xfId="0" applyFont="1" applyFill="1" applyBorder="1" applyAlignment="1">
      <alignment horizontal="center" vertical="center"/>
    </xf>
    <xf numFmtId="0" fontId="12" fillId="0" borderId="98" xfId="0" applyFont="1" applyBorder="1" applyAlignment="1">
      <alignment horizontal="left" vertical="center"/>
    </xf>
    <xf numFmtId="0" fontId="12" fillId="0" borderId="65" xfId="0" applyFont="1" applyBorder="1" applyAlignment="1">
      <alignment horizontal="left" vertical="center"/>
    </xf>
    <xf numFmtId="0" fontId="12" fillId="0" borderId="68" xfId="0" applyFont="1" applyBorder="1" applyAlignment="1">
      <alignment horizontal="left" vertical="center"/>
    </xf>
    <xf numFmtId="0" fontId="0" fillId="0" borderId="33" xfId="0" applyBorder="1"/>
    <xf numFmtId="0" fontId="118" fillId="56" borderId="5" xfId="0" applyFont="1" applyFill="1" applyBorder="1" applyAlignment="1">
      <alignment horizontal="center" vertical="center"/>
    </xf>
    <xf numFmtId="0" fontId="118" fillId="56" borderId="60" xfId="0" applyFont="1" applyFill="1" applyBorder="1" applyAlignment="1">
      <alignment horizontal="center" vertical="center"/>
    </xf>
    <xf numFmtId="0" fontId="8" fillId="15" borderId="43" xfId="0" applyFont="1" applyFill="1" applyBorder="1" applyAlignment="1">
      <alignment vertical="center"/>
    </xf>
    <xf numFmtId="0" fontId="118" fillId="56" borderId="37" xfId="0" applyFont="1" applyFill="1" applyBorder="1" applyAlignment="1">
      <alignment horizontal="center" vertical="center"/>
    </xf>
    <xf numFmtId="0" fontId="75" fillId="15" borderId="78" xfId="0" applyFont="1" applyFill="1" applyBorder="1" applyAlignment="1">
      <alignment vertical="center"/>
    </xf>
    <xf numFmtId="0" fontId="118" fillId="56" borderId="83" xfId="0" applyFont="1" applyFill="1" applyBorder="1" applyAlignment="1">
      <alignment horizontal="center" vertical="center"/>
    </xf>
    <xf numFmtId="0" fontId="75" fillId="15" borderId="106" xfId="0" applyFont="1" applyFill="1" applyBorder="1" applyAlignment="1">
      <alignment vertical="center"/>
    </xf>
    <xf numFmtId="0" fontId="81" fillId="15" borderId="96" xfId="0" applyFont="1" applyFill="1" applyBorder="1" applyAlignment="1">
      <alignment horizontal="center" vertical="center"/>
    </xf>
    <xf numFmtId="0" fontId="4" fillId="56" borderId="57" xfId="0" applyFont="1" applyFill="1" applyBorder="1" applyAlignment="1">
      <alignment horizontal="center" vertical="center"/>
    </xf>
    <xf numFmtId="0" fontId="135" fillId="0" borderId="56" xfId="0" applyFont="1" applyBorder="1" applyAlignment="1">
      <alignment readingOrder="1"/>
    </xf>
    <xf numFmtId="0" fontId="0" fillId="15" borderId="138" xfId="0" applyFill="1" applyBorder="1" applyAlignment="1"/>
    <xf numFmtId="0" fontId="12" fillId="0" borderId="98" xfId="0" applyFont="1" applyBorder="1" applyAlignment="1">
      <alignment vertical="center"/>
    </xf>
    <xf numFmtId="0" fontId="12" fillId="0" borderId="68" xfId="0" applyFont="1" applyBorder="1" applyAlignment="1">
      <alignment vertical="center"/>
    </xf>
    <xf numFmtId="0" fontId="39" fillId="15" borderId="103" xfId="0" applyFont="1" applyFill="1" applyBorder="1" applyAlignment="1">
      <alignment horizontal="center" vertical="center"/>
    </xf>
    <xf numFmtId="0" fontId="39" fillId="15" borderId="75" xfId="0" applyFont="1" applyFill="1" applyBorder="1" applyAlignment="1">
      <alignment horizontal="center" vertical="center"/>
    </xf>
    <xf numFmtId="0" fontId="4" fillId="19" borderId="31" xfId="0" applyFont="1" applyFill="1" applyBorder="1" applyAlignment="1">
      <alignment vertical="center"/>
    </xf>
    <xf numFmtId="0" fontId="35" fillId="19" borderId="5" xfId="0" applyFont="1" applyFill="1" applyBorder="1" applyAlignment="1">
      <alignment horizontal="center" vertical="center" wrapText="1"/>
    </xf>
    <xf numFmtId="0" fontId="116" fillId="19" borderId="5" xfId="0" applyFont="1" applyFill="1" applyBorder="1"/>
    <xf numFmtId="0" fontId="116" fillId="19" borderId="43" xfId="0" applyFont="1" applyFill="1" applyBorder="1"/>
    <xf numFmtId="0" fontId="4" fillId="15" borderId="34" xfId="0" applyFont="1" applyFill="1" applyBorder="1" applyAlignment="1">
      <alignment vertical="center"/>
    </xf>
    <xf numFmtId="0" fontId="26" fillId="15" borderId="79" xfId="0" applyFont="1" applyFill="1" applyBorder="1" applyAlignment="1"/>
    <xf numFmtId="0" fontId="136" fillId="19" borderId="43" xfId="0" applyFont="1" applyFill="1" applyBorder="1" applyAlignment="1"/>
    <xf numFmtId="0" fontId="6" fillId="15" borderId="44" xfId="0" applyFont="1" applyFill="1" applyBorder="1" applyAlignment="1">
      <alignment vertical="center"/>
    </xf>
    <xf numFmtId="0" fontId="4" fillId="12" borderId="90" xfId="0" applyFont="1" applyFill="1" applyBorder="1" applyAlignment="1">
      <alignment horizontal="center" vertical="center"/>
    </xf>
    <xf numFmtId="0" fontId="35" fillId="15" borderId="102" xfId="0" applyFont="1" applyFill="1" applyBorder="1" applyAlignment="1">
      <alignment vertical="center"/>
    </xf>
    <xf numFmtId="0" fontId="4" fillId="56" borderId="56" xfId="0" applyFont="1" applyFill="1" applyBorder="1" applyAlignment="1">
      <alignment horizontal="center" vertical="center"/>
    </xf>
    <xf numFmtId="0" fontId="54" fillId="12" borderId="34" xfId="0" applyFont="1" applyFill="1" applyBorder="1" applyAlignment="1">
      <alignment horizontal="center" vertical="center"/>
    </xf>
    <xf numFmtId="0" fontId="140" fillId="15" borderId="74" xfId="0" applyFont="1" applyFill="1" applyBorder="1" applyAlignment="1">
      <alignment horizontal="center"/>
    </xf>
    <xf numFmtId="0" fontId="131" fillId="0" borderId="5" xfId="0" applyFont="1" applyBorder="1" applyAlignment="1">
      <alignment horizontal="center" vertical="center"/>
    </xf>
    <xf numFmtId="0" fontId="131" fillId="0" borderId="15" xfId="0" applyFont="1" applyBorder="1" applyAlignment="1">
      <alignment horizontal="center"/>
    </xf>
    <xf numFmtId="0" fontId="35" fillId="15" borderId="74" xfId="0" applyFont="1" applyFill="1" applyBorder="1" applyAlignment="1">
      <alignment horizontal="center" vertical="center"/>
    </xf>
    <xf numFmtId="0" fontId="6" fillId="15" borderId="89" xfId="0" applyFont="1" applyFill="1" applyBorder="1" applyAlignment="1">
      <alignment vertical="center"/>
    </xf>
    <xf numFmtId="0" fontId="3" fillId="0" borderId="121" xfId="0" applyFont="1" applyBorder="1"/>
    <xf numFmtId="0" fontId="39" fillId="15" borderId="84" xfId="0" applyFont="1" applyFill="1" applyBorder="1" applyAlignment="1">
      <alignment vertical="center"/>
    </xf>
    <xf numFmtId="0" fontId="35" fillId="15" borderId="64" xfId="0" applyFont="1" applyFill="1" applyBorder="1" applyAlignment="1">
      <alignment horizontal="center" vertical="center"/>
    </xf>
    <xf numFmtId="0" fontId="6" fillId="15" borderId="65" xfId="0" applyFont="1" applyFill="1" applyBorder="1" applyAlignment="1">
      <alignment vertical="center"/>
    </xf>
    <xf numFmtId="0" fontId="6" fillId="15" borderId="111" xfId="0" applyFont="1" applyFill="1" applyBorder="1" applyAlignment="1">
      <alignment vertical="center"/>
    </xf>
    <xf numFmtId="0" fontId="35" fillId="53" borderId="60" xfId="0" applyFont="1" applyFill="1" applyBorder="1" applyAlignment="1">
      <alignment vertical="center"/>
    </xf>
    <xf numFmtId="0" fontId="35" fillId="53" borderId="85" xfId="0" applyFont="1" applyFill="1" applyBorder="1" applyAlignment="1">
      <alignment vertical="center"/>
    </xf>
    <xf numFmtId="0" fontId="76" fillId="53" borderId="60" xfId="0" applyFont="1" applyFill="1" applyBorder="1" applyAlignment="1">
      <alignment vertical="center"/>
    </xf>
    <xf numFmtId="0" fontId="0" fillId="53" borderId="61" xfId="0" applyFont="1" applyFill="1" applyBorder="1" applyAlignment="1"/>
    <xf numFmtId="0" fontId="0" fillId="53" borderId="129" xfId="0" applyFont="1" applyFill="1" applyBorder="1" applyAlignment="1"/>
    <xf numFmtId="0" fontId="76" fillId="15" borderId="14" xfId="0" applyFont="1" applyFill="1" applyBorder="1" applyAlignment="1">
      <alignment vertical="center"/>
    </xf>
    <xf numFmtId="0" fontId="0" fillId="15" borderId="72" xfId="0" applyFont="1" applyFill="1" applyBorder="1" applyAlignment="1"/>
    <xf numFmtId="0" fontId="0" fillId="15" borderId="156" xfId="0" applyFont="1" applyFill="1" applyBorder="1" applyAlignment="1"/>
    <xf numFmtId="0" fontId="0" fillId="15" borderId="62" xfId="0" applyFont="1" applyFill="1" applyBorder="1" applyAlignment="1"/>
    <xf numFmtId="0" fontId="7" fillId="67" borderId="5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vertical="center"/>
    </xf>
    <xf numFmtId="0" fontId="35" fillId="19" borderId="5" xfId="0" applyFont="1" applyFill="1" applyBorder="1" applyAlignment="1">
      <alignment vertical="center"/>
    </xf>
    <xf numFmtId="0" fontId="4" fillId="56" borderId="75" xfId="0" applyFont="1" applyFill="1" applyBorder="1" applyAlignment="1">
      <alignment horizontal="center" vertical="center"/>
    </xf>
    <xf numFmtId="0" fontId="4" fillId="15" borderId="37" xfId="0" applyFont="1" applyFill="1" applyBorder="1" applyAlignment="1">
      <alignment vertical="center"/>
    </xf>
    <xf numFmtId="0" fontId="141" fillId="15" borderId="5" xfId="0" applyFont="1" applyFill="1" applyBorder="1" applyAlignment="1">
      <alignment horizontal="center" vertical="center"/>
    </xf>
    <xf numFmtId="0" fontId="0" fillId="0" borderId="111" xfId="0" applyBorder="1"/>
    <xf numFmtId="0" fontId="142" fillId="0" borderId="62" xfId="0" applyFont="1" applyBorder="1" applyAlignment="1">
      <alignment horizontal="center"/>
    </xf>
    <xf numFmtId="0" fontId="64" fillId="23" borderId="32" xfId="0" applyFont="1" applyFill="1" applyBorder="1" applyAlignment="1">
      <alignment vertical="center"/>
    </xf>
    <xf numFmtId="0" fontId="13" fillId="0" borderId="5" xfId="0" applyFont="1" applyFill="1" applyBorder="1" applyAlignment="1">
      <alignment vertical="center"/>
    </xf>
    <xf numFmtId="0" fontId="35" fillId="19" borderId="14" xfId="0" applyFont="1" applyFill="1" applyBorder="1" applyAlignment="1">
      <alignment vertical="center"/>
    </xf>
    <xf numFmtId="0" fontId="4" fillId="15" borderId="110" xfId="0" applyFont="1" applyFill="1" applyBorder="1" applyAlignment="1">
      <alignment vertical="center"/>
    </xf>
    <xf numFmtId="0" fontId="13" fillId="0" borderId="34" xfId="0" applyFont="1" applyFill="1" applyBorder="1" applyAlignment="1">
      <alignment vertical="center"/>
    </xf>
    <xf numFmtId="0" fontId="13" fillId="80" borderId="15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/>
    </xf>
    <xf numFmtId="0" fontId="4" fillId="56" borderId="0" xfId="0" applyFont="1" applyFill="1" applyBorder="1" applyAlignment="1">
      <alignment horizontal="center" vertical="center"/>
    </xf>
    <xf numFmtId="0" fontId="43" fillId="0" borderId="5" xfId="0" applyFont="1" applyFill="1" applyBorder="1" applyAlignment="1">
      <alignment horizontal="center" vertical="center"/>
    </xf>
    <xf numFmtId="0" fontId="64" fillId="23" borderId="31" xfId="0" applyFont="1" applyFill="1" applyBorder="1" applyAlignment="1">
      <alignment vertical="center"/>
    </xf>
    <xf numFmtId="0" fontId="4" fillId="15" borderId="55" xfId="0" applyFont="1" applyFill="1" applyBorder="1" applyAlignment="1">
      <alignment vertical="center"/>
    </xf>
    <xf numFmtId="0" fontId="4" fillId="53" borderId="5" xfId="0" applyFont="1" applyFill="1" applyBorder="1" applyAlignment="1">
      <alignment horizontal="center"/>
    </xf>
    <xf numFmtId="0" fontId="4" fillId="53" borderId="5" xfId="0" applyFont="1" applyFill="1" applyBorder="1" applyAlignment="1">
      <alignment vertical="center"/>
    </xf>
    <xf numFmtId="0" fontId="64" fillId="53" borderId="5" xfId="0" applyFont="1" applyFill="1" applyBorder="1" applyAlignment="1">
      <alignment vertical="center"/>
    </xf>
    <xf numFmtId="0" fontId="26" fillId="15" borderId="85" xfId="0" applyFont="1" applyFill="1" applyBorder="1"/>
    <xf numFmtId="0" fontId="63" fillId="0" borderId="145" xfId="0" applyFont="1" applyBorder="1"/>
    <xf numFmtId="0" fontId="7" fillId="0" borderId="211" xfId="0" applyFont="1" applyBorder="1"/>
    <xf numFmtId="0" fontId="7" fillId="0" borderId="136" xfId="0" applyFont="1" applyBorder="1"/>
    <xf numFmtId="0" fontId="26" fillId="0" borderId="144" xfId="0" applyFont="1" applyBorder="1"/>
    <xf numFmtId="0" fontId="4" fillId="53" borderId="103" xfId="0" applyFont="1" applyFill="1" applyBorder="1" applyAlignment="1">
      <alignment horizontal="center" vertical="center"/>
    </xf>
    <xf numFmtId="0" fontId="4" fillId="53" borderId="55" xfId="0" applyFont="1" applyFill="1" applyBorder="1" applyAlignment="1">
      <alignment horizontal="center" vertical="center"/>
    </xf>
    <xf numFmtId="0" fontId="4" fillId="53" borderId="37" xfId="0" applyFont="1" applyFill="1" applyBorder="1" applyAlignment="1">
      <alignment horizontal="center" vertical="center"/>
    </xf>
    <xf numFmtId="0" fontId="75" fillId="15" borderId="66" xfId="0" applyFont="1" applyFill="1" applyBorder="1" applyAlignment="1">
      <alignment vertical="center"/>
    </xf>
    <xf numFmtId="0" fontId="26" fillId="15" borderId="67" xfId="0" applyFont="1" applyFill="1" applyBorder="1" applyAlignment="1"/>
    <xf numFmtId="0" fontId="63" fillId="0" borderId="146" xfId="0" applyFont="1" applyBorder="1"/>
    <xf numFmtId="0" fontId="131" fillId="15" borderId="34" xfId="0" applyFont="1" applyFill="1" applyBorder="1" applyAlignment="1">
      <alignment horizontal="center" vertical="center"/>
    </xf>
    <xf numFmtId="0" fontId="4" fillId="56" borderId="96" xfId="0" applyFont="1" applyFill="1" applyBorder="1" applyAlignment="1">
      <alignment horizontal="center" vertical="center"/>
    </xf>
    <xf numFmtId="0" fontId="35" fillId="15" borderId="33" xfId="0" applyFont="1" applyFill="1" applyBorder="1" applyAlignment="1">
      <alignment horizontal="center" vertical="center"/>
    </xf>
    <xf numFmtId="0" fontId="35" fillId="19" borderId="31" xfId="0" applyFont="1" applyFill="1" applyBorder="1" applyAlignment="1">
      <alignment vertical="center"/>
    </xf>
    <xf numFmtId="0" fontId="131" fillId="0" borderId="34" xfId="0" applyFont="1" applyBorder="1" applyAlignment="1">
      <alignment horizontal="center"/>
    </xf>
    <xf numFmtId="0" fontId="131" fillId="15" borderId="90" xfId="0" applyFont="1" applyFill="1" applyBorder="1" applyAlignment="1">
      <alignment horizontal="center" vertical="center"/>
    </xf>
    <xf numFmtId="0" fontId="4" fillId="0" borderId="74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8" borderId="62" xfId="0" applyFont="1" applyFill="1" applyBorder="1" applyAlignment="1">
      <alignment vertical="center"/>
    </xf>
    <xf numFmtId="0" fontId="4" fillId="83" borderId="96" xfId="0" applyFont="1" applyFill="1" applyBorder="1" applyAlignment="1">
      <alignment horizontal="center" vertical="center"/>
    </xf>
    <xf numFmtId="0" fontId="136" fillId="19" borderId="55" xfId="0" applyFont="1" applyFill="1" applyBorder="1" applyAlignment="1"/>
    <xf numFmtId="0" fontId="6" fillId="25" borderId="14" xfId="0" applyFont="1" applyFill="1" applyBorder="1" applyAlignment="1">
      <alignment horizontal="center" vertical="center"/>
    </xf>
    <xf numFmtId="0" fontId="35" fillId="15" borderId="96" xfId="0" applyFont="1" applyFill="1" applyBorder="1" applyAlignment="1">
      <alignment horizontal="center" vertical="center"/>
    </xf>
    <xf numFmtId="0" fontId="76" fillId="0" borderId="5" xfId="0" applyFont="1" applyBorder="1" applyAlignment="1">
      <alignment vertical="center"/>
    </xf>
    <xf numFmtId="0" fontId="131" fillId="19" borderId="14" xfId="0" applyFont="1" applyFill="1" applyBorder="1" applyAlignment="1">
      <alignment horizontal="center"/>
    </xf>
    <xf numFmtId="0" fontId="131" fillId="15" borderId="32" xfId="0" applyFont="1" applyFill="1" applyBorder="1" applyAlignment="1">
      <alignment horizontal="center" vertical="center"/>
    </xf>
    <xf numFmtId="0" fontId="7" fillId="19" borderId="32" xfId="0" applyFont="1" applyFill="1" applyBorder="1" applyAlignment="1">
      <alignment horizontal="center" vertical="center"/>
    </xf>
    <xf numFmtId="0" fontId="131" fillId="15" borderId="67" xfId="0" applyFont="1" applyFill="1" applyBorder="1" applyAlignment="1">
      <alignment horizontal="center"/>
    </xf>
    <xf numFmtId="0" fontId="131" fillId="0" borderId="31" xfId="0" applyFont="1" applyBorder="1" applyAlignment="1">
      <alignment horizontal="center"/>
    </xf>
    <xf numFmtId="0" fontId="140" fillId="15" borderId="44" xfId="0" applyFont="1" applyFill="1" applyBorder="1" applyAlignment="1">
      <alignment horizontal="center" vertical="center"/>
    </xf>
    <xf numFmtId="0" fontId="131" fillId="19" borderId="43" xfId="0" applyFont="1" applyFill="1" applyBorder="1" applyAlignment="1">
      <alignment horizontal="center"/>
    </xf>
    <xf numFmtId="0" fontId="131" fillId="15" borderId="96" xfId="0" applyFont="1" applyFill="1" applyBorder="1" applyAlignment="1">
      <alignment horizontal="center" vertical="center"/>
    </xf>
    <xf numFmtId="0" fontId="39" fillId="15" borderId="155" xfId="0" applyFont="1" applyFill="1" applyBorder="1" applyAlignment="1">
      <alignment vertical="center"/>
    </xf>
    <xf numFmtId="0" fontId="35" fillId="15" borderId="91" xfId="0" applyFont="1" applyFill="1" applyBorder="1" applyAlignment="1">
      <alignment horizontal="center" vertical="center"/>
    </xf>
    <xf numFmtId="0" fontId="4" fillId="67" borderId="75" xfId="0" applyFont="1" applyFill="1" applyBorder="1" applyAlignment="1">
      <alignment horizontal="center" vertical="center"/>
    </xf>
    <xf numFmtId="0" fontId="35" fillId="19" borderId="5" xfId="0" applyFont="1" applyFill="1" applyBorder="1" applyAlignment="1">
      <alignment horizontal="center" vertical="center"/>
    </xf>
    <xf numFmtId="0" fontId="35" fillId="15" borderId="118" xfId="0" applyFont="1" applyFill="1" applyBorder="1" applyAlignment="1">
      <alignment horizontal="center" vertical="center"/>
    </xf>
    <xf numFmtId="0" fontId="4" fillId="67" borderId="14" xfId="0" applyFont="1" applyFill="1" applyBorder="1" applyAlignment="1">
      <alignment horizontal="center" vertical="center"/>
    </xf>
    <xf numFmtId="0" fontId="4" fillId="56" borderId="32" xfId="0" applyFont="1" applyFill="1" applyBorder="1" applyAlignment="1">
      <alignment vertical="center"/>
    </xf>
    <xf numFmtId="0" fontId="93" fillId="10" borderId="116" xfId="0" applyFont="1" applyFill="1" applyBorder="1" applyAlignment="1">
      <alignment vertical="center"/>
    </xf>
    <xf numFmtId="0" fontId="0" fillId="0" borderId="5" xfId="0" applyFill="1" applyBorder="1"/>
    <xf numFmtId="0" fontId="131" fillId="19" borderId="5" xfId="0" applyFont="1" applyFill="1" applyBorder="1" applyAlignment="1">
      <alignment horizontal="center"/>
    </xf>
    <xf numFmtId="0" fontId="45" fillId="19" borderId="33" xfId="0" applyFont="1" applyFill="1" applyBorder="1" applyAlignment="1">
      <alignment horizontal="center" vertical="center"/>
    </xf>
    <xf numFmtId="0" fontId="116" fillId="15" borderId="14" xfId="0" applyFont="1" applyFill="1" applyBorder="1" applyAlignment="1">
      <alignment vertical="center"/>
    </xf>
    <xf numFmtId="0" fontId="116" fillId="0" borderId="5" xfId="0" applyFont="1" applyBorder="1" applyAlignment="1">
      <alignment vertical="center"/>
    </xf>
    <xf numFmtId="0" fontId="116" fillId="15" borderId="5" xfId="0" applyFont="1" applyFill="1" applyBorder="1" applyAlignment="1">
      <alignment vertical="center"/>
    </xf>
    <xf numFmtId="0" fontId="6" fillId="53" borderId="72" xfId="0" applyFont="1" applyFill="1" applyBorder="1" applyAlignment="1">
      <alignment vertical="center"/>
    </xf>
    <xf numFmtId="0" fontId="144" fillId="15" borderId="15" xfId="0" applyFont="1" applyFill="1" applyBorder="1" applyAlignment="1">
      <alignment horizontal="center"/>
    </xf>
    <xf numFmtId="0" fontId="4" fillId="72" borderId="62" xfId="0" applyFont="1" applyFill="1" applyBorder="1" applyAlignment="1">
      <alignment vertical="center"/>
    </xf>
    <xf numFmtId="0" fontId="7" fillId="72" borderId="62" xfId="0" applyFont="1" applyFill="1" applyBorder="1" applyAlignment="1">
      <alignment vertical="center"/>
    </xf>
    <xf numFmtId="0" fontId="7" fillId="72" borderId="62" xfId="0" applyFont="1" applyFill="1" applyBorder="1" applyAlignment="1"/>
    <xf numFmtId="0" fontId="45" fillId="0" borderId="119" xfId="0" applyFont="1" applyBorder="1"/>
    <xf numFmtId="0" fontId="4" fillId="19" borderId="72" xfId="0" applyFont="1" applyFill="1" applyBorder="1" applyAlignment="1">
      <alignment horizontal="center" vertical="center"/>
    </xf>
    <xf numFmtId="0" fontId="131" fillId="19" borderId="31" xfId="0" applyFont="1" applyFill="1" applyBorder="1" applyAlignment="1">
      <alignment horizontal="center"/>
    </xf>
    <xf numFmtId="0" fontId="13" fillId="19" borderId="5" xfId="0" applyFont="1" applyFill="1" applyBorder="1" applyAlignment="1">
      <alignment vertical="center"/>
    </xf>
    <xf numFmtId="0" fontId="4" fillId="68" borderId="5" xfId="0" applyFont="1" applyFill="1" applyBorder="1" applyAlignment="1">
      <alignment horizontal="center" vertical="center"/>
    </xf>
    <xf numFmtId="0" fontId="39" fillId="15" borderId="112" xfId="0" applyFont="1" applyFill="1" applyBorder="1" applyAlignment="1">
      <alignment vertical="center"/>
    </xf>
    <xf numFmtId="0" fontId="35" fillId="53" borderId="32" xfId="0" applyFont="1" applyFill="1" applyBorder="1" applyAlignment="1">
      <alignment vertical="center"/>
    </xf>
    <xf numFmtId="0" fontId="76" fillId="53" borderId="62" xfId="0" applyFont="1" applyFill="1" applyBorder="1" applyAlignment="1">
      <alignment vertical="center"/>
    </xf>
    <xf numFmtId="0" fontId="13" fillId="19" borderId="32" xfId="0" applyFont="1" applyFill="1" applyBorder="1" applyAlignment="1">
      <alignment vertical="center"/>
    </xf>
    <xf numFmtId="0" fontId="13" fillId="19" borderId="34" xfId="0" applyFont="1" applyFill="1" applyBorder="1" applyAlignment="1">
      <alignment vertical="center"/>
    </xf>
    <xf numFmtId="0" fontId="116" fillId="68" borderId="43" xfId="0" applyFont="1" applyFill="1" applyBorder="1" applyAlignment="1">
      <alignment vertical="center" wrapText="1"/>
    </xf>
    <xf numFmtId="0" fontId="116" fillId="68" borderId="14" xfId="0" applyFont="1" applyFill="1" applyBorder="1" applyAlignment="1">
      <alignment vertical="center"/>
    </xf>
    <xf numFmtId="0" fontId="116" fillId="25" borderId="91" xfId="0" applyFont="1" applyFill="1" applyBorder="1" applyAlignment="1">
      <alignment vertical="center"/>
    </xf>
    <xf numFmtId="0" fontId="145" fillId="7" borderId="5" xfId="0" applyFont="1" applyFill="1" applyBorder="1" applyAlignment="1">
      <alignment horizontal="center" vertical="center"/>
    </xf>
    <xf numFmtId="0" fontId="35" fillId="15" borderId="113" xfId="0" applyFont="1" applyFill="1" applyBorder="1" applyAlignment="1">
      <alignment vertical="center"/>
    </xf>
    <xf numFmtId="0" fontId="35" fillId="15" borderId="114" xfId="0" applyFont="1" applyFill="1" applyBorder="1" applyAlignment="1">
      <alignment vertical="center"/>
    </xf>
    <xf numFmtId="0" fontId="4" fillId="15" borderId="114" xfId="0" applyFont="1" applyFill="1" applyBorder="1" applyAlignment="1">
      <alignment vertical="center"/>
    </xf>
    <xf numFmtId="0" fontId="131" fillId="15" borderId="114" xfId="0" applyFont="1" applyFill="1" applyBorder="1" applyAlignment="1">
      <alignment horizontal="center" vertical="center"/>
    </xf>
    <xf numFmtId="0" fontId="4" fillId="15" borderId="96" xfId="0" applyFont="1" applyFill="1" applyBorder="1" applyAlignment="1">
      <alignment vertical="center"/>
    </xf>
    <xf numFmtId="0" fontId="35" fillId="15" borderId="131" xfId="0" applyFont="1" applyFill="1" applyBorder="1" applyAlignment="1">
      <alignment vertical="center"/>
    </xf>
    <xf numFmtId="0" fontId="35" fillId="15" borderId="134" xfId="0" applyFont="1" applyFill="1" applyBorder="1" applyAlignment="1">
      <alignment vertical="center"/>
    </xf>
    <xf numFmtId="0" fontId="0" fillId="15" borderId="114" xfId="0" applyFill="1" applyBorder="1" applyAlignment="1"/>
    <xf numFmtId="0" fontId="131" fillId="0" borderId="115" xfId="0" applyFont="1" applyBorder="1" applyAlignment="1">
      <alignment horizontal="center"/>
    </xf>
    <xf numFmtId="0" fontId="75" fillId="15" borderId="91" xfId="0" applyFont="1" applyFill="1" applyBorder="1" applyAlignment="1">
      <alignment vertical="center"/>
    </xf>
    <xf numFmtId="0" fontId="75" fillId="15" borderId="14" xfId="0" applyFont="1" applyFill="1" applyBorder="1" applyAlignment="1">
      <alignment vertical="center"/>
    </xf>
    <xf numFmtId="0" fontId="71" fillId="15" borderId="14" xfId="0" applyFont="1" applyFill="1" applyBorder="1" applyAlignment="1">
      <alignment vertical="center"/>
    </xf>
    <xf numFmtId="0" fontId="7" fillId="15" borderId="14" xfId="0" applyFont="1" applyFill="1" applyBorder="1" applyAlignment="1">
      <alignment vertical="center"/>
    </xf>
    <xf numFmtId="0" fontId="0" fillId="15" borderId="14" xfId="0" applyFill="1" applyBorder="1" applyAlignment="1"/>
    <xf numFmtId="0" fontId="26" fillId="15" borderId="44" xfId="0" applyFont="1" applyFill="1" applyBorder="1" applyAlignment="1">
      <alignment vertical="center"/>
    </xf>
    <xf numFmtId="0" fontId="7" fillId="56" borderId="31" xfId="0" applyFont="1" applyFill="1" applyBorder="1" applyAlignment="1">
      <alignment horizontal="center" vertical="center"/>
    </xf>
    <xf numFmtId="0" fontId="6" fillId="19" borderId="5" xfId="0" applyFont="1" applyFill="1" applyBorder="1" applyAlignment="1">
      <alignment vertical="center"/>
    </xf>
    <xf numFmtId="0" fontId="3" fillId="0" borderId="15" xfId="0" applyFont="1" applyBorder="1"/>
    <xf numFmtId="0" fontId="86" fillId="15" borderId="5" xfId="0" applyFont="1" applyFill="1" applyBorder="1" applyAlignment="1">
      <alignment vertical="center"/>
    </xf>
    <xf numFmtId="0" fontId="131" fillId="19" borderId="43" xfId="0" applyFont="1" applyFill="1" applyBorder="1" applyAlignment="1">
      <alignment horizontal="center" vertical="center"/>
    </xf>
    <xf numFmtId="0" fontId="131" fillId="15" borderId="79" xfId="0" applyFont="1" applyFill="1" applyBorder="1" applyAlignment="1">
      <alignment horizontal="center" vertical="center"/>
    </xf>
    <xf numFmtId="0" fontId="39" fillId="15" borderId="117" xfId="0" applyFont="1" applyFill="1" applyBorder="1" applyAlignment="1">
      <alignment vertical="center"/>
    </xf>
    <xf numFmtId="0" fontId="146" fillId="19" borderId="5" xfId="0" applyFont="1" applyFill="1" applyBorder="1" applyAlignment="1">
      <alignment vertical="center"/>
    </xf>
    <xf numFmtId="0" fontId="7" fillId="0" borderId="147" xfId="0" applyFont="1" applyBorder="1"/>
    <xf numFmtId="0" fontId="39" fillId="15" borderId="14" xfId="0" applyFont="1" applyFill="1" applyBorder="1" applyAlignment="1">
      <alignment horizontal="center" vertical="center"/>
    </xf>
    <xf numFmtId="0" fontId="0" fillId="15" borderId="43" xfId="0" applyFill="1" applyBorder="1" applyAlignment="1"/>
    <xf numFmtId="0" fontId="104" fillId="0" borderId="120" xfId="0" applyFont="1" applyBorder="1"/>
    <xf numFmtId="0" fontId="113" fillId="0" borderId="58" xfId="0" applyFont="1" applyBorder="1" applyAlignment="1">
      <alignment horizontal="left" vertical="center"/>
    </xf>
    <xf numFmtId="0" fontId="113" fillId="0" borderId="147" xfId="0" applyFont="1" applyBorder="1" applyAlignment="1">
      <alignment vertical="center"/>
    </xf>
    <xf numFmtId="0" fontId="113" fillId="0" borderId="117" xfId="0" applyFont="1" applyBorder="1" applyAlignment="1">
      <alignment horizontal="left" vertical="center"/>
    </xf>
    <xf numFmtId="0" fontId="113" fillId="0" borderId="146" xfId="0" applyFont="1" applyBorder="1" applyAlignment="1">
      <alignment vertical="center"/>
    </xf>
    <xf numFmtId="0" fontId="113" fillId="0" borderId="42" xfId="0" applyFont="1" applyBorder="1" applyAlignment="1">
      <alignment horizontal="left" vertical="center"/>
    </xf>
    <xf numFmtId="0" fontId="113" fillId="0" borderId="120" xfId="0" applyFont="1" applyBorder="1" applyAlignment="1">
      <alignment vertical="center"/>
    </xf>
    <xf numFmtId="0" fontId="104" fillId="0" borderId="152" xfId="0" applyFont="1" applyBorder="1"/>
    <xf numFmtId="0" fontId="104" fillId="0" borderId="164" xfId="0" applyFont="1" applyBorder="1"/>
    <xf numFmtId="0" fontId="104" fillId="0" borderId="162" xfId="0" applyFont="1" applyBorder="1"/>
    <xf numFmtId="0" fontId="104" fillId="0" borderId="153" xfId="0" applyFont="1" applyBorder="1"/>
    <xf numFmtId="0" fontId="104" fillId="0" borderId="184" xfId="0" applyFont="1" applyBorder="1"/>
    <xf numFmtId="0" fontId="113" fillId="0" borderId="65" xfId="0" applyFont="1" applyBorder="1"/>
    <xf numFmtId="0" fontId="104" fillId="0" borderId="147" xfId="0" applyFont="1" applyBorder="1"/>
    <xf numFmtId="0" fontId="104" fillId="0" borderId="35" xfId="0" applyFont="1" applyBorder="1"/>
    <xf numFmtId="0" fontId="104" fillId="0" borderId="57" xfId="0" applyFont="1" applyBorder="1"/>
    <xf numFmtId="0" fontId="4" fillId="15" borderId="90" xfId="0" applyFont="1" applyFill="1" applyBorder="1" applyAlignment="1">
      <alignment vertical="center"/>
    </xf>
    <xf numFmtId="0" fontId="63" fillId="0" borderId="65" xfId="0" applyFont="1" applyBorder="1"/>
    <xf numFmtId="0" fontId="9" fillId="0" borderId="65" xfId="0" applyFont="1" applyBorder="1" applyAlignment="1">
      <alignment horizontal="left" vertical="center"/>
    </xf>
    <xf numFmtId="0" fontId="9" fillId="0" borderId="119" xfId="0" applyFont="1" applyBorder="1" applyAlignment="1">
      <alignment vertical="center"/>
    </xf>
    <xf numFmtId="0" fontId="9" fillId="0" borderId="68" xfId="0" applyFont="1" applyBorder="1" applyAlignment="1">
      <alignment horizontal="left" vertical="center"/>
    </xf>
    <xf numFmtId="0" fontId="63" fillId="0" borderId="112" xfId="0" applyFont="1" applyBorder="1"/>
    <xf numFmtId="0" fontId="45" fillId="0" borderId="65" xfId="0" applyFont="1" applyBorder="1"/>
    <xf numFmtId="0" fontId="45" fillId="0" borderId="5" xfId="0" applyFont="1" applyBorder="1"/>
    <xf numFmtId="0" fontId="26" fillId="0" borderId="187" xfId="0" applyFont="1" applyBorder="1"/>
    <xf numFmtId="0" fontId="93" fillId="10" borderId="5" xfId="0" applyFont="1" applyFill="1" applyBorder="1" applyAlignment="1">
      <alignment vertical="center"/>
    </xf>
    <xf numFmtId="0" fontId="6" fillId="53" borderId="74" xfId="0" applyFont="1" applyFill="1" applyBorder="1" applyAlignment="1">
      <alignment vertical="center"/>
    </xf>
    <xf numFmtId="0" fontId="6" fillId="53" borderId="102" xfId="0" applyFont="1" applyFill="1" applyBorder="1" applyAlignment="1">
      <alignment vertical="center"/>
    </xf>
    <xf numFmtId="0" fontId="9" fillId="0" borderId="162" xfId="0" applyFont="1" applyBorder="1" applyAlignment="1">
      <alignment horizontal="left" vertical="center"/>
    </xf>
    <xf numFmtId="0" fontId="3" fillId="0" borderId="136" xfId="0" applyFont="1" applyBorder="1"/>
    <xf numFmtId="0" fontId="26" fillId="0" borderId="37" xfId="0" applyFont="1" applyBorder="1"/>
    <xf numFmtId="0" fontId="9" fillId="0" borderId="33" xfId="0" applyFont="1" applyBorder="1" applyAlignment="1">
      <alignment vertical="center"/>
    </xf>
    <xf numFmtId="0" fontId="7" fillId="0" borderId="35" xfId="0" applyFont="1" applyBorder="1"/>
    <xf numFmtId="0" fontId="6" fillId="0" borderId="116" xfId="0" applyFont="1" applyFill="1" applyBorder="1" applyAlignment="1">
      <alignment vertical="center"/>
    </xf>
    <xf numFmtId="0" fontId="8" fillId="0" borderId="64" xfId="0" applyFont="1" applyFill="1" applyBorder="1" applyAlignment="1">
      <alignment vertical="center"/>
    </xf>
    <xf numFmtId="0" fontId="8" fillId="15" borderId="64" xfId="0" applyFont="1" applyFill="1" applyBorder="1" applyAlignment="1">
      <alignment vertical="center"/>
    </xf>
    <xf numFmtId="0" fontId="13" fillId="19" borderId="64" xfId="0" applyFont="1" applyFill="1" applyBorder="1" applyAlignment="1">
      <alignment vertical="center"/>
    </xf>
    <xf numFmtId="0" fontId="9" fillId="0" borderId="35" xfId="0" applyFont="1" applyBorder="1" applyAlignment="1">
      <alignment vertical="center"/>
    </xf>
    <xf numFmtId="0" fontId="6" fillId="53" borderId="14" xfId="0" applyFont="1" applyFill="1" applyBorder="1" applyAlignment="1">
      <alignment vertical="center"/>
    </xf>
    <xf numFmtId="0" fontId="9" fillId="0" borderId="145" xfId="0" applyFont="1" applyBorder="1" applyAlignment="1">
      <alignment horizontal="left" vertical="center"/>
    </xf>
    <xf numFmtId="0" fontId="9" fillId="0" borderId="77" xfId="0" applyFont="1" applyBorder="1" applyAlignment="1">
      <alignment vertical="center"/>
    </xf>
    <xf numFmtId="0" fontId="6" fillId="15" borderId="79" xfId="0" applyFont="1" applyFill="1" applyBorder="1" applyAlignment="1">
      <alignment vertical="center"/>
    </xf>
    <xf numFmtId="0" fontId="8" fillId="15" borderId="91" xfId="0" applyFont="1" applyFill="1" applyBorder="1" applyAlignment="1">
      <alignment vertical="center"/>
    </xf>
    <xf numFmtId="0" fontId="131" fillId="15" borderId="91" xfId="0" applyFont="1" applyFill="1" applyBorder="1" applyAlignment="1">
      <alignment horizontal="center" vertical="center"/>
    </xf>
    <xf numFmtId="0" fontId="3" fillId="0" borderId="175" xfId="0" applyFont="1" applyBorder="1"/>
    <xf numFmtId="0" fontId="93" fillId="0" borderId="43" xfId="0" applyFont="1" applyFill="1" applyBorder="1" applyAlignment="1">
      <alignment vertical="center"/>
    </xf>
    <xf numFmtId="0" fontId="93" fillId="10" borderId="43" xfId="0" applyFont="1" applyFill="1" applyBorder="1" applyAlignment="1">
      <alignment vertical="center"/>
    </xf>
    <xf numFmtId="0" fontId="93" fillId="76" borderId="43" xfId="0" applyFont="1" applyFill="1" applyBorder="1" applyAlignment="1">
      <alignment vertical="center"/>
    </xf>
    <xf numFmtId="0" fontId="6" fillId="19" borderId="43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04" fillId="0" borderId="50" xfId="0" applyFont="1" applyBorder="1" applyAlignment="1">
      <alignment horizontal="center" vertical="center"/>
    </xf>
    <xf numFmtId="0" fontId="63" fillId="0" borderId="66" xfId="0" applyFont="1" applyBorder="1"/>
    <xf numFmtId="0" fontId="9" fillId="0" borderId="98" xfId="0" applyFont="1" applyBorder="1" applyAlignment="1">
      <alignment horizontal="left" vertical="center"/>
    </xf>
    <xf numFmtId="0" fontId="13" fillId="6" borderId="60" xfId="0" applyFont="1" applyFill="1" applyBorder="1" applyAlignment="1">
      <alignment vertical="center"/>
    </xf>
    <xf numFmtId="0" fontId="54" fillId="8" borderId="5" xfId="0" applyFont="1" applyFill="1" applyBorder="1"/>
    <xf numFmtId="0" fontId="18" fillId="6" borderId="5" xfId="0" applyFont="1" applyFill="1" applyBorder="1" applyAlignment="1">
      <alignment vertical="center"/>
    </xf>
    <xf numFmtId="0" fontId="7" fillId="0" borderId="123" xfId="0" applyFont="1" applyBorder="1"/>
    <xf numFmtId="0" fontId="4" fillId="8" borderId="138" xfId="0" applyFont="1" applyFill="1" applyBorder="1" applyAlignment="1">
      <alignment vertical="center"/>
    </xf>
    <xf numFmtId="0" fontId="13" fillId="12" borderId="67" xfId="0" applyFont="1" applyFill="1" applyBorder="1" applyAlignment="1">
      <alignment horizontal="center" vertical="center"/>
    </xf>
    <xf numFmtId="0" fontId="39" fillId="15" borderId="32" xfId="0" applyFont="1" applyFill="1" applyBorder="1" applyAlignment="1">
      <alignment horizontal="center" vertical="center"/>
    </xf>
    <xf numFmtId="0" fontId="7" fillId="56" borderId="31" xfId="0" applyFont="1" applyFill="1" applyBorder="1" applyAlignment="1">
      <alignment vertical="center"/>
    </xf>
    <xf numFmtId="0" fontId="64" fillId="76" borderId="72" xfId="0" applyFont="1" applyFill="1" applyBorder="1" applyAlignment="1">
      <alignment vertical="center"/>
    </xf>
    <xf numFmtId="0" fontId="76" fillId="0" borderId="62" xfId="0" applyFont="1" applyFill="1" applyBorder="1" applyAlignment="1">
      <alignment vertical="center"/>
    </xf>
    <xf numFmtId="0" fontId="64" fillId="76" borderId="62" xfId="0" applyFont="1" applyFill="1" applyBorder="1" applyAlignment="1">
      <alignment vertical="center"/>
    </xf>
    <xf numFmtId="0" fontId="64" fillId="76" borderId="44" xfId="0" applyFont="1" applyFill="1" applyBorder="1" applyAlignment="1">
      <alignment vertical="center"/>
    </xf>
    <xf numFmtId="0" fontId="131" fillId="15" borderId="44" xfId="0" applyFont="1" applyFill="1" applyBorder="1" applyAlignment="1">
      <alignment horizontal="center" vertical="center"/>
    </xf>
    <xf numFmtId="0" fontId="7" fillId="0" borderId="132" xfId="0" applyFont="1" applyBorder="1"/>
    <xf numFmtId="0" fontId="131" fillId="15" borderId="72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vertical="center"/>
    </xf>
    <xf numFmtId="0" fontId="7" fillId="0" borderId="83" xfId="0" applyFont="1" applyBorder="1"/>
    <xf numFmtId="0" fontId="8" fillId="0" borderId="31" xfId="0" applyFont="1" applyFill="1" applyBorder="1" applyAlignment="1">
      <alignment vertical="center"/>
    </xf>
    <xf numFmtId="0" fontId="7" fillId="56" borderId="5" xfId="0" applyFont="1" applyFill="1" applyBorder="1" applyAlignment="1">
      <alignment vertical="center"/>
    </xf>
    <xf numFmtId="0" fontId="4" fillId="19" borderId="103" xfId="0" applyFont="1" applyFill="1" applyBorder="1" applyAlignment="1">
      <alignment vertical="center"/>
    </xf>
    <xf numFmtId="0" fontId="13" fillId="53" borderId="33" xfId="0" applyFont="1" applyFill="1" applyBorder="1" applyAlignment="1">
      <alignment vertical="center"/>
    </xf>
    <xf numFmtId="0" fontId="35" fillId="0" borderId="103" xfId="0" applyFont="1" applyFill="1" applyBorder="1" applyAlignment="1">
      <alignment vertical="center"/>
    </xf>
    <xf numFmtId="0" fontId="4" fillId="8" borderId="5" xfId="0" applyFont="1" applyFill="1" applyBorder="1" applyAlignment="1">
      <alignment horizontal="left" vertical="center"/>
    </xf>
    <xf numFmtId="0" fontId="39" fillId="15" borderId="111" xfId="0" applyFont="1" applyFill="1" applyBorder="1" applyAlignment="1">
      <alignment vertical="center"/>
    </xf>
    <xf numFmtId="0" fontId="7" fillId="0" borderId="207" xfId="0" applyFont="1" applyBorder="1" applyAlignment="1">
      <alignment horizontal="center" vertical="center"/>
    </xf>
    <xf numFmtId="0" fontId="104" fillId="0" borderId="216" xfId="0" applyFont="1" applyBorder="1" applyAlignment="1">
      <alignment horizontal="center" vertical="center"/>
    </xf>
    <xf numFmtId="0" fontId="64" fillId="0" borderId="62" xfId="0" applyFont="1" applyFill="1" applyBorder="1" applyAlignment="1">
      <alignment vertical="center"/>
    </xf>
    <xf numFmtId="0" fontId="76" fillId="0" borderId="43" xfId="0" applyFont="1" applyBorder="1" applyAlignment="1">
      <alignment vertical="center"/>
    </xf>
    <xf numFmtId="0" fontId="0" fillId="0" borderId="106" xfId="0" applyBorder="1"/>
    <xf numFmtId="0" fontId="13" fillId="53" borderId="14" xfId="0" applyFont="1" applyFill="1" applyBorder="1" applyAlignment="1">
      <alignment vertical="center"/>
    </xf>
    <xf numFmtId="0" fontId="76" fillId="0" borderId="118" xfId="0" applyFont="1" applyFill="1" applyBorder="1" applyAlignment="1">
      <alignment vertical="center"/>
    </xf>
    <xf numFmtId="0" fontId="39" fillId="15" borderId="131" xfId="0" applyFont="1" applyFill="1" applyBorder="1" applyAlignment="1">
      <alignment vertical="center"/>
    </xf>
    <xf numFmtId="0" fontId="39" fillId="15" borderId="157" xfId="0" applyFont="1" applyFill="1" applyBorder="1" applyAlignment="1">
      <alignment vertical="center"/>
    </xf>
    <xf numFmtId="0" fontId="131" fillId="15" borderId="5" xfId="0" applyFont="1" applyFill="1" applyBorder="1" applyAlignment="1">
      <alignment vertical="center"/>
    </xf>
    <xf numFmtId="0" fontId="140" fillId="19" borderId="15" xfId="0" applyFont="1" applyFill="1" applyBorder="1" applyAlignment="1">
      <alignment horizontal="center" vertical="center"/>
    </xf>
    <xf numFmtId="0" fontId="7" fillId="56" borderId="43" xfId="0" applyFont="1" applyFill="1" applyBorder="1" applyAlignment="1">
      <alignment vertical="center"/>
    </xf>
    <xf numFmtId="0" fontId="106" fillId="0" borderId="5" xfId="0" applyFont="1" applyFill="1" applyBorder="1" applyAlignment="1">
      <alignment vertical="center"/>
    </xf>
    <xf numFmtId="0" fontId="106" fillId="0" borderId="32" xfId="0" applyFont="1" applyFill="1" applyBorder="1" applyAlignment="1">
      <alignment vertical="center"/>
    </xf>
    <xf numFmtId="0" fontId="148" fillId="0" borderId="5" xfId="0" applyFont="1" applyFill="1" applyBorder="1" applyAlignment="1">
      <alignment vertical="center"/>
    </xf>
    <xf numFmtId="0" fontId="148" fillId="0" borderId="15" xfId="0" applyFont="1" applyFill="1" applyBorder="1" applyAlignment="1">
      <alignment vertical="center"/>
    </xf>
    <xf numFmtId="0" fontId="93" fillId="10" borderId="32" xfId="0" applyFont="1" applyFill="1" applyBorder="1" applyAlignment="1">
      <alignment vertical="center"/>
    </xf>
    <xf numFmtId="0" fontId="39" fillId="7" borderId="14" xfId="0" applyFont="1" applyFill="1" applyBorder="1" applyAlignment="1">
      <alignment vertical="center"/>
    </xf>
    <xf numFmtId="0" fontId="13" fillId="2" borderId="62" xfId="0" applyFont="1" applyFill="1" applyBorder="1" applyAlignment="1">
      <alignment horizontal="center" vertical="center"/>
    </xf>
    <xf numFmtId="0" fontId="131" fillId="0" borderId="5" xfId="0" applyFont="1" applyBorder="1" applyAlignment="1">
      <alignment horizontal="center"/>
    </xf>
    <xf numFmtId="0" fontId="131" fillId="19" borderId="32" xfId="0" applyFont="1" applyFill="1" applyBorder="1" applyAlignment="1">
      <alignment horizontal="center" vertical="center"/>
    </xf>
    <xf numFmtId="0" fontId="131" fillId="0" borderId="55" xfId="0" applyFont="1" applyBorder="1" applyAlignment="1">
      <alignment horizontal="center" vertical="center"/>
    </xf>
    <xf numFmtId="0" fontId="131" fillId="0" borderId="43" xfId="0" applyFont="1" applyFill="1" applyBorder="1" applyAlignment="1">
      <alignment horizontal="center" vertical="center"/>
    </xf>
    <xf numFmtId="0" fontId="4" fillId="19" borderId="32" xfId="0" applyFont="1" applyFill="1" applyBorder="1" applyAlignment="1">
      <alignment vertical="center"/>
    </xf>
    <xf numFmtId="0" fontId="13" fillId="53" borderId="5" xfId="0" applyFont="1" applyFill="1" applyBorder="1" applyAlignment="1">
      <alignment vertical="center"/>
    </xf>
    <xf numFmtId="0" fontId="7" fillId="67" borderId="73" xfId="0" applyFont="1" applyFill="1" applyBorder="1" applyAlignment="1">
      <alignment horizontal="center" vertical="center"/>
    </xf>
    <xf numFmtId="0" fontId="131" fillId="0" borderId="15" xfId="0" applyFont="1" applyBorder="1" applyAlignment="1">
      <alignment horizontal="center" vertical="center"/>
    </xf>
    <xf numFmtId="0" fontId="113" fillId="0" borderId="65" xfId="0" applyFont="1" applyBorder="1" applyAlignment="1">
      <alignment vertical="center"/>
    </xf>
    <xf numFmtId="0" fontId="7" fillId="56" borderId="55" xfId="0" applyFont="1" applyFill="1" applyBorder="1" applyAlignment="1">
      <alignment horizontal="center" vertical="center"/>
    </xf>
    <xf numFmtId="0" fontId="7" fillId="0" borderId="187" xfId="0" applyFont="1" applyBorder="1"/>
    <xf numFmtId="0" fontId="4" fillId="19" borderId="43" xfId="0" applyFont="1" applyFill="1" applyBorder="1" applyAlignment="1">
      <alignment vertical="center"/>
    </xf>
    <xf numFmtId="0" fontId="26" fillId="0" borderId="98" xfId="0" applyFont="1" applyBorder="1"/>
    <xf numFmtId="0" fontId="64" fillId="23" borderId="0" xfId="0" applyFont="1" applyFill="1" applyBorder="1" applyAlignment="1">
      <alignment vertical="center"/>
    </xf>
    <xf numFmtId="0" fontId="45" fillId="23" borderId="85" xfId="0" applyFont="1" applyFill="1" applyBorder="1" applyAlignment="1">
      <alignment vertical="center"/>
    </xf>
    <xf numFmtId="0" fontId="21" fillId="0" borderId="35" xfId="0" applyFont="1" applyFill="1" applyBorder="1" applyAlignment="1">
      <alignment vertical="center"/>
    </xf>
    <xf numFmtId="0" fontId="66" fillId="15" borderId="73" xfId="0" applyFont="1" applyFill="1" applyBorder="1" applyAlignment="1">
      <alignment horizontal="center" vertical="center"/>
    </xf>
    <xf numFmtId="0" fontId="66" fillId="15" borderId="43" xfId="0" applyFont="1" applyFill="1" applyBorder="1" applyAlignment="1">
      <alignment horizontal="center" vertical="center"/>
    </xf>
    <xf numFmtId="0" fontId="76" fillId="15" borderId="73" xfId="0" applyFont="1" applyFill="1" applyBorder="1" applyAlignment="1">
      <alignment vertical="center"/>
    </xf>
    <xf numFmtId="0" fontId="76" fillId="15" borderId="43" xfId="0" applyFont="1" applyFill="1" applyBorder="1" applyAlignment="1">
      <alignment vertical="center"/>
    </xf>
    <xf numFmtId="0" fontId="76" fillId="0" borderId="34" xfId="0" applyFont="1" applyFill="1" applyBorder="1" applyAlignment="1">
      <alignment vertical="center"/>
    </xf>
    <xf numFmtId="0" fontId="76" fillId="0" borderId="110" xfId="0" applyFont="1" applyFill="1" applyBorder="1" applyAlignment="1">
      <alignment vertical="center"/>
    </xf>
    <xf numFmtId="0" fontId="21" fillId="23" borderId="35" xfId="0" applyFont="1" applyFill="1" applyBorder="1" applyAlignment="1">
      <alignment vertical="center"/>
    </xf>
    <xf numFmtId="0" fontId="106" fillId="0" borderId="71" xfId="0" applyFont="1" applyBorder="1" applyAlignment="1">
      <alignment horizontal="center" vertical="center"/>
    </xf>
    <xf numFmtId="0" fontId="106" fillId="0" borderId="117" xfId="0" applyFont="1" applyBorder="1"/>
    <xf numFmtId="0" fontId="106" fillId="0" borderId="146" xfId="0" applyFont="1" applyBorder="1"/>
    <xf numFmtId="0" fontId="39" fillId="19" borderId="5" xfId="0" applyFont="1" applyFill="1" applyBorder="1" applyAlignment="1">
      <alignment vertical="center"/>
    </xf>
    <xf numFmtId="0" fontId="66" fillId="19" borderId="5" xfId="0" applyFont="1" applyFill="1" applyBorder="1" applyAlignment="1">
      <alignment vertical="center"/>
    </xf>
    <xf numFmtId="0" fontId="66" fillId="19" borderId="43" xfId="0" applyFont="1" applyFill="1" applyBorder="1" applyAlignment="1">
      <alignment vertical="center"/>
    </xf>
    <xf numFmtId="0" fontId="66" fillId="19" borderId="14" xfId="0" applyFont="1" applyFill="1" applyBorder="1" applyAlignment="1">
      <alignment vertical="center"/>
    </xf>
    <xf numFmtId="0" fontId="66" fillId="19" borderId="96" xfId="0" applyFont="1" applyFill="1" applyBorder="1" applyAlignment="1">
      <alignment vertical="center"/>
    </xf>
    <xf numFmtId="0" fontId="7" fillId="56" borderId="96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vertical="center"/>
    </xf>
    <xf numFmtId="0" fontId="66" fillId="15" borderId="5" xfId="0" applyFont="1" applyFill="1" applyBorder="1" applyAlignment="1">
      <alignment horizontal="center" vertical="center"/>
    </xf>
    <xf numFmtId="0" fontId="146" fillId="19" borderId="14" xfId="0" applyFont="1" applyFill="1" applyBorder="1" applyAlignment="1">
      <alignment vertical="center"/>
    </xf>
    <xf numFmtId="0" fontId="7" fillId="19" borderId="110" xfId="0" applyFont="1" applyFill="1" applyBorder="1" applyAlignment="1">
      <alignment horizontal="center" vertical="center"/>
    </xf>
    <xf numFmtId="0" fontId="131" fillId="19" borderId="118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26" fillId="0" borderId="90" xfId="0" applyFont="1" applyFill="1" applyBorder="1" applyAlignment="1">
      <alignment horizontal="center" vertical="center"/>
    </xf>
    <xf numFmtId="0" fontId="83" fillId="0" borderId="5" xfId="0" applyFont="1" applyBorder="1" applyAlignment="1">
      <alignment horizontal="center" vertical="center"/>
    </xf>
    <xf numFmtId="0" fontId="95" fillId="19" borderId="5" xfId="0" applyFont="1" applyFill="1" applyBorder="1" applyAlignment="1">
      <alignment horizontal="center" vertical="center"/>
    </xf>
    <xf numFmtId="0" fontId="7" fillId="19" borderId="34" xfId="0" applyFont="1" applyFill="1" applyBorder="1" applyAlignment="1">
      <alignment horizontal="center" vertical="center"/>
    </xf>
    <xf numFmtId="0" fontId="4" fillId="19" borderId="60" xfId="0" applyFont="1" applyFill="1" applyBorder="1" applyAlignment="1">
      <alignment vertical="center"/>
    </xf>
    <xf numFmtId="0" fontId="93" fillId="23" borderId="35" xfId="0" applyFont="1" applyFill="1" applyBorder="1" applyAlignment="1">
      <alignment horizontal="center" vertical="center"/>
    </xf>
    <xf numFmtId="0" fontId="81" fillId="15" borderId="90" xfId="0" applyFont="1" applyFill="1" applyBorder="1" applyAlignment="1">
      <alignment horizontal="center" vertical="center"/>
    </xf>
    <xf numFmtId="0" fontId="81" fillId="15" borderId="34" xfId="0" applyFont="1" applyFill="1" applyBorder="1" applyAlignment="1">
      <alignment horizontal="center" vertical="center"/>
    </xf>
    <xf numFmtId="0" fontId="154" fillId="0" borderId="15" xfId="0" applyFont="1" applyFill="1" applyBorder="1" applyAlignment="1">
      <alignment horizontal="center" vertical="center"/>
    </xf>
    <xf numFmtId="0" fontId="155" fillId="0" borderId="43" xfId="0" applyFont="1" applyBorder="1" applyAlignment="1">
      <alignment horizontal="center"/>
    </xf>
    <xf numFmtId="0" fontId="155" fillId="0" borderId="62" xfId="0" applyFont="1" applyBorder="1" applyAlignment="1">
      <alignment horizontal="center"/>
    </xf>
    <xf numFmtId="0" fontId="81" fillId="15" borderId="110" xfId="0" applyFont="1" applyFill="1" applyBorder="1" applyAlignment="1">
      <alignment horizontal="center" vertical="center"/>
    </xf>
    <xf numFmtId="0" fontId="81" fillId="15" borderId="0" xfId="0" applyFont="1" applyFill="1" applyBorder="1" applyAlignment="1">
      <alignment horizontal="center" vertical="center"/>
    </xf>
    <xf numFmtId="0" fontId="81" fillId="15" borderId="44" xfId="0" applyFont="1" applyFill="1" applyBorder="1" applyAlignment="1">
      <alignment horizontal="center"/>
    </xf>
    <xf numFmtId="0" fontId="39" fillId="8" borderId="62" xfId="0" applyFont="1" applyFill="1" applyBorder="1" applyAlignment="1">
      <alignment vertical="center"/>
    </xf>
    <xf numFmtId="0" fontId="26" fillId="19" borderId="34" xfId="0" applyFont="1" applyFill="1" applyBorder="1" applyAlignment="1">
      <alignment vertical="center"/>
    </xf>
    <xf numFmtId="0" fontId="26" fillId="19" borderId="5" xfId="0" applyFont="1" applyFill="1" applyBorder="1" applyAlignment="1">
      <alignment vertical="center"/>
    </xf>
    <xf numFmtId="0" fontId="6" fillId="19" borderId="15" xfId="0" applyFont="1" applyFill="1" applyBorder="1" applyAlignment="1">
      <alignment vertical="center"/>
    </xf>
    <xf numFmtId="0" fontId="26" fillId="23" borderId="56" xfId="0" applyFont="1" applyFill="1" applyBorder="1" applyAlignment="1">
      <alignment vertical="center"/>
    </xf>
    <xf numFmtId="0" fontId="26" fillId="23" borderId="57" xfId="0" applyFont="1" applyFill="1" applyBorder="1" applyAlignment="1">
      <alignment vertical="center"/>
    </xf>
    <xf numFmtId="0" fontId="156" fillId="10" borderId="32" xfId="0" applyFont="1" applyFill="1" applyBorder="1" applyAlignment="1">
      <alignment horizontal="center" vertical="center"/>
    </xf>
    <xf numFmtId="0" fontId="4" fillId="19" borderId="56" xfId="0" applyFont="1" applyFill="1" applyBorder="1" applyAlignment="1">
      <alignment horizontal="center" vertical="center"/>
    </xf>
    <xf numFmtId="0" fontId="7" fillId="56" borderId="74" xfId="0" applyFont="1" applyFill="1" applyBorder="1" applyAlignment="1">
      <alignment horizontal="center" vertical="center"/>
    </xf>
    <xf numFmtId="0" fontId="130" fillId="0" borderId="122" xfId="0" applyFont="1" applyBorder="1"/>
    <xf numFmtId="0" fontId="39" fillId="19" borderId="43" xfId="0" applyFont="1" applyFill="1" applyBorder="1" applyAlignment="1">
      <alignment vertical="center"/>
    </xf>
    <xf numFmtId="0" fontId="81" fillId="15" borderId="32" xfId="0" applyFont="1" applyFill="1" applyBorder="1" applyAlignment="1">
      <alignment horizontal="center" vertical="center"/>
    </xf>
    <xf numFmtId="0" fontId="4" fillId="85" borderId="5" xfId="0" applyFont="1" applyFill="1" applyBorder="1" applyAlignment="1">
      <alignment vertical="center"/>
    </xf>
    <xf numFmtId="0" fontId="63" fillId="0" borderId="43" xfId="0" applyFont="1" applyBorder="1"/>
    <xf numFmtId="0" fontId="26" fillId="0" borderId="56" xfId="0" applyFont="1" applyBorder="1"/>
    <xf numFmtId="0" fontId="7" fillId="0" borderId="31" xfId="0" applyFont="1" applyBorder="1"/>
    <xf numFmtId="0" fontId="0" fillId="15" borderId="31" xfId="0" applyFill="1" applyBorder="1"/>
    <xf numFmtId="0" fontId="39" fillId="19" borderId="15" xfId="0" applyFont="1" applyFill="1" applyBorder="1" applyAlignment="1">
      <alignment vertical="center"/>
    </xf>
    <xf numFmtId="0" fontId="125" fillId="19" borderId="5" xfId="0" applyFont="1" applyFill="1" applyBorder="1" applyAlignment="1">
      <alignment vertical="center"/>
    </xf>
    <xf numFmtId="0" fontId="158" fillId="19" borderId="5" xfId="0" applyFont="1" applyFill="1" applyBorder="1" applyAlignment="1">
      <alignment horizontal="center" vertical="center"/>
    </xf>
    <xf numFmtId="0" fontId="153" fillId="19" borderId="5" xfId="0" applyFont="1" applyFill="1" applyBorder="1" applyAlignment="1">
      <alignment horizontal="center" vertical="center"/>
    </xf>
    <xf numFmtId="0" fontId="13" fillId="17" borderId="5" xfId="0" applyFont="1" applyFill="1" applyBorder="1" applyAlignment="1">
      <alignment horizontal="center" vertical="center"/>
    </xf>
    <xf numFmtId="0" fontId="7" fillId="0" borderId="55" xfId="0" applyFont="1" applyBorder="1"/>
    <xf numFmtId="0" fontId="86" fillId="15" borderId="15" xfId="0" applyFont="1" applyFill="1" applyBorder="1" applyAlignment="1">
      <alignment vertical="center"/>
    </xf>
    <xf numFmtId="0" fontId="13" fillId="68" borderId="5" xfId="0" applyFont="1" applyFill="1" applyBorder="1" applyAlignment="1">
      <alignment horizontal="center" vertical="center"/>
    </xf>
    <xf numFmtId="0" fontId="13" fillId="68" borderId="15" xfId="0" applyFont="1" applyFill="1" applyBorder="1" applyAlignment="1">
      <alignment horizontal="center" vertical="center"/>
    </xf>
    <xf numFmtId="0" fontId="19" fillId="19" borderId="5" xfId="0" applyFont="1" applyFill="1" applyBorder="1" applyAlignment="1">
      <alignment vertical="center"/>
    </xf>
    <xf numFmtId="0" fontId="13" fillId="17" borderId="15" xfId="0" applyFont="1" applyFill="1" applyBorder="1" applyAlignment="1">
      <alignment horizontal="center" vertical="center"/>
    </xf>
    <xf numFmtId="0" fontId="93" fillId="72" borderId="5" xfId="0" applyFont="1" applyFill="1" applyBorder="1" applyAlignment="1">
      <alignment horizontal="center" vertical="center"/>
    </xf>
    <xf numFmtId="0" fontId="63" fillId="0" borderId="117" xfId="0" applyFont="1" applyBorder="1"/>
    <xf numFmtId="0" fontId="26" fillId="0" borderId="66" xfId="0" applyFont="1" applyBorder="1"/>
    <xf numFmtId="0" fontId="9" fillId="0" borderId="74" xfId="0" applyFont="1" applyBorder="1" applyAlignment="1">
      <alignment horizontal="left" vertical="center"/>
    </xf>
    <xf numFmtId="0" fontId="9" fillId="0" borderId="108" xfId="0" applyFont="1" applyBorder="1" applyAlignment="1">
      <alignment vertical="center"/>
    </xf>
    <xf numFmtId="0" fontId="9" fillId="0" borderId="96" xfId="0" applyFont="1" applyBorder="1" applyAlignment="1">
      <alignment horizontal="left" vertical="center"/>
    </xf>
    <xf numFmtId="0" fontId="9" fillId="0" borderId="131" xfId="0" applyFont="1" applyBorder="1" applyAlignment="1">
      <alignment vertical="center"/>
    </xf>
    <xf numFmtId="0" fontId="7" fillId="0" borderId="69" xfId="0" applyFont="1" applyBorder="1"/>
    <xf numFmtId="0" fontId="13" fillId="5" borderId="62" xfId="0" applyFont="1" applyFill="1" applyBorder="1" applyAlignment="1">
      <alignment horizontal="center" vertical="center"/>
    </xf>
    <xf numFmtId="0" fontId="7" fillId="0" borderId="91" xfId="0" applyFont="1" applyBorder="1"/>
    <xf numFmtId="0" fontId="39" fillId="19" borderId="31" xfId="0" applyFont="1" applyFill="1" applyBorder="1" applyAlignment="1">
      <alignment vertical="center"/>
    </xf>
    <xf numFmtId="0" fontId="155" fillId="0" borderId="60" xfId="0" applyFont="1" applyBorder="1" applyAlignment="1">
      <alignment horizontal="center"/>
    </xf>
    <xf numFmtId="0" fontId="4" fillId="56" borderId="108" xfId="0" applyFont="1" applyFill="1" applyBorder="1" applyAlignment="1">
      <alignment horizontal="center" vertical="center"/>
    </xf>
    <xf numFmtId="0" fontId="157" fillId="85" borderId="90" xfId="0" applyFont="1" applyFill="1" applyBorder="1" applyAlignment="1">
      <alignment vertical="center"/>
    </xf>
    <xf numFmtId="0" fontId="4" fillId="19" borderId="55" xfId="0" applyFont="1" applyFill="1" applyBorder="1" applyAlignment="1">
      <alignment vertical="center" wrapText="1"/>
    </xf>
    <xf numFmtId="0" fontId="35" fillId="0" borderId="102" xfId="0" applyFont="1" applyFill="1" applyBorder="1" applyAlignment="1">
      <alignment vertical="center"/>
    </xf>
    <xf numFmtId="0" fontId="26" fillId="19" borderId="73" xfId="0" applyFont="1" applyFill="1" applyBorder="1" applyAlignment="1">
      <alignment vertical="center"/>
    </xf>
    <xf numFmtId="0" fontId="26" fillId="19" borderId="43" xfId="0" applyFont="1" applyFill="1" applyBorder="1" applyAlignment="1">
      <alignment vertical="center"/>
    </xf>
    <xf numFmtId="0" fontId="4" fillId="76" borderId="33" xfId="0" applyFont="1" applyFill="1" applyBorder="1" applyAlignment="1">
      <alignment vertical="center"/>
    </xf>
    <xf numFmtId="0" fontId="4" fillId="76" borderId="34" xfId="0" applyFont="1" applyFill="1" applyBorder="1" applyAlignment="1">
      <alignment vertical="center"/>
    </xf>
    <xf numFmtId="0" fontId="66" fillId="19" borderId="60" xfId="0" applyFont="1" applyFill="1" applyBorder="1" applyAlignment="1">
      <alignment vertical="center"/>
    </xf>
    <xf numFmtId="0" fontId="7" fillId="56" borderId="74" xfId="0" applyFont="1" applyFill="1" applyBorder="1" applyAlignment="1">
      <alignment vertical="center"/>
    </xf>
    <xf numFmtId="0" fontId="4" fillId="0" borderId="60" xfId="0" applyFont="1" applyFill="1" applyBorder="1" applyAlignment="1">
      <alignment horizontal="center" vertical="center"/>
    </xf>
    <xf numFmtId="0" fontId="104" fillId="0" borderId="145" xfId="0" applyFont="1" applyBorder="1"/>
    <xf numFmtId="0" fontId="66" fillId="19" borderId="15" xfId="0" applyFont="1" applyFill="1" applyBorder="1" applyAlignment="1">
      <alignment vertical="center"/>
    </xf>
    <xf numFmtId="0" fontId="11" fillId="0" borderId="60" xfId="0" applyFont="1" applyFill="1" applyBorder="1" applyAlignment="1">
      <alignment vertical="center"/>
    </xf>
    <xf numFmtId="0" fontId="35" fillId="0" borderId="67" xfId="0" applyFont="1" applyBorder="1" applyAlignment="1">
      <alignment horizontal="center" vertical="center"/>
    </xf>
    <xf numFmtId="0" fontId="64" fillId="23" borderId="98" xfId="0" applyFont="1" applyFill="1" applyBorder="1" applyAlignment="1">
      <alignment vertical="center"/>
    </xf>
    <xf numFmtId="0" fontId="64" fillId="23" borderId="112" xfId="0" applyFont="1" applyFill="1" applyBorder="1" applyAlignment="1">
      <alignment vertical="center"/>
    </xf>
    <xf numFmtId="0" fontId="26" fillId="19" borderId="62" xfId="0" applyFont="1" applyFill="1" applyBorder="1" applyAlignment="1">
      <alignment vertical="center"/>
    </xf>
    <xf numFmtId="0" fontId="64" fillId="23" borderId="42" xfId="0" applyFont="1" applyFill="1" applyBorder="1" applyAlignment="1">
      <alignment vertical="center"/>
    </xf>
    <xf numFmtId="0" fontId="131" fillId="0" borderId="103" xfId="0" applyFont="1" applyFill="1" applyBorder="1" applyAlignment="1">
      <alignment horizontal="center" vertical="center"/>
    </xf>
    <xf numFmtId="0" fontId="26" fillId="0" borderId="31" xfId="0" applyFont="1" applyFill="1" applyBorder="1" applyAlignment="1">
      <alignment vertical="center"/>
    </xf>
    <xf numFmtId="0" fontId="26" fillId="0" borderId="67" xfId="0" applyFont="1" applyFill="1" applyBorder="1" applyAlignment="1">
      <alignment horizontal="center" vertical="center"/>
    </xf>
    <xf numFmtId="0" fontId="155" fillId="0" borderId="5" xfId="0" applyFont="1" applyBorder="1" applyAlignment="1">
      <alignment horizontal="center"/>
    </xf>
    <xf numFmtId="0" fontId="35" fillId="8" borderId="62" xfId="0" applyFont="1" applyFill="1" applyBorder="1" applyAlignment="1">
      <alignment vertical="center"/>
    </xf>
    <xf numFmtId="0" fontId="131" fillId="0" borderId="56" xfId="0" applyFont="1" applyBorder="1" applyAlignment="1">
      <alignment horizontal="center"/>
    </xf>
    <xf numFmtId="0" fontId="0" fillId="0" borderId="115" xfId="0" applyBorder="1"/>
    <xf numFmtId="0" fontId="13" fillId="0" borderId="15" xfId="0" applyFont="1" applyFill="1" applyBorder="1" applyAlignment="1">
      <alignment horizontal="center" vertical="center"/>
    </xf>
    <xf numFmtId="0" fontId="39" fillId="8" borderId="15" xfId="0" applyFont="1" applyFill="1" applyBorder="1" applyAlignment="1">
      <alignment vertical="center"/>
    </xf>
    <xf numFmtId="0" fontId="4" fillId="8" borderId="64" xfId="0" applyFont="1" applyFill="1" applyBorder="1" applyAlignment="1">
      <alignment vertical="center"/>
    </xf>
    <xf numFmtId="0" fontId="0" fillId="0" borderId="90" xfId="0" applyBorder="1"/>
    <xf numFmtId="0" fontId="7" fillId="26" borderId="43" xfId="0" applyFont="1" applyFill="1" applyBorder="1" applyAlignment="1">
      <alignment horizontal="center" vertical="center"/>
    </xf>
    <xf numFmtId="0" fontId="131" fillId="0" borderId="43" xfId="0" applyFont="1" applyBorder="1" applyAlignment="1">
      <alignment horizontal="center"/>
    </xf>
    <xf numFmtId="0" fontId="4" fillId="86" borderId="60" xfId="0" applyFont="1" applyFill="1" applyBorder="1" applyAlignment="1">
      <alignment vertical="center"/>
    </xf>
    <xf numFmtId="0" fontId="0" fillId="0" borderId="96" xfId="0" applyBorder="1"/>
    <xf numFmtId="0" fontId="159" fillId="15" borderId="60" xfId="0" applyFont="1" applyFill="1" applyBorder="1" applyAlignment="1">
      <alignment vertical="center"/>
    </xf>
    <xf numFmtId="0" fontId="76" fillId="19" borderId="5" xfId="0" applyFont="1" applyFill="1" applyBorder="1" applyAlignment="1">
      <alignment vertical="center"/>
    </xf>
    <xf numFmtId="0" fontId="39" fillId="19" borderId="90" xfId="0" applyFont="1" applyFill="1" applyBorder="1" applyAlignment="1">
      <alignment vertical="center"/>
    </xf>
    <xf numFmtId="0" fontId="4" fillId="19" borderId="62" xfId="0" applyFont="1" applyFill="1" applyBorder="1" applyAlignment="1">
      <alignment horizontal="center" vertical="center"/>
    </xf>
    <xf numFmtId="0" fontId="131" fillId="0" borderId="96" xfId="0" applyFont="1" applyBorder="1" applyAlignment="1">
      <alignment horizontal="center"/>
    </xf>
    <xf numFmtId="0" fontId="4" fillId="8" borderId="155" xfId="0" applyFont="1" applyFill="1" applyBorder="1" applyAlignment="1">
      <alignment horizontal="center" vertical="center"/>
    </xf>
    <xf numFmtId="0" fontId="4" fillId="67" borderId="91" xfId="0" applyFont="1" applyFill="1" applyBorder="1" applyAlignment="1">
      <alignment horizontal="center" vertical="center"/>
    </xf>
    <xf numFmtId="0" fontId="86" fillId="15" borderId="43" xfId="0" applyFont="1" applyFill="1" applyBorder="1" applyAlignment="1">
      <alignment vertical="center"/>
    </xf>
    <xf numFmtId="0" fontId="159" fillId="15" borderId="14" xfId="0" applyFont="1" applyFill="1" applyBorder="1" applyAlignment="1">
      <alignment vertical="center"/>
    </xf>
    <xf numFmtId="0" fontId="81" fillId="15" borderId="55" xfId="0" applyFont="1" applyFill="1" applyBorder="1" applyAlignment="1">
      <alignment horizontal="center" vertical="center"/>
    </xf>
    <xf numFmtId="0" fontId="159" fillId="15" borderId="5" xfId="0" applyFont="1" applyFill="1" applyBorder="1" applyAlignment="1">
      <alignment vertical="center"/>
    </xf>
    <xf numFmtId="0" fontId="128" fillId="19" borderId="84" xfId="0" applyFont="1" applyFill="1" applyBorder="1" applyAlignment="1">
      <alignment vertical="center"/>
    </xf>
    <xf numFmtId="0" fontId="159" fillId="15" borderId="43" xfId="0" applyFont="1" applyFill="1" applyBorder="1" applyAlignment="1">
      <alignment vertical="center"/>
    </xf>
    <xf numFmtId="0" fontId="81" fillId="19" borderId="80" xfId="0" applyFont="1" applyFill="1" applyBorder="1" applyAlignment="1">
      <alignment horizontal="center" vertical="center"/>
    </xf>
    <xf numFmtId="0" fontId="81" fillId="0" borderId="43" xfId="0" applyFont="1" applyBorder="1" applyAlignment="1">
      <alignment horizontal="center"/>
    </xf>
    <xf numFmtId="0" fontId="4" fillId="73" borderId="5" xfId="0" applyFont="1" applyFill="1" applyBorder="1" applyAlignment="1">
      <alignment horizontal="center" vertical="center"/>
    </xf>
    <xf numFmtId="0" fontId="150" fillId="56" borderId="62" xfId="0" applyFont="1" applyFill="1" applyBorder="1" applyAlignment="1">
      <alignment horizontal="center" vertical="center"/>
    </xf>
    <xf numFmtId="0" fontId="35" fillId="8" borderId="14" xfId="0" applyFont="1" applyFill="1" applyBorder="1" applyAlignment="1">
      <alignment horizontal="center" vertical="center"/>
    </xf>
    <xf numFmtId="0" fontId="81" fillId="15" borderId="67" xfId="0" applyFont="1" applyFill="1" applyBorder="1" applyAlignment="1">
      <alignment horizontal="center" vertical="center"/>
    </xf>
    <xf numFmtId="0" fontId="81" fillId="0" borderId="14" xfId="0" applyFont="1" applyBorder="1" applyAlignment="1">
      <alignment horizontal="center"/>
    </xf>
    <xf numFmtId="0" fontId="7" fillId="0" borderId="103" xfId="0" applyFont="1" applyBorder="1" applyAlignment="1">
      <alignment horizontal="center" vertical="center"/>
    </xf>
    <xf numFmtId="0" fontId="39" fillId="19" borderId="34" xfId="0" applyFont="1" applyFill="1" applyBorder="1" applyAlignment="1">
      <alignment vertical="center"/>
    </xf>
    <xf numFmtId="0" fontId="128" fillId="63" borderId="115" xfId="0" applyFont="1" applyFill="1" applyBorder="1" applyAlignment="1">
      <alignment vertical="center"/>
    </xf>
    <xf numFmtId="0" fontId="159" fillId="15" borderId="114" xfId="0" applyFont="1" applyFill="1" applyBorder="1" applyAlignment="1">
      <alignment vertical="center"/>
    </xf>
    <xf numFmtId="0" fontId="4" fillId="73" borderId="60" xfId="0" applyFont="1" applyFill="1" applyBorder="1" applyAlignment="1">
      <alignment horizontal="center" vertical="center"/>
    </xf>
    <xf numFmtId="0" fontId="86" fillId="15" borderId="31" xfId="0" applyFont="1" applyFill="1" applyBorder="1" applyAlignment="1">
      <alignment vertical="center"/>
    </xf>
    <xf numFmtId="0" fontId="4" fillId="73" borderId="15" xfId="0" applyFont="1" applyFill="1" applyBorder="1" applyAlignment="1">
      <alignment horizontal="center" vertical="center"/>
    </xf>
    <xf numFmtId="0" fontId="45" fillId="0" borderId="43" xfId="0" applyFont="1" applyBorder="1"/>
    <xf numFmtId="0" fontId="4" fillId="73" borderId="14" xfId="0" applyFont="1" applyFill="1" applyBorder="1" applyAlignment="1">
      <alignment horizontal="center" vertical="center"/>
    </xf>
    <xf numFmtId="0" fontId="93" fillId="72" borderId="60" xfId="0" applyFont="1" applyFill="1" applyBorder="1" applyAlignment="1">
      <alignment horizontal="center" vertical="center"/>
    </xf>
    <xf numFmtId="0" fontId="13" fillId="5" borderId="61" xfId="0" applyFont="1" applyFill="1" applyBorder="1" applyAlignment="1">
      <alignment horizontal="center" vertical="center"/>
    </xf>
    <xf numFmtId="0" fontId="93" fillId="72" borderId="43" xfId="0" applyFont="1" applyFill="1" applyBorder="1" applyAlignment="1">
      <alignment horizontal="center" vertical="center"/>
    </xf>
    <xf numFmtId="0" fontId="7" fillId="0" borderId="56" xfId="0" applyFont="1" applyBorder="1"/>
    <xf numFmtId="0" fontId="3" fillId="0" borderId="14" xfId="0" applyFont="1" applyBorder="1"/>
    <xf numFmtId="0" fontId="45" fillId="87" borderId="5" xfId="0" applyFont="1" applyFill="1" applyBorder="1" applyAlignment="1">
      <alignment vertical="center"/>
    </xf>
    <xf numFmtId="0" fontId="39" fillId="19" borderId="60" xfId="0" applyFont="1" applyFill="1" applyBorder="1" applyAlignment="1">
      <alignment vertical="center"/>
    </xf>
    <xf numFmtId="0" fontId="7" fillId="53" borderId="43" xfId="0" applyFont="1" applyFill="1" applyBorder="1" applyAlignment="1">
      <alignment horizontal="center" vertical="center"/>
    </xf>
    <xf numFmtId="0" fontId="39" fillId="53" borderId="43" xfId="0" applyFont="1" applyFill="1" applyBorder="1" applyAlignment="1">
      <alignment vertical="center"/>
    </xf>
    <xf numFmtId="0" fontId="131" fillId="53" borderId="43" xfId="0" applyFont="1" applyFill="1" applyBorder="1" applyAlignment="1">
      <alignment horizontal="center" vertical="center"/>
    </xf>
    <xf numFmtId="0" fontId="6" fillId="53" borderId="43" xfId="0" applyFont="1" applyFill="1" applyBorder="1" applyAlignment="1">
      <alignment vertical="center"/>
    </xf>
    <xf numFmtId="0" fontId="35" fillId="8" borderId="34" xfId="0" applyFont="1" applyFill="1" applyBorder="1" applyAlignment="1">
      <alignment vertical="center"/>
    </xf>
    <xf numFmtId="0" fontId="35" fillId="53" borderId="73" xfId="0" applyFont="1" applyFill="1" applyBorder="1" applyAlignment="1">
      <alignment vertical="center"/>
    </xf>
    <xf numFmtId="0" fontId="39" fillId="8" borderId="5" xfId="0" applyFont="1" applyFill="1" applyBorder="1" applyAlignment="1">
      <alignment vertical="center"/>
    </xf>
    <xf numFmtId="0" fontId="0" fillId="15" borderId="134" xfId="0" applyFill="1" applyBorder="1" applyAlignment="1"/>
    <xf numFmtId="0" fontId="131" fillId="15" borderId="106" xfId="0" applyFont="1" applyFill="1" applyBorder="1" applyAlignment="1">
      <alignment horizontal="center" vertical="center"/>
    </xf>
    <xf numFmtId="0" fontId="149" fillId="0" borderId="5" xfId="0" applyFont="1" applyFill="1" applyBorder="1" applyAlignment="1">
      <alignment horizontal="center" vertical="center"/>
    </xf>
    <xf numFmtId="0" fontId="64" fillId="23" borderId="5" xfId="0" applyFont="1" applyFill="1" applyBorder="1" applyAlignment="1">
      <alignment horizontal="center" vertical="center"/>
    </xf>
    <xf numFmtId="0" fontId="70" fillId="0" borderId="217" xfId="0" applyFont="1" applyBorder="1"/>
    <xf numFmtId="0" fontId="70" fillId="0" borderId="218" xfId="0" applyFont="1" applyBorder="1"/>
    <xf numFmtId="0" fontId="0" fillId="0" borderId="218" xfId="0" applyBorder="1"/>
    <xf numFmtId="0" fontId="4" fillId="73" borderId="62" xfId="0" applyFont="1" applyFill="1" applyBorder="1" applyAlignment="1">
      <alignment horizontal="center" vertical="center"/>
    </xf>
    <xf numFmtId="0" fontId="4" fillId="73" borderId="44" xfId="0" applyFont="1" applyFill="1" applyBorder="1" applyAlignment="1">
      <alignment horizontal="center" vertical="center"/>
    </xf>
    <xf numFmtId="0" fontId="35" fillId="19" borderId="43" xfId="0" applyFont="1" applyFill="1" applyBorder="1" applyAlignment="1">
      <alignment horizontal="center" vertical="center"/>
    </xf>
    <xf numFmtId="0" fontId="149" fillId="0" borderId="60" xfId="0" applyFont="1" applyFill="1" applyBorder="1" applyAlignment="1">
      <alignment horizontal="center" vertical="center"/>
    </xf>
    <xf numFmtId="0" fontId="149" fillId="19" borderId="43" xfId="0" applyFont="1" applyFill="1" applyBorder="1" applyAlignment="1">
      <alignment horizontal="center" vertical="center"/>
    </xf>
    <xf numFmtId="0" fontId="131" fillId="0" borderId="44" xfId="0" applyFont="1" applyBorder="1" applyAlignment="1">
      <alignment horizontal="center"/>
    </xf>
    <xf numFmtId="0" fontId="35" fillId="8" borderId="15" xfId="0" applyFont="1" applyFill="1" applyBorder="1" applyAlignment="1">
      <alignment vertical="center"/>
    </xf>
    <xf numFmtId="0" fontId="155" fillId="0" borderId="15" xfId="0" applyFont="1" applyBorder="1" applyAlignment="1">
      <alignment horizontal="center"/>
    </xf>
    <xf numFmtId="0" fontId="128" fillId="63" borderId="131" xfId="0" applyFont="1" applyFill="1" applyBorder="1" applyAlignment="1">
      <alignment vertical="center"/>
    </xf>
    <xf numFmtId="0" fontId="128" fillId="63" borderId="77" xfId="0" applyFont="1" applyFill="1" applyBorder="1" applyAlignment="1">
      <alignment vertical="center"/>
    </xf>
    <xf numFmtId="0" fontId="7" fillId="19" borderId="75" xfId="0" applyFont="1" applyFill="1" applyBorder="1" applyAlignment="1">
      <alignment vertical="center"/>
    </xf>
    <xf numFmtId="0" fontId="45" fillId="0" borderId="62" xfId="0" applyFont="1" applyBorder="1"/>
    <xf numFmtId="0" fontId="131" fillId="15" borderId="73" xfId="0" applyFont="1" applyFill="1" applyBorder="1" applyAlignment="1">
      <alignment horizontal="center" vertical="center"/>
    </xf>
    <xf numFmtId="0" fontId="161" fillId="89" borderId="34" xfId="0" applyFont="1" applyFill="1" applyBorder="1" applyAlignment="1">
      <alignment horizontal="center" vertical="center"/>
    </xf>
    <xf numFmtId="0" fontId="7" fillId="19" borderId="110" xfId="0" applyFont="1" applyFill="1" applyBorder="1" applyAlignment="1">
      <alignment vertical="center"/>
    </xf>
    <xf numFmtId="0" fontId="7" fillId="19" borderId="60" xfId="0" applyFont="1" applyFill="1" applyBorder="1" applyAlignment="1">
      <alignment vertical="center"/>
    </xf>
    <xf numFmtId="0" fontId="163" fillId="0" borderId="60" xfId="0" applyFont="1" applyBorder="1" applyAlignment="1"/>
    <xf numFmtId="0" fontId="39" fillId="53" borderId="62" xfId="0" applyFont="1" applyFill="1" applyBorder="1" applyAlignment="1">
      <alignment vertical="center"/>
    </xf>
    <xf numFmtId="0" fontId="4" fillId="84" borderId="72" xfId="0" applyFont="1" applyFill="1" applyBorder="1" applyAlignment="1">
      <alignment vertical="center"/>
    </xf>
    <xf numFmtId="0" fontId="160" fillId="0" borderId="5" xfId="0" applyFont="1" applyBorder="1" applyAlignment="1">
      <alignment horizontal="center"/>
    </xf>
    <xf numFmtId="0" fontId="81" fillId="0" borderId="91" xfId="0" applyFont="1" applyBorder="1" applyAlignment="1">
      <alignment horizontal="center"/>
    </xf>
    <xf numFmtId="0" fontId="81" fillId="0" borderId="72" xfId="0" applyFont="1" applyBorder="1" applyAlignment="1">
      <alignment horizontal="center"/>
    </xf>
    <xf numFmtId="0" fontId="26" fillId="0" borderId="55" xfId="0" applyFont="1" applyBorder="1"/>
    <xf numFmtId="0" fontId="164" fillId="15" borderId="43" xfId="0" applyFont="1" applyFill="1" applyBorder="1" applyAlignment="1">
      <alignment vertical="center"/>
    </xf>
    <xf numFmtId="0" fontId="76" fillId="15" borderId="44" xfId="0" applyFont="1" applyFill="1" applyBorder="1" applyAlignment="1">
      <alignment vertical="center"/>
    </xf>
    <xf numFmtId="0" fontId="4" fillId="0" borderId="43" xfId="0" applyFont="1" applyBorder="1" applyAlignment="1">
      <alignment vertical="center"/>
    </xf>
    <xf numFmtId="0" fontId="4" fillId="67" borderId="5" xfId="0" applyFont="1" applyFill="1" applyBorder="1" applyAlignment="1">
      <alignment vertical="center"/>
    </xf>
    <xf numFmtId="0" fontId="93" fillId="72" borderId="15" xfId="0" applyFont="1" applyFill="1" applyBorder="1" applyAlignment="1">
      <alignment horizontal="center" vertical="center"/>
    </xf>
    <xf numFmtId="0" fontId="93" fillId="72" borderId="14" xfId="0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61" fillId="89" borderId="60" xfId="0" applyFont="1" applyFill="1" applyBorder="1" applyAlignment="1">
      <alignment horizontal="center" vertical="center"/>
    </xf>
    <xf numFmtId="0" fontId="64" fillId="23" borderId="60" xfId="0" applyFont="1" applyFill="1" applyBorder="1" applyAlignment="1">
      <alignment horizontal="center" vertical="center"/>
    </xf>
    <xf numFmtId="0" fontId="81" fillId="0" borderId="15" xfId="0" applyFont="1" applyBorder="1" applyAlignment="1">
      <alignment horizontal="center"/>
    </xf>
    <xf numFmtId="0" fontId="4" fillId="73" borderId="102" xfId="0" applyFont="1" applyFill="1" applyBorder="1" applyAlignment="1">
      <alignment horizontal="center" vertical="center"/>
    </xf>
    <xf numFmtId="0" fontId="83" fillId="56" borderId="62" xfId="0" applyFont="1" applyFill="1" applyBorder="1" applyAlignment="1">
      <alignment horizontal="center" vertical="center"/>
    </xf>
    <xf numFmtId="0" fontId="0" fillId="53" borderId="43" xfId="0" applyFill="1" applyBorder="1"/>
    <xf numFmtId="0" fontId="39" fillId="53" borderId="34" xfId="0" applyFont="1" applyFill="1" applyBorder="1" applyAlignment="1">
      <alignment vertical="center"/>
    </xf>
    <xf numFmtId="0" fontId="83" fillId="56" borderId="5" xfId="0" applyFont="1" applyFill="1" applyBorder="1" applyAlignment="1">
      <alignment horizontal="center" vertical="center"/>
    </xf>
    <xf numFmtId="0" fontId="19" fillId="19" borderId="32" xfId="0" applyFont="1" applyFill="1" applyBorder="1" applyAlignment="1">
      <alignment vertical="center"/>
    </xf>
    <xf numFmtId="0" fontId="131" fillId="0" borderId="14" xfId="0" applyFont="1" applyBorder="1" applyAlignment="1">
      <alignment horizontal="center" vertical="center"/>
    </xf>
    <xf numFmtId="0" fontId="0" fillId="0" borderId="80" xfId="0" applyBorder="1"/>
    <xf numFmtId="0" fontId="0" fillId="67" borderId="43" xfId="0" applyFill="1" applyBorder="1"/>
    <xf numFmtId="0" fontId="0" fillId="67" borderId="44" xfId="0" applyFill="1" applyBorder="1"/>
    <xf numFmtId="0" fontId="39" fillId="67" borderId="62" xfId="0" applyFont="1" applyFill="1" applyBorder="1" applyAlignment="1">
      <alignment vertical="center"/>
    </xf>
    <xf numFmtId="0" fontId="76" fillId="15" borderId="79" xfId="0" applyFont="1" applyFill="1" applyBorder="1" applyAlignment="1">
      <alignment vertical="center"/>
    </xf>
    <xf numFmtId="0" fontId="7" fillId="0" borderId="84" xfId="0" applyFont="1" applyBorder="1"/>
    <xf numFmtId="0" fontId="76" fillId="15" borderId="91" xfId="0" applyFont="1" applyFill="1" applyBorder="1" applyAlignment="1">
      <alignment vertical="center"/>
    </xf>
    <xf numFmtId="0" fontId="164" fillId="15" borderId="14" xfId="0" applyFont="1" applyFill="1" applyBorder="1" applyAlignment="1">
      <alignment vertical="center"/>
    </xf>
    <xf numFmtId="0" fontId="76" fillId="15" borderId="72" xfId="0" applyFont="1" applyFill="1" applyBorder="1" applyAlignment="1">
      <alignment vertical="center"/>
    </xf>
    <xf numFmtId="0" fontId="39" fillId="19" borderId="78" xfId="0" applyFont="1" applyFill="1" applyBorder="1" applyAlignment="1">
      <alignment vertical="center"/>
    </xf>
    <xf numFmtId="0" fontId="4" fillId="19" borderId="64" xfId="0" applyFont="1" applyFill="1" applyBorder="1" applyAlignment="1">
      <alignment vertical="center"/>
    </xf>
    <xf numFmtId="0" fontId="39" fillId="19" borderId="79" xfId="0" applyFont="1" applyFill="1" applyBorder="1" applyAlignment="1">
      <alignment horizontal="center" vertical="center"/>
    </xf>
    <xf numFmtId="0" fontId="39" fillId="19" borderId="43" xfId="0" applyFont="1" applyFill="1" applyBorder="1" applyAlignment="1">
      <alignment horizontal="center" vertical="center"/>
    </xf>
    <xf numFmtId="0" fontId="39" fillId="83" borderId="111" xfId="0" applyFont="1" applyFill="1" applyBorder="1" applyAlignment="1">
      <alignment vertical="center"/>
    </xf>
    <xf numFmtId="0" fontId="4" fillId="53" borderId="5" xfId="0" applyFont="1" applyFill="1" applyBorder="1" applyAlignment="1">
      <alignment horizontal="center" vertical="center"/>
    </xf>
    <xf numFmtId="0" fontId="6" fillId="37" borderId="65" xfId="0" applyFont="1" applyFill="1" applyBorder="1" applyAlignment="1">
      <alignment vertical="center"/>
    </xf>
    <xf numFmtId="0" fontId="6" fillId="37" borderId="34" xfId="0" applyFont="1" applyFill="1" applyBorder="1" applyAlignment="1">
      <alignment vertical="center"/>
    </xf>
    <xf numFmtId="0" fontId="83" fillId="56" borderId="72" xfId="0" applyFont="1" applyFill="1" applyBorder="1" applyAlignment="1">
      <alignment horizontal="center" vertical="center"/>
    </xf>
    <xf numFmtId="0" fontId="3" fillId="0" borderId="75" xfId="0" applyFont="1" applyBorder="1"/>
    <xf numFmtId="0" fontId="4" fillId="8" borderId="32" xfId="0" applyFont="1" applyFill="1" applyBorder="1" applyAlignment="1">
      <alignment vertical="center"/>
    </xf>
    <xf numFmtId="0" fontId="4" fillId="73" borderId="118" xfId="0" applyFont="1" applyFill="1" applyBorder="1" applyAlignment="1">
      <alignment vertical="center"/>
    </xf>
    <xf numFmtId="0" fontId="4" fillId="73" borderId="55" xfId="0" applyFont="1" applyFill="1" applyBorder="1" applyAlignment="1">
      <alignment horizontal="center" vertical="center"/>
    </xf>
    <xf numFmtId="0" fontId="4" fillId="73" borderId="96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135" fillId="0" borderId="0" xfId="0" applyFont="1"/>
    <xf numFmtId="0" fontId="135" fillId="0" borderId="0" xfId="0" applyFont="1" applyAlignment="1">
      <alignment readingOrder="1"/>
    </xf>
    <xf numFmtId="0" fontId="3" fillId="0" borderId="5" xfId="0" applyFont="1" applyBorder="1" applyAlignment="1"/>
    <xf numFmtId="0" fontId="13" fillId="19" borderId="118" xfId="0" applyFont="1" applyFill="1" applyBorder="1" applyAlignment="1">
      <alignment horizontal="center" vertical="center"/>
    </xf>
    <xf numFmtId="0" fontId="13" fillId="19" borderId="14" xfId="0" applyFont="1" applyFill="1" applyBorder="1" applyAlignment="1">
      <alignment horizontal="center" vertical="center"/>
    </xf>
    <xf numFmtId="0" fontId="13" fillId="19" borderId="31" xfId="0" applyFont="1" applyFill="1" applyBorder="1" applyAlignment="1">
      <alignment horizontal="center" vertical="center"/>
    </xf>
    <xf numFmtId="0" fontId="13" fillId="19" borderId="15" xfId="0" applyFont="1" applyFill="1" applyBorder="1" applyAlignment="1">
      <alignment horizontal="center" vertical="center"/>
    </xf>
    <xf numFmtId="0" fontId="13" fillId="19" borderId="55" xfId="0" applyFont="1" applyFill="1" applyBorder="1" applyAlignment="1">
      <alignment horizontal="center" vertical="center"/>
    </xf>
    <xf numFmtId="0" fontId="0" fillId="19" borderId="0" xfId="0" applyFill="1"/>
    <xf numFmtId="0" fontId="7" fillId="19" borderId="0" xfId="0" applyFont="1" applyFill="1" applyBorder="1"/>
    <xf numFmtId="0" fontId="4" fillId="19" borderId="0" xfId="0" applyFont="1" applyFill="1" applyBorder="1" applyAlignment="1">
      <alignment horizontal="center" vertical="center"/>
    </xf>
    <xf numFmtId="0" fontId="39" fillId="19" borderId="0" xfId="0" applyFont="1" applyFill="1" applyBorder="1" applyAlignment="1">
      <alignment vertical="center"/>
    </xf>
    <xf numFmtId="0" fontId="0" fillId="19" borderId="0" xfId="0" applyFill="1" applyBorder="1"/>
    <xf numFmtId="0" fontId="4" fillId="73" borderId="61" xfId="0" applyFont="1" applyFill="1" applyBorder="1" applyAlignment="1">
      <alignment horizontal="center" vertical="center"/>
    </xf>
    <xf numFmtId="0" fontId="4" fillId="0" borderId="43" xfId="0" applyFont="1" applyBorder="1"/>
    <xf numFmtId="0" fontId="3" fillId="0" borderId="0" xfId="0" applyFont="1" applyBorder="1" applyAlignment="1"/>
    <xf numFmtId="0" fontId="0" fillId="53" borderId="0" xfId="0" applyFill="1" applyBorder="1"/>
    <xf numFmtId="0" fontId="4" fillId="72" borderId="32" xfId="0" applyFont="1" applyFill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67" xfId="0" applyFont="1" applyBorder="1" applyAlignment="1">
      <alignment vertical="center"/>
    </xf>
    <xf numFmtId="0" fontId="4" fillId="0" borderId="60" xfId="0" applyFont="1" applyBorder="1" applyAlignment="1">
      <alignment vertical="center"/>
    </xf>
    <xf numFmtId="0" fontId="4" fillId="19" borderId="90" xfId="0" applyFont="1" applyFill="1" applyBorder="1" applyAlignment="1">
      <alignment horizontal="right" vertical="center"/>
    </xf>
    <xf numFmtId="0" fontId="4" fillId="19" borderId="31" xfId="0" applyFont="1" applyFill="1" applyBorder="1" applyAlignment="1">
      <alignment horizontal="right" vertical="center"/>
    </xf>
    <xf numFmtId="0" fontId="4" fillId="0" borderId="72" xfId="0" applyFont="1" applyBorder="1" applyAlignment="1">
      <alignment vertical="center"/>
    </xf>
    <xf numFmtId="0" fontId="116" fillId="0" borderId="0" xfId="0" applyFont="1" applyFill="1" applyBorder="1"/>
    <xf numFmtId="0" fontId="83" fillId="0" borderId="14" xfId="0" applyFont="1" applyBorder="1" applyAlignment="1">
      <alignment vertical="center"/>
    </xf>
    <xf numFmtId="0" fontId="35" fillId="19" borderId="32" xfId="0" applyFont="1" applyFill="1" applyBorder="1" applyAlignment="1">
      <alignment vertical="center"/>
    </xf>
    <xf numFmtId="0" fontId="35" fillId="19" borderId="33" xfId="0" applyFont="1" applyFill="1" applyBorder="1" applyAlignment="1">
      <alignment vertical="center"/>
    </xf>
    <xf numFmtId="0" fontId="35" fillId="19" borderId="34" xfId="0" applyFont="1" applyFill="1" applyBorder="1" applyAlignment="1">
      <alignment vertical="center"/>
    </xf>
    <xf numFmtId="0" fontId="57" fillId="0" borderId="0" xfId="0" applyFont="1" applyFill="1" applyBorder="1"/>
    <xf numFmtId="0" fontId="39" fillId="31" borderId="5" xfId="0" applyFont="1" applyFill="1" applyBorder="1" applyAlignment="1"/>
    <xf numFmtId="0" fontId="93" fillId="91" borderId="5" xfId="0" applyFont="1" applyFill="1" applyBorder="1" applyAlignment="1"/>
    <xf numFmtId="0" fontId="4" fillId="92" borderId="5" xfId="0" applyFont="1" applyFill="1" applyBorder="1" applyAlignment="1"/>
    <xf numFmtId="0" fontId="0" fillId="53" borderId="90" xfId="0" applyFill="1" applyBorder="1"/>
    <xf numFmtId="0" fontId="0" fillId="53" borderId="15" xfId="0" applyFill="1" applyBorder="1"/>
    <xf numFmtId="0" fontId="0" fillId="67" borderId="15" xfId="0" applyFill="1" applyBorder="1"/>
    <xf numFmtId="0" fontId="0" fillId="67" borderId="67" xfId="0" applyFill="1" applyBorder="1"/>
    <xf numFmtId="0" fontId="4" fillId="84" borderId="62" xfId="0" applyFont="1" applyFill="1" applyBorder="1" applyAlignment="1">
      <alignment vertical="center"/>
    </xf>
    <xf numFmtId="0" fontId="4" fillId="73" borderId="72" xfId="0" applyFont="1" applyFill="1" applyBorder="1" applyAlignment="1">
      <alignment horizontal="center" vertical="center"/>
    </xf>
    <xf numFmtId="0" fontId="0" fillId="67" borderId="5" xfId="0" applyFill="1" applyBorder="1"/>
    <xf numFmtId="0" fontId="0" fillId="67" borderId="62" xfId="0" applyFill="1" applyBorder="1"/>
    <xf numFmtId="0" fontId="70" fillId="0" borderId="15" xfId="0" applyFont="1" applyBorder="1"/>
    <xf numFmtId="0" fontId="13" fillId="53" borderId="60" xfId="0" applyFont="1" applyFill="1" applyBorder="1" applyAlignment="1">
      <alignment horizontal="center" vertical="center"/>
    </xf>
    <xf numFmtId="0" fontId="4" fillId="73" borderId="118" xfId="0" applyFont="1" applyFill="1" applyBorder="1" applyAlignment="1">
      <alignment horizontal="center" vertical="center"/>
    </xf>
    <xf numFmtId="0" fontId="131" fillId="31" borderId="5" xfId="0" applyFont="1" applyFill="1" applyBorder="1" applyAlignment="1">
      <alignment horizontal="center"/>
    </xf>
    <xf numFmtId="0" fontId="4" fillId="19" borderId="5" xfId="0" applyFont="1" applyFill="1" applyBorder="1" applyAlignment="1">
      <alignment horizontal="right" vertical="center"/>
    </xf>
    <xf numFmtId="0" fontId="4" fillId="73" borderId="5" xfId="0" applyFont="1" applyFill="1" applyBorder="1" applyAlignment="1">
      <alignment vertical="center"/>
    </xf>
    <xf numFmtId="0" fontId="4" fillId="84" borderId="5" xfId="0" applyFont="1" applyFill="1" applyBorder="1" applyAlignment="1">
      <alignment vertical="center"/>
    </xf>
    <xf numFmtId="0" fontId="6" fillId="94" borderId="5" xfId="0" applyFont="1" applyFill="1" applyBorder="1" applyAlignment="1"/>
    <xf numFmtId="0" fontId="0" fillId="0" borderId="114" xfId="0" applyBorder="1"/>
    <xf numFmtId="0" fontId="165" fillId="0" borderId="113" xfId="0" applyFont="1" applyBorder="1" applyAlignment="1">
      <alignment horizontal="center"/>
    </xf>
    <xf numFmtId="0" fontId="165" fillId="0" borderId="114" xfId="0" applyFont="1" applyBorder="1" applyAlignment="1">
      <alignment horizontal="center"/>
    </xf>
    <xf numFmtId="0" fontId="165" fillId="0" borderId="115" xfId="0" applyFont="1" applyBorder="1"/>
    <xf numFmtId="0" fontId="166" fillId="0" borderId="32" xfId="0" applyFont="1" applyBorder="1"/>
    <xf numFmtId="0" fontId="167" fillId="0" borderId="64" xfId="0" applyFont="1" applyBorder="1"/>
    <xf numFmtId="0" fontId="167" fillId="0" borderId="32" xfId="0" applyFont="1" applyBorder="1"/>
    <xf numFmtId="0" fontId="165" fillId="0" borderId="32" xfId="0" applyFont="1" applyBorder="1"/>
    <xf numFmtId="0" fontId="168" fillId="0" borderId="64" xfId="0" applyFont="1" applyBorder="1"/>
    <xf numFmtId="0" fontId="168" fillId="0" borderId="5" xfId="0" applyFont="1" applyBorder="1"/>
    <xf numFmtId="0" fontId="168" fillId="0" borderId="62" xfId="0" applyFont="1" applyBorder="1"/>
    <xf numFmtId="0" fontId="168" fillId="0" borderId="43" xfId="0" applyFont="1" applyBorder="1"/>
    <xf numFmtId="0" fontId="168" fillId="0" borderId="44" xfId="0" applyFont="1" applyBorder="1"/>
    <xf numFmtId="0" fontId="166" fillId="0" borderId="79" xfId="0" applyFont="1" applyBorder="1"/>
    <xf numFmtId="0" fontId="166" fillId="0" borderId="56" xfId="0" applyFont="1" applyBorder="1"/>
    <xf numFmtId="0" fontId="168" fillId="0" borderId="56" xfId="0" applyFont="1" applyBorder="1"/>
    <xf numFmtId="0" fontId="168" fillId="0" borderId="96" xfId="0" applyFont="1" applyBorder="1"/>
    <xf numFmtId="0" fontId="6" fillId="2" borderId="62" xfId="0" applyFont="1" applyFill="1" applyBorder="1" applyAlignment="1">
      <alignment horizontal="center" vertical="center"/>
    </xf>
    <xf numFmtId="0" fontId="6" fillId="95" borderId="15" xfId="0" applyFont="1" applyFill="1" applyBorder="1" applyAlignment="1">
      <alignment horizontal="center" vertical="center"/>
    </xf>
    <xf numFmtId="0" fontId="6" fillId="96" borderId="15" xfId="0" applyFont="1" applyFill="1" applyBorder="1" applyAlignment="1">
      <alignment horizontal="center" vertical="center"/>
    </xf>
    <xf numFmtId="0" fontId="6" fillId="2" borderId="67" xfId="0" applyFont="1" applyFill="1" applyBorder="1" applyAlignment="1">
      <alignment horizontal="center" vertical="center"/>
    </xf>
    <xf numFmtId="0" fontId="7" fillId="0" borderId="1" xfId="0" applyFont="1" applyBorder="1"/>
    <xf numFmtId="0" fontId="39" fillId="31" borderId="1" xfId="0" applyFont="1" applyFill="1" applyBorder="1" applyAlignment="1">
      <alignment vertical="center"/>
    </xf>
    <xf numFmtId="0" fontId="35" fillId="31" borderId="1" xfId="0" applyFont="1" applyFill="1" applyBorder="1" applyAlignment="1">
      <alignment horizontal="center" vertical="center"/>
    </xf>
    <xf numFmtId="0" fontId="4" fillId="92" borderId="1" xfId="0" applyFont="1" applyFill="1" applyBorder="1" applyAlignment="1">
      <alignment horizontal="center" vertical="center"/>
    </xf>
    <xf numFmtId="0" fontId="169" fillId="0" borderId="1" xfId="0" applyFont="1" applyBorder="1"/>
    <xf numFmtId="0" fontId="35" fillId="0" borderId="1" xfId="0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/>
    <xf numFmtId="0" fontId="86" fillId="31" borderId="1" xfId="0" applyFont="1" applyFill="1" applyBorder="1" applyAlignment="1">
      <alignment vertical="center"/>
    </xf>
    <xf numFmtId="0" fontId="4" fillId="104" borderId="1" xfId="0" applyFont="1" applyFill="1" applyBorder="1" applyAlignment="1">
      <alignment horizontal="center" vertical="center"/>
    </xf>
    <xf numFmtId="0" fontId="39" fillId="31" borderId="1" xfId="0" applyFont="1" applyFill="1" applyBorder="1" applyAlignment="1">
      <alignment horizontal="center" vertical="center"/>
    </xf>
    <xf numFmtId="0" fontId="4" fillId="102" borderId="1" xfId="0" applyFont="1" applyFill="1" applyBorder="1" applyAlignment="1">
      <alignment vertical="center"/>
    </xf>
    <xf numFmtId="0" fontId="4" fillId="31" borderId="1" xfId="0" applyFont="1" applyFill="1" applyBorder="1" applyAlignment="1">
      <alignment horizontal="center" vertical="center"/>
    </xf>
    <xf numFmtId="0" fontId="170" fillId="31" borderId="1" xfId="0" applyFont="1" applyFill="1" applyBorder="1" applyAlignment="1">
      <alignment horizontal="center" vertical="center"/>
    </xf>
    <xf numFmtId="0" fontId="39" fillId="0" borderId="1" xfId="0" applyFont="1" applyBorder="1" applyAlignment="1">
      <alignment vertical="center"/>
    </xf>
    <xf numFmtId="0" fontId="39" fillId="105" borderId="1" xfId="0" applyFont="1" applyFill="1" applyBorder="1" applyAlignment="1">
      <alignment vertical="center"/>
    </xf>
    <xf numFmtId="0" fontId="162" fillId="31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/>
    </xf>
    <xf numFmtId="0" fontId="4" fillId="0" borderId="1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right" vertical="center"/>
    </xf>
    <xf numFmtId="0" fontId="83" fillId="53" borderId="0" xfId="0" applyFont="1" applyFill="1" applyBorder="1" applyAlignment="1">
      <alignment horizontal="right"/>
    </xf>
    <xf numFmtId="0" fontId="83" fillId="0" borderId="0" xfId="0" applyFont="1" applyBorder="1" applyAlignment="1">
      <alignment horizontal="right"/>
    </xf>
    <xf numFmtId="0" fontId="83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61" fillId="0" borderId="1" xfId="0" applyFont="1" applyFill="1" applyBorder="1" applyAlignment="1">
      <alignment horizontal="right" vertical="center"/>
    </xf>
    <xf numFmtId="0" fontId="93" fillId="0" borderId="1" xfId="0" applyFont="1" applyFill="1" applyBorder="1" applyAlignment="1">
      <alignment horizontal="right" vertical="center"/>
    </xf>
    <xf numFmtId="0" fontId="4" fillId="31" borderId="1" xfId="0" applyFont="1" applyFill="1" applyBorder="1" applyAlignment="1">
      <alignment horizontal="right" vertical="center"/>
    </xf>
    <xf numFmtId="0" fontId="64" fillId="31" borderId="1" xfId="0" applyFont="1" applyFill="1" applyBorder="1" applyAlignment="1">
      <alignment horizontal="right" vertical="center"/>
    </xf>
    <xf numFmtId="0" fontId="4" fillId="0" borderId="1" xfId="0" applyFont="1" applyBorder="1" applyAlignment="1">
      <alignment horizontal="right"/>
    </xf>
    <xf numFmtId="0" fontId="4" fillId="53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22" fillId="0" borderId="1" xfId="0" applyFont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39" fillId="53" borderId="15" xfId="0" applyFont="1" applyFill="1" applyBorder="1" applyAlignment="1">
      <alignment vertical="center"/>
    </xf>
    <xf numFmtId="0" fontId="131" fillId="0" borderId="14" xfId="0" applyFont="1" applyBorder="1" applyAlignment="1">
      <alignment horizontal="center"/>
    </xf>
    <xf numFmtId="0" fontId="10" fillId="0" borderId="1" xfId="0" applyFont="1" applyBorder="1"/>
    <xf numFmtId="0" fontId="116" fillId="0" borderId="0" xfId="0" applyFont="1"/>
    <xf numFmtId="0" fontId="131" fillId="31" borderId="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right" vertical="center"/>
    </xf>
    <xf numFmtId="0" fontId="13" fillId="20" borderId="62" xfId="0" applyFont="1" applyFill="1" applyBorder="1" applyAlignment="1">
      <alignment horizontal="center" vertical="center"/>
    </xf>
    <xf numFmtId="0" fontId="165" fillId="0" borderId="5" xfId="0" applyFont="1" applyBorder="1"/>
    <xf numFmtId="0" fontId="4" fillId="19" borderId="79" xfId="0" applyFont="1" applyFill="1" applyBorder="1" applyAlignment="1">
      <alignment vertical="center"/>
    </xf>
    <xf numFmtId="0" fontId="4" fillId="0" borderId="61" xfId="0" applyFont="1" applyBorder="1" applyAlignment="1">
      <alignment vertical="center"/>
    </xf>
    <xf numFmtId="0" fontId="4" fillId="0" borderId="44" xfId="0" applyFont="1" applyBorder="1" applyAlignment="1">
      <alignment vertical="center"/>
    </xf>
    <xf numFmtId="0" fontId="39" fillId="0" borderId="62" xfId="0" applyFont="1" applyBorder="1" applyAlignment="1">
      <alignment vertical="center"/>
    </xf>
    <xf numFmtId="0" fontId="83" fillId="0" borderId="0" xfId="0" applyFont="1" applyFill="1" applyBorder="1" applyAlignment="1">
      <alignment horizontal="right"/>
    </xf>
    <xf numFmtId="0" fontId="82" fillId="0" borderId="0" xfId="0" applyFont="1"/>
    <xf numFmtId="164" fontId="0" fillId="0" borderId="0" xfId="0" applyNumberFormat="1" applyBorder="1"/>
    <xf numFmtId="2" fontId="0" fillId="0" borderId="0" xfId="0" applyNumberFormat="1" applyBorder="1"/>
    <xf numFmtId="2" fontId="83" fillId="0" borderId="0" xfId="0" applyNumberFormat="1" applyFont="1" applyFill="1" applyBorder="1" applyAlignment="1">
      <alignment horizontal="right"/>
    </xf>
    <xf numFmtId="165" fontId="0" fillId="0" borderId="0" xfId="0" applyNumberFormat="1" applyBorder="1"/>
    <xf numFmtId="0" fontId="57" fillId="0" borderId="0" xfId="0" applyFont="1"/>
    <xf numFmtId="0" fontId="0" fillId="53" borderId="0" xfId="0" applyFill="1"/>
    <xf numFmtId="49" fontId="13" fillId="53" borderId="60" xfId="0" applyNumberFormat="1" applyFont="1" applyFill="1" applyBorder="1" applyAlignment="1">
      <alignment vertical="center"/>
    </xf>
    <xf numFmtId="49" fontId="13" fillId="53" borderId="61" xfId="0" applyNumberFormat="1" applyFont="1" applyFill="1" applyBorder="1" applyAlignment="1">
      <alignment vertical="center"/>
    </xf>
    <xf numFmtId="0" fontId="13" fillId="53" borderId="32" xfId="0" applyFont="1" applyFill="1" applyBorder="1" applyAlignment="1">
      <alignment vertical="center"/>
    </xf>
    <xf numFmtId="0" fontId="13" fillId="53" borderId="15" xfId="0" applyFont="1" applyFill="1" applyBorder="1" applyAlignment="1">
      <alignment vertical="center"/>
    </xf>
    <xf numFmtId="0" fontId="13" fillId="53" borderId="55" xfId="0" applyFont="1" applyFill="1" applyBorder="1" applyAlignment="1">
      <alignment vertical="center"/>
    </xf>
    <xf numFmtId="0" fontId="0" fillId="53" borderId="5" xfId="0" applyFill="1" applyBorder="1" applyAlignment="1"/>
    <xf numFmtId="0" fontId="131" fillId="53" borderId="5" xfId="0" applyFont="1" applyFill="1" applyBorder="1" applyAlignment="1">
      <alignment vertical="center"/>
    </xf>
    <xf numFmtId="0" fontId="39" fillId="53" borderId="5" xfId="0" applyFont="1" applyFill="1" applyBorder="1" applyAlignment="1"/>
    <xf numFmtId="0" fontId="131" fillId="53" borderId="5" xfId="0" applyFont="1" applyFill="1" applyBorder="1" applyAlignment="1"/>
    <xf numFmtId="0" fontId="4" fillId="53" borderId="5" xfId="0" applyFont="1" applyFill="1" applyBorder="1" applyAlignment="1"/>
    <xf numFmtId="0" fontId="6" fillId="53" borderId="5" xfId="0" applyFont="1" applyFill="1" applyBorder="1" applyAlignment="1"/>
    <xf numFmtId="0" fontId="0" fillId="0" borderId="0" xfId="0" applyFill="1" applyAlignment="1"/>
    <xf numFmtId="0" fontId="93" fillId="0" borderId="5" xfId="0" applyFont="1" applyFill="1" applyBorder="1" applyAlignment="1">
      <alignment horizontal="center" vertical="center"/>
    </xf>
    <xf numFmtId="0" fontId="39" fillId="0" borderId="5" xfId="0" applyFont="1" applyFill="1" applyBorder="1" applyAlignment="1">
      <alignment horizontal="left" vertical="center"/>
    </xf>
    <xf numFmtId="0" fontId="39" fillId="0" borderId="5" xfId="0" applyFont="1" applyBorder="1" applyAlignment="1">
      <alignment horizontal="left" vertical="center"/>
    </xf>
    <xf numFmtId="0" fontId="93" fillId="0" borderId="5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165" fillId="0" borderId="104" xfId="0" applyFont="1" applyBorder="1" applyAlignment="1"/>
    <xf numFmtId="0" fontId="165" fillId="0" borderId="107" xfId="0" applyFont="1" applyBorder="1" applyAlignment="1"/>
    <xf numFmtId="0" fontId="165" fillId="0" borderId="133" xfId="0" applyFont="1" applyBorder="1" applyAlignment="1"/>
    <xf numFmtId="0" fontId="165" fillId="0" borderId="134" xfId="0" applyFont="1" applyBorder="1" applyAlignment="1"/>
    <xf numFmtId="0" fontId="0" fillId="0" borderId="78" xfId="0" applyBorder="1" applyAlignment="1"/>
    <xf numFmtId="0" fontId="0" fillId="0" borderId="61" xfId="0" applyBorder="1" applyAlignment="1"/>
    <xf numFmtId="0" fontId="39" fillId="0" borderId="60" xfId="0" applyFont="1" applyBorder="1" applyAlignment="1">
      <alignment horizontal="center" vertical="center"/>
    </xf>
    <xf numFmtId="0" fontId="4" fillId="53" borderId="14" xfId="0" applyFont="1" applyFill="1" applyBorder="1" applyAlignment="1">
      <alignment vertical="center"/>
    </xf>
    <xf numFmtId="0" fontId="4" fillId="53" borderId="118" xfId="0" applyFont="1" applyFill="1" applyBorder="1" applyAlignment="1">
      <alignment vertical="center"/>
    </xf>
    <xf numFmtId="0" fontId="4" fillId="53" borderId="72" xfId="0" applyFont="1" applyFill="1" applyBorder="1" applyAlignment="1">
      <alignment vertical="center"/>
    </xf>
    <xf numFmtId="0" fontId="0" fillId="0" borderId="133" xfId="0" applyBorder="1"/>
    <xf numFmtId="0" fontId="4" fillId="19" borderId="1" xfId="0" applyFont="1" applyFill="1" applyBorder="1" applyAlignment="1">
      <alignment horizontal="right" vertical="center" wrapText="1"/>
    </xf>
    <xf numFmtId="0" fontId="39" fillId="53" borderId="14" xfId="0" applyFont="1" applyFill="1" applyBorder="1" applyAlignment="1">
      <alignment vertical="center"/>
    </xf>
    <xf numFmtId="0" fontId="131" fillId="53" borderId="1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77" fillId="109" borderId="147" xfId="0" applyFont="1" applyFill="1" applyBorder="1" applyAlignment="1">
      <alignment horizontal="center" vertical="center"/>
    </xf>
    <xf numFmtId="0" fontId="177" fillId="109" borderId="83" xfId="0" applyFont="1" applyFill="1" applyBorder="1" applyAlignment="1">
      <alignment horizontal="center" vertical="center"/>
    </xf>
    <xf numFmtId="0" fontId="178" fillId="109" borderId="98" xfId="0" applyFont="1" applyFill="1" applyBorder="1" applyAlignment="1">
      <alignment horizontal="center" vertical="center"/>
    </xf>
    <xf numFmtId="0" fontId="178" fillId="109" borderId="147" xfId="0" applyFont="1" applyFill="1" applyBorder="1" applyAlignment="1">
      <alignment horizontal="center" vertical="center"/>
    </xf>
    <xf numFmtId="0" fontId="7" fillId="19" borderId="119" xfId="0" applyFont="1" applyFill="1" applyBorder="1"/>
    <xf numFmtId="15" fontId="180" fillId="23" borderId="33" xfId="0" applyNumberFormat="1" applyFont="1" applyFill="1" applyBorder="1" applyAlignment="1">
      <alignment horizontal="center"/>
    </xf>
    <xf numFmtId="16" fontId="176" fillId="110" borderId="65" xfId="0" applyNumberFormat="1" applyFont="1" applyFill="1" applyBorder="1" applyAlignment="1">
      <alignment horizontal="center"/>
    </xf>
    <xf numFmtId="16" fontId="176" fillId="110" borderId="111" xfId="0" applyNumberFormat="1" applyFont="1" applyFill="1" applyBorder="1" applyAlignment="1">
      <alignment horizontal="center"/>
    </xf>
    <xf numFmtId="16" fontId="176" fillId="110" borderId="33" xfId="0" applyNumberFormat="1" applyFont="1" applyFill="1" applyBorder="1" applyAlignment="1">
      <alignment horizontal="center"/>
    </xf>
    <xf numFmtId="0" fontId="165" fillId="0" borderId="118" xfId="0" applyFont="1" applyBorder="1"/>
    <xf numFmtId="0" fontId="165" fillId="0" borderId="72" xfId="0" applyFont="1" applyBorder="1"/>
    <xf numFmtId="0" fontId="0" fillId="23" borderId="33" xfId="0" applyFill="1" applyBorder="1" applyAlignment="1">
      <alignment horizontal="center"/>
    </xf>
    <xf numFmtId="0" fontId="176" fillId="110" borderId="64" xfId="0" applyFont="1" applyFill="1" applyBorder="1" applyAlignment="1">
      <alignment horizontal="center" vertical="center"/>
    </xf>
    <xf numFmtId="0" fontId="176" fillId="111" borderId="62" xfId="0" applyFont="1" applyFill="1" applyBorder="1" applyAlignment="1">
      <alignment vertical="center" wrapText="1"/>
    </xf>
    <xf numFmtId="0" fontId="176" fillId="110" borderId="34" xfId="0" applyFont="1" applyFill="1" applyBorder="1" applyAlignment="1">
      <alignment horizontal="center" vertical="center"/>
    </xf>
    <xf numFmtId="0" fontId="176" fillId="111" borderId="32" xfId="0" applyFont="1" applyFill="1" applyBorder="1" applyAlignment="1">
      <alignment vertical="center" wrapText="1"/>
    </xf>
    <xf numFmtId="0" fontId="165" fillId="19" borderId="32" xfId="0" applyFont="1" applyFill="1" applyBorder="1"/>
    <xf numFmtId="0" fontId="165" fillId="19" borderId="62" xfId="0" applyFont="1" applyFill="1" applyBorder="1"/>
    <xf numFmtId="0" fontId="181" fillId="0" borderId="16" xfId="0" applyFont="1" applyBorder="1"/>
    <xf numFmtId="15" fontId="0" fillId="23" borderId="33" xfId="0" applyNumberFormat="1" applyFill="1" applyBorder="1" applyAlignment="1">
      <alignment horizontal="center"/>
    </xf>
    <xf numFmtId="0" fontId="176" fillId="110" borderId="62" xfId="0" applyFont="1" applyFill="1" applyBorder="1" applyAlignment="1">
      <alignment horizontal="left" vertical="center"/>
    </xf>
    <xf numFmtId="0" fontId="176" fillId="110" borderId="32" xfId="0" applyFont="1" applyFill="1" applyBorder="1" applyAlignment="1">
      <alignment horizontal="left" vertical="center"/>
    </xf>
    <xf numFmtId="0" fontId="181" fillId="0" borderId="41" xfId="0" applyFont="1" applyBorder="1"/>
    <xf numFmtId="0" fontId="165" fillId="0" borderId="62" xfId="0" applyFont="1" applyBorder="1"/>
    <xf numFmtId="0" fontId="181" fillId="0" borderId="3" xfId="0" applyFont="1" applyBorder="1"/>
    <xf numFmtId="15" fontId="0" fillId="8" borderId="33" xfId="0" applyNumberFormat="1" applyFill="1" applyBorder="1" applyAlignment="1">
      <alignment horizontal="center"/>
    </xf>
    <xf numFmtId="0" fontId="176" fillId="110" borderId="62" xfId="0" applyFont="1" applyFill="1" applyBorder="1" applyAlignment="1">
      <alignment vertical="center"/>
    </xf>
    <xf numFmtId="0" fontId="176" fillId="110" borderId="32" xfId="0" applyFont="1" applyFill="1" applyBorder="1" applyAlignment="1">
      <alignment vertical="center"/>
    </xf>
    <xf numFmtId="0" fontId="7" fillId="19" borderId="187" xfId="0" applyFont="1" applyFill="1" applyBorder="1"/>
    <xf numFmtId="15" fontId="0" fillId="8" borderId="37" xfId="0" applyNumberFormat="1" applyFill="1" applyBorder="1" applyAlignment="1">
      <alignment horizontal="center"/>
    </xf>
    <xf numFmtId="0" fontId="7" fillId="19" borderId="147" xfId="0" applyFont="1" applyFill="1" applyBorder="1"/>
    <xf numFmtId="15" fontId="182" fillId="53" borderId="83" xfId="0" applyNumberFormat="1" applyFont="1" applyFill="1" applyBorder="1" applyAlignment="1">
      <alignment horizontal="center"/>
    </xf>
    <xf numFmtId="0" fontId="165" fillId="19" borderId="72" xfId="0" applyFont="1" applyFill="1" applyBorder="1"/>
    <xf numFmtId="15" fontId="0" fillId="19" borderId="33" xfId="0" applyNumberFormat="1" applyFill="1" applyBorder="1" applyAlignment="1">
      <alignment horizontal="center"/>
    </xf>
    <xf numFmtId="15" fontId="0" fillId="19" borderId="37" xfId="0" applyNumberFormat="1" applyFill="1" applyBorder="1" applyAlignment="1">
      <alignment horizontal="center"/>
    </xf>
    <xf numFmtId="0" fontId="3" fillId="19" borderId="147" xfId="0" applyFont="1" applyFill="1" applyBorder="1"/>
    <xf numFmtId="0" fontId="184" fillId="23" borderId="83" xfId="0" applyFont="1" applyFill="1" applyBorder="1" applyAlignment="1">
      <alignment horizontal="center"/>
    </xf>
    <xf numFmtId="0" fontId="165" fillId="19" borderId="118" xfId="0" applyFont="1" applyFill="1" applyBorder="1"/>
    <xf numFmtId="0" fontId="185" fillId="19" borderId="7" xfId="0" applyFont="1" applyFill="1" applyBorder="1"/>
    <xf numFmtId="0" fontId="3" fillId="19" borderId="119" xfId="0" applyFont="1" applyFill="1" applyBorder="1"/>
    <xf numFmtId="0" fontId="180" fillId="23" borderId="33" xfId="0" applyFont="1" applyFill="1" applyBorder="1" applyAlignment="1">
      <alignment horizontal="center"/>
    </xf>
    <xf numFmtId="0" fontId="166" fillId="19" borderId="32" xfId="0" applyFont="1" applyFill="1" applyBorder="1"/>
    <xf numFmtId="15" fontId="186" fillId="5" borderId="33" xfId="0" applyNumberFormat="1" applyFont="1" applyFill="1" applyBorder="1" applyAlignment="1">
      <alignment horizontal="center"/>
    </xf>
    <xf numFmtId="15" fontId="180" fillId="5" borderId="33" xfId="0" applyNumberFormat="1" applyFont="1" applyFill="1" applyBorder="1" applyAlignment="1">
      <alignment horizontal="center"/>
    </xf>
    <xf numFmtId="15" fontId="186" fillId="23" borderId="33" xfId="0" applyNumberFormat="1" applyFont="1" applyFill="1" applyBorder="1" applyAlignment="1">
      <alignment horizontal="center" wrapText="1"/>
    </xf>
    <xf numFmtId="0" fontId="165" fillId="0" borderId="102" xfId="0" applyFont="1" applyBorder="1"/>
    <xf numFmtId="0" fontId="181" fillId="19" borderId="64" xfId="0" applyFont="1" applyFill="1" applyBorder="1"/>
    <xf numFmtId="0" fontId="103" fillId="19" borderId="119" xfId="0" applyFont="1" applyFill="1" applyBorder="1"/>
    <xf numFmtId="0" fontId="181" fillId="19" borderId="79" xfId="0" applyFont="1" applyFill="1" applyBorder="1"/>
    <xf numFmtId="0" fontId="165" fillId="19" borderId="44" xfId="0" applyFont="1" applyFill="1" applyBorder="1"/>
    <xf numFmtId="0" fontId="181" fillId="0" borderId="11" xfId="0" applyFont="1" applyBorder="1"/>
    <xf numFmtId="0" fontId="165" fillId="0" borderId="67" xfId="0" applyFont="1" applyBorder="1"/>
    <xf numFmtId="0" fontId="3" fillId="19" borderId="187" xfId="0" applyFont="1" applyFill="1" applyBorder="1"/>
    <xf numFmtId="15" fontId="0" fillId="23" borderId="37" xfId="0" applyNumberFormat="1" applyFill="1" applyBorder="1" applyAlignment="1">
      <alignment horizontal="center"/>
    </xf>
    <xf numFmtId="0" fontId="185" fillId="0" borderId="7" xfId="0" applyFont="1" applyBorder="1"/>
    <xf numFmtId="15" fontId="0" fillId="23" borderId="83" xfId="0" applyNumberFormat="1" applyFill="1" applyBorder="1" applyAlignment="1">
      <alignment horizontal="center"/>
    </xf>
    <xf numFmtId="0" fontId="181" fillId="0" borderId="64" xfId="0" applyFont="1" applyBorder="1"/>
    <xf numFmtId="0" fontId="165" fillId="0" borderId="55" xfId="0" applyFont="1" applyBorder="1"/>
    <xf numFmtId="0" fontId="181" fillId="0" borderId="172" xfId="0" applyFont="1" applyBorder="1"/>
    <xf numFmtId="0" fontId="165" fillId="0" borderId="44" xfId="0" applyFont="1" applyBorder="1"/>
    <xf numFmtId="0" fontId="181" fillId="0" borderId="63" xfId="0" applyFont="1" applyBorder="1"/>
    <xf numFmtId="0" fontId="181" fillId="0" borderId="50" xfId="0" applyFont="1" applyBorder="1"/>
    <xf numFmtId="0" fontId="181" fillId="0" borderId="166" xfId="0" applyFont="1" applyBorder="1" applyAlignment="1">
      <alignment horizontal="center"/>
    </xf>
    <xf numFmtId="0" fontId="10" fillId="0" borderId="0" xfId="0" applyFont="1" applyAlignment="1">
      <alignment horizontal="right"/>
    </xf>
    <xf numFmtId="0" fontId="10" fillId="0" borderId="77" xfId="0" applyFont="1" applyBorder="1"/>
    <xf numFmtId="0" fontId="10" fillId="0" borderId="77" xfId="0" applyFont="1" applyBorder="1" applyAlignment="1">
      <alignment horizontal="right"/>
    </xf>
    <xf numFmtId="0" fontId="7" fillId="19" borderId="120" xfId="0" applyFont="1" applyFill="1" applyBorder="1"/>
    <xf numFmtId="15" fontId="180" fillId="23" borderId="57" xfId="0" applyNumberFormat="1" applyFont="1" applyFill="1" applyBorder="1" applyAlignment="1">
      <alignment horizontal="center"/>
    </xf>
    <xf numFmtId="0" fontId="7" fillId="19" borderId="122" xfId="0" applyFont="1" applyFill="1" applyBorder="1"/>
    <xf numFmtId="15" fontId="0" fillId="23" borderId="35" xfId="0" applyNumberFormat="1" applyFill="1" applyBorder="1" applyAlignment="1">
      <alignment horizontal="center"/>
    </xf>
    <xf numFmtId="0" fontId="70" fillId="19" borderId="119" xfId="0" applyFont="1" applyFill="1" applyBorder="1"/>
    <xf numFmtId="15" fontId="180" fillId="8" borderId="33" xfId="0" applyNumberFormat="1" applyFont="1" applyFill="1" applyBorder="1" applyAlignment="1">
      <alignment horizontal="center"/>
    </xf>
    <xf numFmtId="166" fontId="10" fillId="0" borderId="0" xfId="0" applyNumberFormat="1" applyFont="1"/>
    <xf numFmtId="0" fontId="0" fillId="19" borderId="119" xfId="0" applyFill="1" applyBorder="1"/>
    <xf numFmtId="0" fontId="0" fillId="23" borderId="57" xfId="0" applyFill="1" applyBorder="1" applyAlignment="1">
      <alignment horizontal="center"/>
    </xf>
    <xf numFmtId="0" fontId="165" fillId="0" borderId="0" xfId="0" applyFont="1"/>
    <xf numFmtId="0" fontId="3" fillId="19" borderId="120" xfId="0" applyFont="1" applyFill="1" applyBorder="1"/>
    <xf numFmtId="15" fontId="0" fillId="8" borderId="57" xfId="0" applyNumberForma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50" fillId="0" borderId="0" xfId="0" applyFont="1"/>
    <xf numFmtId="0" fontId="183" fillId="0" borderId="0" xfId="0" applyFont="1"/>
    <xf numFmtId="0" fontId="190" fillId="0" borderId="147" xfId="0" applyFont="1" applyBorder="1"/>
    <xf numFmtId="15" fontId="191" fillId="8" borderId="129" xfId="0" applyNumberFormat="1" applyFont="1" applyFill="1" applyBorder="1" applyAlignment="1">
      <alignment horizontal="center"/>
    </xf>
    <xf numFmtId="0" fontId="192" fillId="0" borderId="223" xfId="0" applyFont="1" applyBorder="1"/>
    <xf numFmtId="0" fontId="166" fillId="19" borderId="62" xfId="0" applyFont="1" applyFill="1" applyBorder="1"/>
    <xf numFmtId="0" fontId="190" fillId="0" borderId="187" xfId="0" applyFont="1" applyBorder="1"/>
    <xf numFmtId="15" fontId="193" fillId="72" borderId="159" xfId="0" applyNumberFormat="1" applyFont="1" applyFill="1" applyBorder="1" applyAlignment="1">
      <alignment horizontal="center"/>
    </xf>
    <xf numFmtId="0" fontId="189" fillId="0" borderId="224" xfId="0" applyFont="1" applyBorder="1"/>
    <xf numFmtId="0" fontId="183" fillId="0" borderId="5" xfId="0" applyFont="1" applyBorder="1"/>
    <xf numFmtId="0" fontId="189" fillId="0" borderId="64" xfId="0" applyFont="1" applyBorder="1"/>
    <xf numFmtId="15" fontId="191" fillId="5" borderId="139" xfId="0" applyNumberFormat="1" applyFont="1" applyFill="1" applyBorder="1" applyAlignment="1">
      <alignment horizontal="center"/>
    </xf>
    <xf numFmtId="0" fontId="165" fillId="0" borderId="14" xfId="0" applyFont="1" applyBorder="1"/>
    <xf numFmtId="0" fontId="10" fillId="0" borderId="5" xfId="0" applyFont="1" applyBorder="1"/>
    <xf numFmtId="0" fontId="165" fillId="0" borderId="147" xfId="0" applyFont="1" applyBorder="1"/>
    <xf numFmtId="0" fontId="166" fillId="19" borderId="120" xfId="0" applyFont="1" applyFill="1" applyBorder="1"/>
    <xf numFmtId="0" fontId="10" fillId="0" borderId="146" xfId="0" applyFont="1" applyBorder="1"/>
    <xf numFmtId="0" fontId="165" fillId="19" borderId="5" xfId="0" applyFont="1" applyFill="1" applyBorder="1"/>
    <xf numFmtId="0" fontId="166" fillId="0" borderId="62" xfId="0" applyFont="1" applyBorder="1"/>
    <xf numFmtId="0" fontId="10" fillId="0" borderId="145" xfId="0" applyFont="1" applyBorder="1"/>
    <xf numFmtId="0" fontId="165" fillId="0" borderId="15" xfId="0" applyFont="1" applyBorder="1"/>
    <xf numFmtId="0" fontId="181" fillId="0" borderId="223" xfId="0" applyFont="1" applyBorder="1"/>
    <xf numFmtId="0" fontId="6" fillId="2" borderId="118" xfId="0" applyFont="1" applyFill="1" applyBorder="1" applyAlignment="1">
      <alignment horizontal="center" vertical="center"/>
    </xf>
    <xf numFmtId="0" fontId="178" fillId="19" borderId="65" xfId="0" applyNumberFormat="1" applyFont="1" applyFill="1" applyBorder="1" applyAlignment="1">
      <alignment horizontal="center"/>
    </xf>
    <xf numFmtId="0" fontId="177" fillId="19" borderId="119" xfId="0" applyNumberFormat="1" applyFont="1" applyFill="1" applyBorder="1" applyAlignment="1">
      <alignment horizontal="center"/>
    </xf>
    <xf numFmtId="0" fontId="181" fillId="0" borderId="136" xfId="0" applyFont="1" applyBorder="1"/>
    <xf numFmtId="0" fontId="181" fillId="0" borderId="8" xfId="0" applyFont="1" applyBorder="1"/>
    <xf numFmtId="0" fontId="165" fillId="0" borderId="0" xfId="0" applyFont="1" applyBorder="1"/>
    <xf numFmtId="0" fontId="10" fillId="0" borderId="0" xfId="0" applyFont="1" applyBorder="1"/>
    <xf numFmtId="0" fontId="165" fillId="0" borderId="156" xfId="0" applyFont="1" applyBorder="1"/>
    <xf numFmtId="0" fontId="183" fillId="0" borderId="72" xfId="0" applyFont="1" applyBorder="1"/>
    <xf numFmtId="0" fontId="0" fillId="8" borderId="0" xfId="0" applyFill="1" applyBorder="1"/>
    <xf numFmtId="0" fontId="83" fillId="5" borderId="0" xfId="0" applyFont="1" applyFill="1" applyBorder="1"/>
    <xf numFmtId="0" fontId="0" fillId="5" borderId="0" xfId="0" applyFill="1" applyBorder="1"/>
    <xf numFmtId="0" fontId="195" fillId="0" borderId="72" xfId="0" applyFont="1" applyBorder="1"/>
    <xf numFmtId="0" fontId="195" fillId="0" borderId="111" xfId="0" applyFont="1" applyBorder="1"/>
    <xf numFmtId="0" fontId="195" fillId="19" borderId="62" xfId="0" applyFont="1" applyFill="1" applyBorder="1"/>
    <xf numFmtId="0" fontId="195" fillId="0" borderId="62" xfId="0" applyFont="1" applyBorder="1"/>
    <xf numFmtId="0" fontId="195" fillId="0" borderId="32" xfId="0" applyFont="1" applyBorder="1"/>
    <xf numFmtId="0" fontId="4" fillId="0" borderId="1" xfId="0" applyFont="1" applyBorder="1" applyAlignment="1">
      <alignment horizontal="right" vertical="center" wrapText="1"/>
    </xf>
    <xf numFmtId="0" fontId="4" fillId="53" borderId="0" xfId="0" applyFont="1" applyFill="1" applyAlignment="1">
      <alignment horizontal="right"/>
    </xf>
    <xf numFmtId="164" fontId="0" fillId="0" borderId="0" xfId="0" applyNumberFormat="1"/>
    <xf numFmtId="0" fontId="83" fillId="53" borderId="0" xfId="0" applyFont="1" applyFill="1" applyAlignment="1">
      <alignment horizontal="right"/>
    </xf>
    <xf numFmtId="0" fontId="116" fillId="67" borderId="14" xfId="0" applyFont="1" applyFill="1" applyBorder="1" applyAlignment="1">
      <alignment horizontal="center" vertical="center"/>
    </xf>
    <xf numFmtId="0" fontId="116" fillId="67" borderId="5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16" fillId="19" borderId="62" xfId="0" applyFont="1" applyFill="1" applyBorder="1" applyAlignment="1">
      <alignment horizontal="center" vertical="center"/>
    </xf>
    <xf numFmtId="0" fontId="116" fillId="67" borderId="111" xfId="0" applyFont="1" applyFill="1" applyBorder="1" applyAlignment="1">
      <alignment horizontal="center" vertical="center"/>
    </xf>
    <xf numFmtId="0" fontId="116" fillId="67" borderId="31" xfId="0" applyFont="1" applyFill="1" applyBorder="1" applyAlignment="1">
      <alignment horizontal="center" vertical="center"/>
    </xf>
    <xf numFmtId="0" fontId="83" fillId="8" borderId="5" xfId="0" applyFont="1" applyFill="1" applyBorder="1" applyAlignment="1">
      <alignment horizontal="center"/>
    </xf>
    <xf numFmtId="0" fontId="0" fillId="53" borderId="5" xfId="0" applyFill="1" applyBorder="1"/>
    <xf numFmtId="0" fontId="0" fillId="53" borderId="62" xfId="0" applyFill="1" applyBorder="1"/>
    <xf numFmtId="0" fontId="116" fillId="67" borderId="62" xfId="0" applyFont="1" applyFill="1" applyBorder="1" applyAlignment="1">
      <alignment horizontal="center" vertical="center"/>
    </xf>
    <xf numFmtId="0" fontId="54" fillId="19" borderId="5" xfId="0" applyFont="1" applyFill="1" applyBorder="1"/>
    <xf numFmtId="0" fontId="116" fillId="67" borderId="60" xfId="0" applyFont="1" applyFill="1" applyBorder="1" applyAlignment="1">
      <alignment horizontal="center" vertical="center"/>
    </xf>
    <xf numFmtId="0" fontId="13" fillId="53" borderId="14" xfId="0" applyFont="1" applyFill="1" applyBorder="1" applyAlignment="1">
      <alignment horizontal="center" vertical="center"/>
    </xf>
    <xf numFmtId="0" fontId="198" fillId="52" borderId="14" xfId="0" applyFont="1" applyFill="1" applyBorder="1" applyAlignment="1">
      <alignment horizontal="center" vertical="center"/>
    </xf>
    <xf numFmtId="0" fontId="116" fillId="67" borderId="15" xfId="0" applyFont="1" applyFill="1" applyBorder="1" applyAlignment="1">
      <alignment horizontal="center" vertical="center"/>
    </xf>
    <xf numFmtId="0" fontId="116" fillId="19" borderId="15" xfId="0" applyFont="1" applyFill="1" applyBorder="1" applyAlignment="1">
      <alignment horizontal="center" vertical="center"/>
    </xf>
    <xf numFmtId="0" fontId="116" fillId="67" borderId="4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/>
    </xf>
    <xf numFmtId="0" fontId="6" fillId="2" borderId="229" xfId="0" applyFont="1" applyFill="1" applyBorder="1" applyAlignment="1">
      <alignment horizontal="center"/>
    </xf>
    <xf numFmtId="0" fontId="6" fillId="96" borderId="15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95" borderId="15" xfId="0" applyFont="1" applyFill="1" applyBorder="1" applyAlignment="1">
      <alignment horizontal="center"/>
    </xf>
    <xf numFmtId="0" fontId="6" fillId="2" borderId="230" xfId="0" applyFont="1" applyFill="1" applyBorder="1" applyAlignment="1">
      <alignment horizontal="center"/>
    </xf>
    <xf numFmtId="0" fontId="4" fillId="40" borderId="60" xfId="0" applyFont="1" applyFill="1" applyBorder="1" applyAlignment="1">
      <alignment horizontal="center" vertical="center"/>
    </xf>
    <xf numFmtId="0" fontId="13" fillId="2" borderId="80" xfId="0" applyFont="1" applyFill="1" applyBorder="1" applyAlignment="1">
      <alignment horizontal="center" vertical="center"/>
    </xf>
    <xf numFmtId="0" fontId="39" fillId="53" borderId="60" xfId="0" applyFont="1" applyFill="1" applyBorder="1" applyAlignment="1">
      <alignment vertical="center"/>
    </xf>
    <xf numFmtId="0" fontId="131" fillId="53" borderId="60" xfId="0" applyFont="1" applyFill="1" applyBorder="1" applyAlignment="1">
      <alignment horizontal="center" vertical="center"/>
    </xf>
    <xf numFmtId="0" fontId="39" fillId="53" borderId="61" xfId="0" applyFont="1" applyFill="1" applyBorder="1" applyAlignment="1">
      <alignment vertical="center"/>
    </xf>
    <xf numFmtId="0" fontId="57" fillId="53" borderId="5" xfId="0" applyFont="1" applyFill="1" applyBorder="1"/>
    <xf numFmtId="0" fontId="199" fillId="67" borderId="5" xfId="0" applyFont="1" applyFill="1" applyBorder="1" applyAlignment="1">
      <alignment horizontal="center" vertical="center"/>
    </xf>
    <xf numFmtId="0" fontId="199" fillId="67" borderId="32" xfId="0" applyFont="1" applyFill="1" applyBorder="1" applyAlignment="1">
      <alignment horizontal="center" vertical="center"/>
    </xf>
    <xf numFmtId="0" fontId="7" fillId="25" borderId="1" xfId="0" applyFont="1" applyFill="1" applyBorder="1"/>
    <xf numFmtId="0" fontId="3" fillId="25" borderId="1" xfId="0" applyFont="1" applyFill="1" applyBorder="1"/>
    <xf numFmtId="0" fontId="7" fillId="90" borderId="1" xfId="0" applyFont="1" applyFill="1" applyBorder="1"/>
    <xf numFmtId="0" fontId="3" fillId="90" borderId="1" xfId="0" applyFont="1" applyFill="1" applyBorder="1"/>
    <xf numFmtId="0" fontId="45" fillId="109" borderId="147" xfId="0" applyFont="1" applyFill="1" applyBorder="1" applyAlignment="1">
      <alignment horizontal="center" vertical="center"/>
    </xf>
    <xf numFmtId="0" fontId="45" fillId="109" borderId="83" xfId="0" applyFont="1" applyFill="1" applyBorder="1" applyAlignment="1">
      <alignment horizontal="center" vertical="center"/>
    </xf>
    <xf numFmtId="0" fontId="7" fillId="109" borderId="98" xfId="0" applyFont="1" applyFill="1" applyBorder="1" applyAlignment="1">
      <alignment horizontal="center" vertical="center"/>
    </xf>
    <xf numFmtId="0" fontId="7" fillId="109" borderId="147" xfId="0" applyFont="1" applyFill="1" applyBorder="1" applyAlignment="1">
      <alignment horizontal="center" vertical="center"/>
    </xf>
    <xf numFmtId="15" fontId="7" fillId="23" borderId="33" xfId="0" applyNumberFormat="1" applyFont="1" applyFill="1" applyBorder="1" applyAlignment="1">
      <alignment horizontal="center"/>
    </xf>
    <xf numFmtId="0" fontId="7" fillId="19" borderId="65" xfId="0" applyFont="1" applyFill="1" applyBorder="1" applyAlignment="1">
      <alignment horizontal="center"/>
    </xf>
    <xf numFmtId="0" fontId="45" fillId="19" borderId="119" xfId="0" applyFont="1" applyFill="1" applyBorder="1" applyAlignment="1">
      <alignment horizontal="center"/>
    </xf>
    <xf numFmtId="15" fontId="18" fillId="53" borderId="83" xfId="0" applyNumberFormat="1" applyFont="1" applyFill="1" applyBorder="1" applyAlignment="1">
      <alignment horizontal="center"/>
    </xf>
    <xf numFmtId="0" fontId="201" fillId="23" borderId="83" xfId="0" applyFont="1" applyFill="1" applyBorder="1" applyAlignment="1">
      <alignment horizontal="center"/>
    </xf>
    <xf numFmtId="0" fontId="7" fillId="23" borderId="33" xfId="0" applyFont="1" applyFill="1" applyBorder="1" applyAlignment="1">
      <alignment horizontal="center"/>
    </xf>
    <xf numFmtId="15" fontId="20" fillId="5" borderId="33" xfId="0" applyNumberFormat="1" applyFont="1" applyFill="1" applyBorder="1" applyAlignment="1">
      <alignment horizontal="center"/>
    </xf>
    <xf numFmtId="15" fontId="7" fillId="5" borderId="33" xfId="0" applyNumberFormat="1" applyFont="1" applyFill="1" applyBorder="1" applyAlignment="1">
      <alignment horizontal="center"/>
    </xf>
    <xf numFmtId="15" fontId="20" fillId="23" borderId="33" xfId="0" applyNumberFormat="1" applyFont="1" applyFill="1" applyBorder="1" applyAlignment="1">
      <alignment horizontal="center" wrapText="1"/>
    </xf>
    <xf numFmtId="15" fontId="7" fillId="23" borderId="57" xfId="0" applyNumberFormat="1" applyFont="1" applyFill="1" applyBorder="1" applyAlignment="1">
      <alignment horizontal="center"/>
    </xf>
    <xf numFmtId="15" fontId="7" fillId="8" borderId="33" xfId="0" applyNumberFormat="1" applyFont="1" applyFill="1" applyBorder="1" applyAlignment="1">
      <alignment horizontal="center"/>
    </xf>
    <xf numFmtId="15" fontId="21" fillId="8" borderId="129" xfId="0" applyNumberFormat="1" applyFont="1" applyFill="1" applyBorder="1" applyAlignment="1">
      <alignment horizontal="center"/>
    </xf>
    <xf numFmtId="15" fontId="202" fillId="72" borderId="159" xfId="0" applyNumberFormat="1" applyFont="1" applyFill="1" applyBorder="1" applyAlignment="1">
      <alignment horizontal="center"/>
    </xf>
    <xf numFmtId="15" fontId="21" fillId="5" borderId="139" xfId="0" applyNumberFormat="1" applyFont="1" applyFill="1" applyBorder="1" applyAlignment="1">
      <alignment horizontal="center"/>
    </xf>
    <xf numFmtId="0" fontId="181" fillId="0" borderId="45" xfId="0" applyFont="1" applyBorder="1"/>
    <xf numFmtId="0" fontId="185" fillId="0" borderId="47" xfId="0" applyFont="1" applyBorder="1"/>
    <xf numFmtId="0" fontId="181" fillId="0" borderId="4" xfId="0" applyFont="1" applyBorder="1"/>
    <xf numFmtId="0" fontId="181" fillId="0" borderId="88" xfId="0" applyFont="1" applyBorder="1" applyAlignment="1">
      <alignment horizontal="center"/>
    </xf>
    <xf numFmtId="0" fontId="181" fillId="0" borderId="175" xfId="0" applyFont="1" applyBorder="1" applyAlignment="1">
      <alignment horizontal="center"/>
    </xf>
    <xf numFmtId="0" fontId="181" fillId="0" borderId="34" xfId="0" applyFont="1" applyBorder="1"/>
    <xf numFmtId="0" fontId="181" fillId="0" borderId="231" xfId="0" applyFont="1" applyBorder="1"/>
    <xf numFmtId="0" fontId="165" fillId="0" borderId="75" xfId="0" applyFont="1" applyBorder="1"/>
    <xf numFmtId="0" fontId="183" fillId="0" borderId="118" xfId="0" applyFont="1" applyBorder="1"/>
    <xf numFmtId="0" fontId="165" fillId="19" borderId="119" xfId="0" applyFont="1" applyFill="1" applyBorder="1"/>
    <xf numFmtId="0" fontId="165" fillId="0" borderId="119" xfId="0" applyFont="1" applyBorder="1"/>
    <xf numFmtId="0" fontId="166" fillId="0" borderId="119" xfId="0" applyFont="1" applyBorder="1"/>
    <xf numFmtId="0" fontId="166" fillId="19" borderId="119" xfId="0" applyFont="1" applyFill="1" applyBorder="1"/>
    <xf numFmtId="0" fontId="166" fillId="0" borderId="72" xfId="0" applyFont="1" applyBorder="1"/>
    <xf numFmtId="0" fontId="166" fillId="0" borderId="111" xfId="0" applyFont="1" applyBorder="1"/>
    <xf numFmtId="0" fontId="0" fillId="0" borderId="109" xfId="0" applyBorder="1" applyAlignment="1">
      <alignment horizontal="center"/>
    </xf>
    <xf numFmtId="0" fontId="0" fillId="0" borderId="0" xfId="0" applyBorder="1" applyAlignment="1"/>
    <xf numFmtId="0" fontId="167" fillId="0" borderId="80" xfId="0" applyFont="1" applyBorder="1"/>
    <xf numFmtId="0" fontId="167" fillId="0" borderId="55" xfId="0" applyFont="1" applyBorder="1"/>
    <xf numFmtId="0" fontId="168" fillId="0" borderId="37" xfId="0" applyFont="1" applyBorder="1"/>
    <xf numFmtId="0" fontId="168" fillId="0" borderId="55" xfId="0" applyFont="1" applyBorder="1"/>
    <xf numFmtId="0" fontId="168" fillId="0" borderId="31" xfId="0" applyFont="1" applyBorder="1"/>
    <xf numFmtId="0" fontId="168" fillId="0" borderId="15" xfId="0" applyFont="1" applyBorder="1"/>
    <xf numFmtId="0" fontId="168" fillId="0" borderId="67" xfId="0" applyFont="1" applyBorder="1"/>
    <xf numFmtId="0" fontId="10" fillId="0" borderId="0" xfId="0" applyFont="1" applyBorder="1" applyAlignment="1">
      <alignment horizontal="right"/>
    </xf>
    <xf numFmtId="0" fontId="10" fillId="0" borderId="130" xfId="0" applyFont="1" applyBorder="1"/>
    <xf numFmtId="0" fontId="10" fillId="0" borderId="117" xfId="0" applyFont="1" applyBorder="1"/>
    <xf numFmtId="166" fontId="10" fillId="0" borderId="130" xfId="0" applyNumberFormat="1" applyFont="1" applyBorder="1"/>
    <xf numFmtId="0" fontId="31" fillId="19" borderId="43" xfId="0" applyFont="1" applyFill="1" applyBorder="1" applyAlignment="1">
      <alignment vertical="center"/>
    </xf>
    <xf numFmtId="0" fontId="165" fillId="0" borderId="134" xfId="0" applyFont="1" applyBorder="1" applyAlignment="1">
      <alignment horizontal="center"/>
    </xf>
    <xf numFmtId="0" fontId="168" fillId="0" borderId="34" xfId="0" applyFont="1" applyBorder="1"/>
    <xf numFmtId="14" fontId="7" fillId="0" borderId="0" xfId="0" applyNumberFormat="1" applyFont="1"/>
    <xf numFmtId="14" fontId="7" fillId="0" borderId="0" xfId="0" applyNumberFormat="1" applyFont="1" applyBorder="1"/>
    <xf numFmtId="14" fontId="0" fillId="0" borderId="0" xfId="0" applyNumberFormat="1"/>
    <xf numFmtId="0" fontId="165" fillId="19" borderId="62" xfId="0" applyFont="1" applyFill="1" applyBorder="1" applyAlignment="1">
      <alignment vertical="center"/>
    </xf>
    <xf numFmtId="0" fontId="165" fillId="0" borderId="32" xfId="0" applyFont="1" applyBorder="1" applyAlignment="1">
      <alignment vertical="center"/>
    </xf>
    <xf numFmtId="0" fontId="166" fillId="19" borderId="62" xfId="0" applyFont="1" applyFill="1" applyBorder="1" applyAlignment="1">
      <alignment vertical="center"/>
    </xf>
    <xf numFmtId="0" fontId="166" fillId="0" borderId="119" xfId="0" applyFont="1" applyBorder="1" applyAlignment="1">
      <alignment vertical="center"/>
    </xf>
    <xf numFmtId="0" fontId="165" fillId="0" borderId="119" xfId="0" applyFont="1" applyBorder="1" applyAlignment="1">
      <alignment vertical="center"/>
    </xf>
    <xf numFmtId="0" fontId="166" fillId="0" borderId="32" xfId="0" applyFont="1" applyBorder="1" applyAlignment="1">
      <alignment vertical="center"/>
    </xf>
    <xf numFmtId="0" fontId="205" fillId="19" borderId="119" xfId="0" applyFont="1" applyFill="1" applyBorder="1" applyAlignment="1">
      <alignment vertical="center" wrapText="1"/>
    </xf>
    <xf numFmtId="0" fontId="165" fillId="19" borderId="32" xfId="0" applyFont="1" applyFill="1" applyBorder="1" applyAlignment="1">
      <alignment vertical="center"/>
    </xf>
    <xf numFmtId="0" fontId="207" fillId="17" borderId="5" xfId="0" applyFont="1" applyFill="1" applyBorder="1" applyAlignment="1">
      <alignment horizontal="center" vertical="center"/>
    </xf>
    <xf numFmtId="0" fontId="207" fillId="20" borderId="5" xfId="0" applyFont="1" applyFill="1" applyBorder="1" applyAlignment="1">
      <alignment horizontal="center" vertical="center"/>
    </xf>
    <xf numFmtId="0" fontId="207" fillId="113" borderId="5" xfId="0" applyFont="1" applyFill="1" applyBorder="1" applyAlignment="1">
      <alignment horizontal="center" vertical="center"/>
    </xf>
    <xf numFmtId="0" fontId="207" fillId="2" borderId="5" xfId="0" applyFont="1" applyFill="1" applyBorder="1" applyAlignment="1">
      <alignment horizontal="center" vertical="center"/>
    </xf>
    <xf numFmtId="0" fontId="13" fillId="17" borderId="62" xfId="0" applyFont="1" applyFill="1" applyBorder="1" applyAlignment="1">
      <alignment horizontal="center" vertical="center"/>
    </xf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16" fillId="0" borderId="5" xfId="0" applyFont="1" applyBorder="1" applyAlignment="1">
      <alignment horizontal="center" vertical="center"/>
    </xf>
    <xf numFmtId="0" fontId="0" fillId="0" borderId="12" xfId="0" applyBorder="1"/>
    <xf numFmtId="0" fontId="0" fillId="0" borderId="54" xfId="0" applyBorder="1"/>
    <xf numFmtId="0" fontId="0" fillId="0" borderId="223" xfId="0" applyBorder="1"/>
    <xf numFmtId="0" fontId="39" fillId="15" borderId="1" xfId="0" applyFont="1" applyFill="1" applyBorder="1" applyAlignment="1">
      <alignment vertical="center"/>
    </xf>
    <xf numFmtId="0" fontId="81" fillId="15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234" xfId="0" applyBorder="1"/>
    <xf numFmtId="0" fontId="0" fillId="0" borderId="38" xfId="0" applyBorder="1"/>
    <xf numFmtId="0" fontId="0" fillId="0" borderId="39" xfId="0" applyBorder="1"/>
    <xf numFmtId="0" fontId="0" fillId="0" borderId="16" xfId="0" applyBorder="1"/>
    <xf numFmtId="0" fontId="0" fillId="0" borderId="158" xfId="0" applyBorder="1"/>
    <xf numFmtId="0" fontId="0" fillId="0" borderId="172" xfId="0" applyBorder="1"/>
    <xf numFmtId="0" fontId="0" fillId="0" borderId="95" xfId="0" applyBorder="1"/>
    <xf numFmtId="0" fontId="116" fillId="67" borderId="114" xfId="0" applyFont="1" applyFill="1" applyBorder="1" applyAlignment="1">
      <alignment horizontal="center" vertical="center"/>
    </xf>
    <xf numFmtId="0" fontId="0" fillId="0" borderId="100" xfId="0" applyBorder="1"/>
    <xf numFmtId="0" fontId="22" fillId="25" borderId="60" xfId="0" applyFont="1" applyFill="1" applyBorder="1" applyAlignment="1">
      <alignment horizontal="center" vertical="center"/>
    </xf>
    <xf numFmtId="0" fontId="73" fillId="23" borderId="60" xfId="0" applyFont="1" applyFill="1" applyBorder="1" applyAlignment="1">
      <alignment horizontal="center" vertical="center"/>
    </xf>
    <xf numFmtId="0" fontId="0" fillId="0" borderId="74" xfId="0" applyBorder="1"/>
    <xf numFmtId="0" fontId="65" fillId="0" borderId="5" xfId="0" applyFont="1" applyBorder="1"/>
    <xf numFmtId="0" fontId="4" fillId="0" borderId="5" xfId="0" applyFont="1" applyBorder="1" applyAlignment="1">
      <alignment horizontal="right"/>
    </xf>
    <xf numFmtId="0" fontId="7" fillId="0" borderId="2" xfId="0" applyFont="1" applyBorder="1"/>
    <xf numFmtId="0" fontId="39" fillId="53" borderId="31" xfId="0" applyFont="1" applyFill="1" applyBorder="1" applyAlignment="1">
      <alignment vertical="center"/>
    </xf>
    <xf numFmtId="0" fontId="39" fillId="53" borderId="72" xfId="0" applyFont="1" applyFill="1" applyBorder="1" applyAlignment="1">
      <alignment vertical="center"/>
    </xf>
    <xf numFmtId="0" fontId="4" fillId="0" borderId="6" xfId="0" applyFont="1" applyBorder="1" applyAlignment="1">
      <alignment horizontal="right" vertical="center" wrapText="1"/>
    </xf>
    <xf numFmtId="0" fontId="4" fillId="0" borderId="12" xfId="0" applyFont="1" applyBorder="1" applyAlignment="1">
      <alignment horizontal="right" vertical="center" wrapText="1"/>
    </xf>
    <xf numFmtId="0" fontId="212" fillId="0" borderId="32" xfId="0" applyFont="1" applyBorder="1"/>
    <xf numFmtId="0" fontId="212" fillId="0" borderId="118" xfId="0" applyFont="1" applyBorder="1"/>
    <xf numFmtId="0" fontId="209" fillId="53" borderId="5" xfId="0" applyFont="1" applyFill="1" applyBorder="1" applyAlignment="1">
      <alignment horizontal="center" vertical="center"/>
    </xf>
    <xf numFmtId="0" fontId="145" fillId="67" borderId="60" xfId="0" applyFont="1" applyFill="1" applyBorder="1" applyAlignment="1">
      <alignment horizontal="center" vertical="center"/>
    </xf>
    <xf numFmtId="0" fontId="214" fillId="0" borderId="60" xfId="0" applyFont="1" applyBorder="1" applyAlignment="1">
      <alignment horizontal="center" vertical="center"/>
    </xf>
    <xf numFmtId="0" fontId="213" fillId="15" borderId="5" xfId="0" applyFont="1" applyFill="1" applyBorder="1" applyAlignment="1">
      <alignment vertical="center"/>
    </xf>
    <xf numFmtId="0" fontId="211" fillId="0" borderId="75" xfId="0" applyFont="1" applyBorder="1" applyAlignment="1">
      <alignment horizontal="left" vertical="center"/>
    </xf>
    <xf numFmtId="0" fontId="205" fillId="0" borderId="62" xfId="0" applyFont="1" applyBorder="1" applyAlignment="1">
      <alignment horizontal="left" vertical="center" wrapText="1"/>
    </xf>
    <xf numFmtId="0" fontId="210" fillId="0" borderId="62" xfId="0" applyFont="1" applyBorder="1" applyAlignment="1">
      <alignment horizontal="left" vertical="center"/>
    </xf>
    <xf numFmtId="0" fontId="205" fillId="0" borderId="62" xfId="0" applyFont="1" applyBorder="1" applyAlignment="1">
      <alignment horizontal="left" vertical="center"/>
    </xf>
    <xf numFmtId="0" fontId="205" fillId="19" borderId="62" xfId="0" applyFont="1" applyFill="1" applyBorder="1" applyAlignment="1">
      <alignment horizontal="left" vertical="center" wrapText="1"/>
    </xf>
    <xf numFmtId="0" fontId="206" fillId="0" borderId="62" xfId="0" applyFont="1" applyBorder="1" applyAlignment="1">
      <alignment vertical="center"/>
    </xf>
    <xf numFmtId="0" fontId="205" fillId="19" borderId="62" xfId="0" applyFont="1" applyFill="1" applyBorder="1" applyAlignment="1">
      <alignment vertical="center" wrapText="1"/>
    </xf>
    <xf numFmtId="0" fontId="205" fillId="0" borderId="62" xfId="0" applyFont="1" applyBorder="1" applyAlignment="1">
      <alignment vertical="center"/>
    </xf>
    <xf numFmtId="0" fontId="205" fillId="0" borderId="62" xfId="0" applyFont="1" applyBorder="1" applyAlignment="1">
      <alignment vertical="center" wrapText="1"/>
    </xf>
    <xf numFmtId="0" fontId="206" fillId="19" borderId="62" xfId="0" applyFont="1" applyFill="1" applyBorder="1" applyAlignment="1">
      <alignment horizontal="left" vertical="center"/>
    </xf>
    <xf numFmtId="0" fontId="165" fillId="82" borderId="0" xfId="0" applyFont="1" applyFill="1" applyBorder="1"/>
    <xf numFmtId="0" fontId="165" fillId="82" borderId="0" xfId="0" applyFont="1" applyFill="1" applyBorder="1" applyAlignment="1">
      <alignment vertical="center"/>
    </xf>
    <xf numFmtId="0" fontId="181" fillId="82" borderId="0" xfId="0" applyFont="1" applyFill="1" applyBorder="1"/>
    <xf numFmtId="0" fontId="166" fillId="82" borderId="130" xfId="0" applyFont="1" applyFill="1" applyBorder="1"/>
    <xf numFmtId="0" fontId="205" fillId="82" borderId="130" xfId="0" applyFont="1" applyFill="1" applyBorder="1" applyAlignment="1">
      <alignment vertical="center" wrapText="1"/>
    </xf>
    <xf numFmtId="0" fontId="181" fillId="82" borderId="117" xfId="0" applyFont="1" applyFill="1" applyBorder="1"/>
    <xf numFmtId="0" fontId="165" fillId="82" borderId="130" xfId="0" applyFont="1" applyFill="1" applyBorder="1"/>
    <xf numFmtId="0" fontId="181" fillId="82" borderId="144" xfId="0" applyFont="1" applyFill="1" applyBorder="1" applyAlignment="1">
      <alignment horizontal="center"/>
    </xf>
    <xf numFmtId="0" fontId="165" fillId="0" borderId="62" xfId="0" applyFont="1" applyBorder="1" applyAlignment="1">
      <alignment vertical="center"/>
    </xf>
    <xf numFmtId="0" fontId="166" fillId="19" borderId="32" xfId="0" applyFont="1" applyFill="1" applyBorder="1" applyAlignment="1">
      <alignment vertical="center"/>
    </xf>
    <xf numFmtId="0" fontId="181" fillId="19" borderId="34" xfId="0" applyFont="1" applyFill="1" applyBorder="1"/>
    <xf numFmtId="0" fontId="181" fillId="0" borderId="236" xfId="0" applyFont="1" applyBorder="1"/>
    <xf numFmtId="0" fontId="9" fillId="0" borderId="38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26" fillId="25" borderId="43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24" fillId="17" borderId="4" xfId="0" applyFont="1" applyFill="1" applyBorder="1" applyAlignment="1">
      <alignment horizontal="center" vertical="center"/>
    </xf>
    <xf numFmtId="0" fontId="24" fillId="18" borderId="63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6" fillId="28" borderId="5" xfId="0" applyFont="1" applyFill="1" applyBorder="1" applyAlignment="1">
      <alignment horizontal="center" vertical="center"/>
    </xf>
    <xf numFmtId="0" fontId="24" fillId="27" borderId="15" xfId="0" applyFont="1" applyFill="1" applyBorder="1" applyAlignment="1">
      <alignment horizontal="center" vertical="center"/>
    </xf>
    <xf numFmtId="0" fontId="31" fillId="28" borderId="5" xfId="0" applyFont="1" applyFill="1" applyBorder="1" applyAlignment="1">
      <alignment horizontal="center" vertical="center"/>
    </xf>
    <xf numFmtId="0" fontId="26" fillId="25" borderId="60" xfId="0" applyFont="1" applyFill="1" applyBorder="1" applyAlignment="1">
      <alignment horizontal="center" vertical="center"/>
    </xf>
    <xf numFmtId="0" fontId="26" fillId="29" borderId="34" xfId="0" applyFont="1" applyFill="1" applyBorder="1" applyAlignment="1">
      <alignment horizontal="center" vertical="center"/>
    </xf>
    <xf numFmtId="0" fontId="26" fillId="8" borderId="5" xfId="0" applyFont="1" applyFill="1" applyBorder="1" applyAlignment="1">
      <alignment horizontal="center" vertical="center"/>
    </xf>
    <xf numFmtId="0" fontId="23" fillId="2" borderId="60" xfId="0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23" fillId="2" borderId="15" xfId="0" applyFont="1" applyFill="1" applyBorder="1" applyAlignment="1">
      <alignment horizontal="center" vertical="center"/>
    </xf>
    <xf numFmtId="0" fontId="31" fillId="25" borderId="15" xfId="0" applyFont="1" applyFill="1" applyBorder="1" applyAlignment="1">
      <alignment horizontal="center" vertical="center"/>
    </xf>
    <xf numFmtId="0" fontId="31" fillId="28" borderId="60" xfId="0" applyFont="1" applyFill="1" applyBorder="1" applyAlignment="1">
      <alignment horizontal="center" vertical="center"/>
    </xf>
    <xf numFmtId="0" fontId="24" fillId="17" borderId="5" xfId="0" applyFont="1" applyFill="1" applyBorder="1" applyAlignment="1">
      <alignment horizontal="center" vertical="center"/>
    </xf>
    <xf numFmtId="0" fontId="25" fillId="8" borderId="5" xfId="0" applyFont="1" applyFill="1" applyBorder="1" applyAlignment="1">
      <alignment horizontal="center" vertical="center"/>
    </xf>
    <xf numFmtId="0" fontId="30" fillId="25" borderId="5" xfId="0" applyFont="1" applyFill="1" applyBorder="1" applyAlignment="1">
      <alignment horizontal="center" vertical="center"/>
    </xf>
    <xf numFmtId="0" fontId="26" fillId="30" borderId="7" xfId="0" applyFont="1" applyFill="1" applyBorder="1" applyAlignment="1">
      <alignment horizontal="center"/>
    </xf>
    <xf numFmtId="0" fontId="31" fillId="13" borderId="105" xfId="0" applyFont="1" applyFill="1" applyBorder="1" applyAlignment="1">
      <alignment horizontal="center"/>
    </xf>
    <xf numFmtId="0" fontId="31" fillId="13" borderId="107" xfId="0" applyFont="1" applyFill="1" applyBorder="1" applyAlignment="1">
      <alignment horizontal="center"/>
    </xf>
    <xf numFmtId="0" fontId="26" fillId="25" borderId="5" xfId="0" applyFont="1" applyFill="1" applyBorder="1" applyAlignment="1">
      <alignment horizontal="center" vertical="center"/>
    </xf>
    <xf numFmtId="0" fontId="7" fillId="26" borderId="5" xfId="0" applyFont="1" applyFill="1" applyBorder="1" applyAlignment="1">
      <alignment horizontal="center" vertical="center"/>
    </xf>
    <xf numFmtId="0" fontId="5" fillId="40" borderId="5" xfId="0" applyFont="1" applyFill="1" applyBorder="1" applyAlignment="1">
      <alignment horizontal="center" vertical="center"/>
    </xf>
    <xf numFmtId="0" fontId="0" fillId="13" borderId="0" xfId="0" applyFill="1" applyAlignment="1">
      <alignment horizontal="center"/>
    </xf>
    <xf numFmtId="0" fontId="0" fillId="46" borderId="0" xfId="0" applyFill="1" applyAlignment="1">
      <alignment horizontal="center"/>
    </xf>
    <xf numFmtId="0" fontId="65" fillId="13" borderId="0" xfId="0" applyFont="1" applyFill="1" applyAlignment="1">
      <alignment horizontal="center"/>
    </xf>
    <xf numFmtId="0" fontId="54" fillId="1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7" fillId="0" borderId="5" xfId="0" applyFont="1" applyBorder="1" applyAlignment="1"/>
    <xf numFmtId="0" fontId="35" fillId="0" borderId="5" xfId="0" applyFont="1" applyBorder="1" applyAlignment="1">
      <alignment horizontal="center" vertical="center"/>
    </xf>
    <xf numFmtId="0" fontId="4" fillId="18" borderId="5" xfId="0" applyFont="1" applyFill="1" applyBorder="1" applyAlignment="1">
      <alignment horizontal="center" vertical="center"/>
    </xf>
    <xf numFmtId="0" fontId="4" fillId="22" borderId="5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4" fillId="28" borderId="5" xfId="0" applyFont="1" applyFill="1" applyBorder="1" applyAlignment="1">
      <alignment horizontal="center" vertical="center"/>
    </xf>
    <xf numFmtId="0" fontId="4" fillId="28" borderId="32" xfId="0" applyFont="1" applyFill="1" applyBorder="1" applyAlignment="1">
      <alignment horizontal="center" vertical="center"/>
    </xf>
    <xf numFmtId="0" fontId="4" fillId="8" borderId="43" xfId="0" applyFont="1" applyFill="1" applyBorder="1" applyAlignment="1">
      <alignment horizontal="center" vertical="center"/>
    </xf>
    <xf numFmtId="0" fontId="6" fillId="11" borderId="32" xfId="0" applyFont="1" applyFill="1" applyBorder="1" applyAlignment="1">
      <alignment horizontal="center" vertical="center"/>
    </xf>
    <xf numFmtId="0" fontId="4" fillId="28" borderId="55" xfId="0" applyFont="1" applyFill="1" applyBorder="1" applyAlignment="1">
      <alignment horizontal="center" vertical="center"/>
    </xf>
    <xf numFmtId="0" fontId="4" fillId="28" borderId="90" xfId="0" applyFont="1" applyFill="1" applyBorder="1" applyAlignment="1">
      <alignment horizontal="center" vertical="center"/>
    </xf>
    <xf numFmtId="0" fontId="7" fillId="0" borderId="117" xfId="0" applyFont="1" applyBorder="1" applyAlignment="1">
      <alignment horizontal="center" vertical="center"/>
    </xf>
    <xf numFmtId="0" fontId="4" fillId="22" borderId="78" xfId="0" applyFont="1" applyFill="1" applyBorder="1" applyAlignment="1">
      <alignment horizontal="center" vertical="center"/>
    </xf>
    <xf numFmtId="0" fontId="35" fillId="0" borderId="34" xfId="0" applyFont="1" applyBorder="1" applyAlignment="1">
      <alignment horizontal="center" vertical="center"/>
    </xf>
    <xf numFmtId="0" fontId="35" fillId="0" borderId="32" xfId="0" applyFont="1" applyBorder="1" applyAlignment="1">
      <alignment horizontal="center" vertical="center"/>
    </xf>
    <xf numFmtId="0" fontId="35" fillId="0" borderId="62" xfId="0" applyFont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4" fillId="8" borderId="62" xfId="0" applyFont="1" applyFill="1" applyBorder="1" applyAlignment="1">
      <alignment horizontal="center" vertical="center"/>
    </xf>
    <xf numFmtId="0" fontId="35" fillId="8" borderId="85" xfId="0" applyFont="1" applyFill="1" applyBorder="1" applyAlignment="1">
      <alignment horizontal="center" vertical="center"/>
    </xf>
    <xf numFmtId="0" fontId="6" fillId="15" borderId="32" xfId="0" applyFont="1" applyFill="1" applyBorder="1" applyAlignment="1">
      <alignment horizontal="center" vertical="center"/>
    </xf>
    <xf numFmtId="0" fontId="39" fillId="15" borderId="34" xfId="0" applyFont="1" applyFill="1" applyBorder="1" applyAlignment="1">
      <alignment horizontal="center" vertical="center"/>
    </xf>
    <xf numFmtId="0" fontId="7" fillId="26" borderId="14" xfId="0" applyFont="1" applyFill="1" applyBorder="1" applyAlignment="1">
      <alignment horizontal="center" vertical="center"/>
    </xf>
    <xf numFmtId="0" fontId="35" fillId="0" borderId="110" xfId="0" applyFont="1" applyBorder="1" applyAlignment="1">
      <alignment horizontal="center" vertical="center"/>
    </xf>
    <xf numFmtId="0" fontId="4" fillId="8" borderId="60" xfId="0" applyFont="1" applyFill="1" applyBorder="1" applyAlignment="1">
      <alignment horizontal="center" vertical="center"/>
    </xf>
    <xf numFmtId="0" fontId="4" fillId="8" borderId="61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9" fillId="8" borderId="60" xfId="0" applyFont="1" applyFill="1" applyBorder="1" applyAlignment="1">
      <alignment horizontal="center" vertical="center"/>
    </xf>
    <xf numFmtId="0" fontId="4" fillId="28" borderId="60" xfId="0" applyFont="1" applyFill="1" applyBorder="1" applyAlignment="1">
      <alignment horizontal="center" vertical="center"/>
    </xf>
    <xf numFmtId="0" fontId="4" fillId="35" borderId="5" xfId="0" applyFont="1" applyFill="1" applyBorder="1" applyAlignment="1">
      <alignment horizontal="center" vertical="center"/>
    </xf>
    <xf numFmtId="0" fontId="4" fillId="42" borderId="5" xfId="0" applyFont="1" applyFill="1" applyBorder="1" applyAlignment="1">
      <alignment horizontal="center" vertical="center"/>
    </xf>
    <xf numFmtId="0" fontId="4" fillId="28" borderId="43" xfId="0" applyFont="1" applyFill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78" xfId="0" applyFont="1" applyBorder="1" applyAlignment="1">
      <alignment horizontal="center" vertical="center"/>
    </xf>
    <xf numFmtId="0" fontId="35" fillId="0" borderId="60" xfId="0" applyFont="1" applyBorder="1" applyAlignment="1">
      <alignment horizontal="center" vertical="center"/>
    </xf>
    <xf numFmtId="0" fontId="6" fillId="35" borderId="64" xfId="0" applyFont="1" applyFill="1" applyBorder="1" applyAlignment="1">
      <alignment horizontal="center" vertical="center"/>
    </xf>
    <xf numFmtId="0" fontId="7" fillId="0" borderId="143" xfId="0" applyFont="1" applyBorder="1" applyAlignment="1">
      <alignment horizontal="center" vertical="center"/>
    </xf>
    <xf numFmtId="0" fontId="7" fillId="0" borderId="126" xfId="0" applyFont="1" applyBorder="1" applyAlignment="1">
      <alignment horizontal="center" vertical="center"/>
    </xf>
    <xf numFmtId="0" fontId="4" fillId="29" borderId="32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76" fillId="0" borderId="118" xfId="0" applyFont="1" applyFill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0" fontId="35" fillId="0" borderId="72" xfId="0" applyFont="1" applyBorder="1" applyAlignment="1">
      <alignment horizontal="center" vertical="center"/>
    </xf>
    <xf numFmtId="0" fontId="4" fillId="28" borderId="64" xfId="0" applyFont="1" applyFill="1" applyBorder="1" applyAlignment="1">
      <alignment horizontal="center" vertical="center"/>
    </xf>
    <xf numFmtId="0" fontId="4" fillId="56" borderId="5" xfId="0" applyFont="1" applyFill="1" applyBorder="1" applyAlignment="1">
      <alignment horizontal="center" vertical="center"/>
    </xf>
    <xf numFmtId="0" fontId="4" fillId="8" borderId="72" xfId="0" applyFont="1" applyFill="1" applyBorder="1" applyAlignment="1">
      <alignment horizontal="center" vertical="center"/>
    </xf>
    <xf numFmtId="0" fontId="26" fillId="30" borderId="60" xfId="0" applyFont="1" applyFill="1" applyBorder="1" applyAlignment="1">
      <alignment horizontal="center" vertical="center"/>
    </xf>
    <xf numFmtId="0" fontId="9" fillId="29" borderId="5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0" xfId="0" applyBorder="1" applyAlignment="1">
      <alignment horizontal="center" vertical="center"/>
    </xf>
    <xf numFmtId="0" fontId="49" fillId="56" borderId="5" xfId="0" applyFont="1" applyFill="1" applyBorder="1" applyAlignment="1">
      <alignment horizontal="center" vertical="center"/>
    </xf>
    <xf numFmtId="0" fontId="49" fillId="56" borderId="62" xfId="0" applyFont="1" applyFill="1" applyBorder="1" applyAlignment="1">
      <alignment horizontal="center" vertical="center"/>
    </xf>
    <xf numFmtId="0" fontId="8" fillId="5" borderId="34" xfId="0" applyFont="1" applyFill="1" applyBorder="1" applyAlignment="1">
      <alignment horizontal="center" vertical="center"/>
    </xf>
    <xf numFmtId="0" fontId="4" fillId="8" borderId="67" xfId="0" applyFont="1" applyFill="1" applyBorder="1" applyAlignment="1">
      <alignment horizontal="center" vertical="center"/>
    </xf>
    <xf numFmtId="0" fontId="4" fillId="56" borderId="110" xfId="0" applyFont="1" applyFill="1" applyBorder="1" applyAlignment="1">
      <alignment horizontal="center" vertical="center"/>
    </xf>
    <xf numFmtId="0" fontId="4" fillId="8" borderId="110" xfId="0" applyFont="1" applyFill="1" applyBorder="1" applyAlignment="1">
      <alignment horizontal="center" vertical="center"/>
    </xf>
    <xf numFmtId="0" fontId="4" fillId="8" borderId="44" xfId="0" applyFont="1" applyFill="1" applyBorder="1" applyAlignment="1">
      <alignment horizontal="center" vertical="center"/>
    </xf>
    <xf numFmtId="0" fontId="7" fillId="7" borderId="62" xfId="0" applyFont="1" applyFill="1" applyBorder="1" applyAlignment="1">
      <alignment horizontal="center" vertical="center"/>
    </xf>
    <xf numFmtId="0" fontId="39" fillId="8" borderId="60" xfId="0" applyFont="1" applyFill="1" applyBorder="1" applyAlignment="1">
      <alignment horizontal="center" vertical="center"/>
    </xf>
    <xf numFmtId="0" fontId="4" fillId="0" borderId="117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104" fillId="56" borderId="15" xfId="0" applyFont="1" applyFill="1" applyBorder="1" applyAlignment="1">
      <alignment horizontal="center" vertical="center"/>
    </xf>
    <xf numFmtId="0" fontId="104" fillId="56" borderId="5" xfId="0" applyFont="1" applyFill="1" applyBorder="1" applyAlignment="1">
      <alignment horizontal="center" vertical="center"/>
    </xf>
    <xf numFmtId="0" fontId="104" fillId="56" borderId="14" xfId="0" applyFont="1" applyFill="1" applyBorder="1" applyAlignment="1">
      <alignment horizontal="center" vertical="center"/>
    </xf>
    <xf numFmtId="0" fontId="45" fillId="7" borderId="32" xfId="0" applyFont="1" applyFill="1" applyBorder="1" applyAlignment="1">
      <alignment horizontal="center" vertical="center"/>
    </xf>
    <xf numFmtId="0" fontId="45" fillId="7" borderId="5" xfId="0" applyFont="1" applyFill="1" applyBorder="1" applyAlignment="1">
      <alignment horizontal="center" vertical="center"/>
    </xf>
    <xf numFmtId="0" fontId="35" fillId="0" borderId="90" xfId="0" applyFont="1" applyBorder="1" applyAlignment="1">
      <alignment horizontal="center" vertical="center"/>
    </xf>
    <xf numFmtId="0" fontId="13" fillId="15" borderId="32" xfId="0" applyFont="1" applyFill="1" applyBorder="1" applyAlignment="1">
      <alignment horizontal="center" vertical="center"/>
    </xf>
    <xf numFmtId="0" fontId="13" fillId="15" borderId="34" xfId="0" applyFont="1" applyFill="1" applyBorder="1" applyAlignment="1">
      <alignment horizontal="center" vertical="center"/>
    </xf>
    <xf numFmtId="0" fontId="4" fillId="8" borderId="91" xfId="0" applyFont="1" applyFill="1" applyBorder="1" applyAlignment="1">
      <alignment horizontal="center" vertical="center"/>
    </xf>
    <xf numFmtId="0" fontId="7" fillId="56" borderId="34" xfId="0" applyFont="1" applyFill="1" applyBorder="1" applyAlignment="1">
      <alignment horizontal="center" vertical="center"/>
    </xf>
    <xf numFmtId="0" fontId="4" fillId="67" borderId="32" xfId="0" applyFont="1" applyFill="1" applyBorder="1" applyAlignment="1">
      <alignment horizontal="center" vertical="center"/>
    </xf>
    <xf numFmtId="0" fontId="4" fillId="67" borderId="34" xfId="0" applyFont="1" applyFill="1" applyBorder="1" applyAlignment="1">
      <alignment horizontal="center" vertical="center"/>
    </xf>
    <xf numFmtId="0" fontId="4" fillId="56" borderId="32" xfId="0" applyFont="1" applyFill="1" applyBorder="1" applyAlignment="1">
      <alignment horizontal="center" vertical="center"/>
    </xf>
    <xf numFmtId="0" fontId="4" fillId="56" borderId="33" xfId="0" applyFont="1" applyFill="1" applyBorder="1" applyAlignment="1">
      <alignment horizontal="center" vertical="center"/>
    </xf>
    <xf numFmtId="0" fontId="4" fillId="56" borderId="34" xfId="0" applyFont="1" applyFill="1" applyBorder="1" applyAlignment="1">
      <alignment horizontal="center" vertical="center"/>
    </xf>
    <xf numFmtId="0" fontId="4" fillId="7" borderId="118" xfId="0" applyFont="1" applyFill="1" applyBorder="1" applyAlignment="1">
      <alignment horizontal="center" vertical="center"/>
    </xf>
    <xf numFmtId="0" fontId="4" fillId="7" borderId="110" xfId="0" applyFont="1" applyFill="1" applyBorder="1" applyAlignment="1">
      <alignment horizontal="center" vertical="center"/>
    </xf>
    <xf numFmtId="0" fontId="7" fillId="56" borderId="5" xfId="0" applyFont="1" applyFill="1" applyBorder="1" applyAlignment="1">
      <alignment horizontal="center" vertical="center"/>
    </xf>
    <xf numFmtId="0" fontId="13" fillId="64" borderId="5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13" fillId="64" borderId="43" xfId="0" applyFont="1" applyFill="1" applyBorder="1" applyAlignment="1">
      <alignment horizontal="center" vertical="center"/>
    </xf>
    <xf numFmtId="0" fontId="39" fillId="15" borderId="56" xfId="0" applyFont="1" applyFill="1" applyBorder="1" applyAlignment="1">
      <alignment horizontal="center" vertical="center"/>
    </xf>
    <xf numFmtId="0" fontId="4" fillId="0" borderId="68" xfId="0" applyFont="1" applyBorder="1" applyAlignment="1">
      <alignment horizontal="center" vertical="center"/>
    </xf>
    <xf numFmtId="0" fontId="13" fillId="64" borderId="15" xfId="0" applyFont="1" applyFill="1" applyBorder="1" applyAlignment="1">
      <alignment horizontal="center" vertical="center"/>
    </xf>
    <xf numFmtId="0" fontId="4" fillId="56" borderId="60" xfId="0" applyFont="1" applyFill="1" applyBorder="1" applyAlignment="1">
      <alignment horizontal="center" vertical="center"/>
    </xf>
    <xf numFmtId="0" fontId="139" fillId="22" borderId="75" xfId="0" applyFont="1" applyFill="1" applyBorder="1" applyAlignment="1">
      <alignment horizontal="center" vertical="center"/>
    </xf>
    <xf numFmtId="0" fontId="63" fillId="23" borderId="66" xfId="0" applyFont="1" applyFill="1" applyBorder="1" applyAlignment="1">
      <alignment horizontal="center" vertical="center"/>
    </xf>
    <xf numFmtId="0" fontId="63" fillId="23" borderId="37" xfId="0" applyFont="1" applyFill="1" applyBorder="1" applyAlignment="1">
      <alignment horizontal="center" vertical="center"/>
    </xf>
    <xf numFmtId="0" fontId="13" fillId="74" borderId="5" xfId="0" applyFont="1" applyFill="1" applyBorder="1" applyAlignment="1">
      <alignment horizontal="center" vertical="center"/>
    </xf>
    <xf numFmtId="0" fontId="4" fillId="43" borderId="60" xfId="0" applyFont="1" applyFill="1" applyBorder="1" applyAlignment="1">
      <alignment horizontal="center" vertical="center"/>
    </xf>
    <xf numFmtId="0" fontId="4" fillId="43" borderId="5" xfId="0" applyFont="1" applyFill="1" applyBorder="1" applyAlignment="1">
      <alignment horizontal="center" vertical="center"/>
    </xf>
    <xf numFmtId="0" fontId="13" fillId="53" borderId="5" xfId="0" applyFont="1" applyFill="1" applyBorder="1" applyAlignment="1">
      <alignment horizontal="center" vertical="center"/>
    </xf>
    <xf numFmtId="0" fontId="4" fillId="19" borderId="43" xfId="0" applyFont="1" applyFill="1" applyBorder="1" applyAlignment="1">
      <alignment horizontal="center" vertical="center"/>
    </xf>
    <xf numFmtId="0" fontId="39" fillId="8" borderId="64" xfId="0" applyFont="1" applyFill="1" applyBorder="1" applyAlignment="1">
      <alignment horizontal="center" vertical="center"/>
    </xf>
    <xf numFmtId="0" fontId="4" fillId="56" borderId="31" xfId="0" applyFont="1" applyFill="1" applyBorder="1" applyAlignment="1">
      <alignment horizontal="center" vertical="center"/>
    </xf>
    <xf numFmtId="0" fontId="4" fillId="56" borderId="15" xfId="0" applyFont="1" applyFill="1" applyBorder="1" applyAlignment="1">
      <alignment horizontal="center" vertical="center"/>
    </xf>
    <xf numFmtId="0" fontId="4" fillId="56" borderId="55" xfId="0" applyFont="1" applyFill="1" applyBorder="1" applyAlignment="1">
      <alignment horizontal="center" vertical="center"/>
    </xf>
    <xf numFmtId="0" fontId="4" fillId="67" borderId="5" xfId="0" applyFont="1" applyFill="1" applyBorder="1" applyAlignment="1">
      <alignment horizontal="center" vertical="center"/>
    </xf>
    <xf numFmtId="0" fontId="39" fillId="15" borderId="5" xfId="0" applyFont="1" applyFill="1" applyBorder="1" applyAlignment="1">
      <alignment horizontal="center" vertical="center"/>
    </xf>
    <xf numFmtId="0" fontId="104" fillId="0" borderId="117" xfId="0" applyFont="1" applyBorder="1" applyAlignment="1">
      <alignment horizontal="center" vertical="center"/>
    </xf>
    <xf numFmtId="0" fontId="104" fillId="0" borderId="127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98" xfId="0" applyFont="1" applyBorder="1" applyAlignment="1">
      <alignment horizontal="center" vertical="center"/>
    </xf>
    <xf numFmtId="0" fontId="4" fillId="56" borderId="84" xfId="0" applyFont="1" applyFill="1" applyBorder="1" applyAlignment="1">
      <alignment horizontal="center" vertical="center"/>
    </xf>
    <xf numFmtId="0" fontId="7" fillId="26" borderId="60" xfId="0" applyFont="1" applyFill="1" applyBorder="1" applyAlignment="1">
      <alignment horizontal="center" vertical="center"/>
    </xf>
    <xf numFmtId="0" fontId="4" fillId="7" borderId="62" xfId="0" applyFont="1" applyFill="1" applyBorder="1" applyAlignment="1">
      <alignment horizontal="center" vertical="center"/>
    </xf>
    <xf numFmtId="0" fontId="13" fillId="2" borderId="32" xfId="0" applyFont="1" applyFill="1" applyBorder="1" applyAlignment="1">
      <alignment horizontal="center" vertical="center"/>
    </xf>
    <xf numFmtId="0" fontId="13" fillId="2" borderId="34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3" fillId="2" borderId="78" xfId="0" applyFont="1" applyFill="1" applyBorder="1" applyAlignment="1">
      <alignment horizontal="center" vertical="center"/>
    </xf>
    <xf numFmtId="0" fontId="13" fillId="2" borderId="60" xfId="0" applyFont="1" applyFill="1" applyBorder="1" applyAlignment="1">
      <alignment horizontal="center" vertical="center"/>
    </xf>
    <xf numFmtId="0" fontId="13" fillId="2" borderId="64" xfId="0" applyFont="1" applyFill="1" applyBorder="1" applyAlignment="1">
      <alignment horizontal="center" vertical="center"/>
    </xf>
    <xf numFmtId="0" fontId="4" fillId="53" borderId="14" xfId="0" applyFont="1" applyFill="1" applyBorder="1" applyAlignment="1">
      <alignment horizontal="center" vertical="center"/>
    </xf>
    <xf numFmtId="0" fontId="4" fillId="25" borderId="60" xfId="0" applyFont="1" applyFill="1" applyBorder="1" applyAlignment="1">
      <alignment horizontal="center" vertical="center"/>
    </xf>
    <xf numFmtId="0" fontId="4" fillId="19" borderId="5" xfId="0" applyFont="1" applyFill="1" applyBorder="1" applyAlignment="1">
      <alignment horizontal="center" vertical="center"/>
    </xf>
    <xf numFmtId="0" fontId="13" fillId="2" borderId="15" xfId="0" applyFont="1" applyFill="1" applyBorder="1" applyAlignment="1">
      <alignment horizontal="center" vertical="center"/>
    </xf>
    <xf numFmtId="0" fontId="31" fillId="10" borderId="60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4" fillId="73" borderId="32" xfId="0" applyFont="1" applyFill="1" applyBorder="1" applyAlignment="1">
      <alignment horizontal="center" vertical="center"/>
    </xf>
    <xf numFmtId="0" fontId="101" fillId="112" borderId="0" xfId="0" applyFont="1" applyFill="1" applyAlignment="1">
      <alignment horizontal="center" vertical="center" wrapText="1"/>
    </xf>
    <xf numFmtId="0" fontId="181" fillId="0" borderId="42" xfId="0" applyFont="1" applyBorder="1" applyAlignment="1">
      <alignment horizontal="center"/>
    </xf>
    <xf numFmtId="0" fontId="181" fillId="0" borderId="77" xfId="0" applyFont="1" applyBorder="1" applyAlignment="1">
      <alignment horizontal="center"/>
    </xf>
    <xf numFmtId="0" fontId="181" fillId="0" borderId="128" xfId="0" applyFont="1" applyBorder="1" applyAlignment="1">
      <alignment horizontal="center" vertical="center"/>
    </xf>
    <xf numFmtId="0" fontId="181" fillId="0" borderId="71" xfId="0" applyFont="1" applyBorder="1" applyAlignment="1">
      <alignment horizontal="center" vertical="center"/>
    </xf>
    <xf numFmtId="0" fontId="181" fillId="0" borderId="63" xfId="0" applyFont="1" applyBorder="1" applyAlignment="1">
      <alignment horizontal="center"/>
    </xf>
    <xf numFmtId="0" fontId="181" fillId="0" borderId="220" xfId="0" applyFont="1" applyBorder="1" applyAlignment="1">
      <alignment horizontal="center"/>
    </xf>
    <xf numFmtId="0" fontId="181" fillId="0" borderId="10" xfId="0" applyFont="1" applyBorder="1" applyAlignment="1">
      <alignment horizontal="center"/>
    </xf>
    <xf numFmtId="0" fontId="181" fillId="0" borderId="103" xfId="0" applyFont="1" applyBorder="1" applyAlignment="1">
      <alignment horizontal="center" vertical="center"/>
    </xf>
    <xf numFmtId="0" fontId="181" fillId="0" borderId="0" xfId="0" applyFont="1" applyBorder="1" applyAlignment="1">
      <alignment horizontal="center" vertical="center"/>
    </xf>
    <xf numFmtId="0" fontId="181" fillId="0" borderId="13" xfId="0" applyFont="1" applyBorder="1" applyAlignment="1">
      <alignment horizontal="center" vertical="center"/>
    </xf>
    <xf numFmtId="0" fontId="179" fillId="109" borderId="104" xfId="0" applyFont="1" applyFill="1" applyBorder="1" applyAlignment="1">
      <alignment horizontal="center"/>
    </xf>
    <xf numFmtId="0" fontId="179" fillId="109" borderId="107" xfId="0" applyFont="1" applyFill="1" applyBorder="1" applyAlignment="1">
      <alignment horizontal="center"/>
    </xf>
    <xf numFmtId="0" fontId="181" fillId="0" borderId="130" xfId="0" applyFont="1" applyBorder="1" applyAlignment="1">
      <alignment horizontal="center"/>
    </xf>
    <xf numFmtId="0" fontId="101" fillId="112" borderId="117" xfId="0" applyFont="1" applyFill="1" applyBorder="1" applyAlignment="1">
      <alignment horizontal="center" vertical="center" wrapText="1"/>
    </xf>
    <xf numFmtId="0" fontId="101" fillId="112" borderId="0" xfId="0" applyFont="1" applyFill="1" applyBorder="1" applyAlignment="1">
      <alignment horizontal="center" vertical="center" wrapText="1"/>
    </xf>
    <xf numFmtId="0" fontId="181" fillId="0" borderId="144" xfId="0" applyFont="1" applyBorder="1" applyAlignment="1">
      <alignment horizontal="center"/>
    </xf>
    <xf numFmtId="0" fontId="181" fillId="82" borderId="77" xfId="0" applyFont="1" applyFill="1" applyBorder="1" applyAlignment="1">
      <alignment horizontal="center"/>
    </xf>
    <xf numFmtId="0" fontId="181" fillId="0" borderId="0" xfId="0" applyFont="1" applyBorder="1" applyAlignment="1">
      <alignment horizontal="center"/>
    </xf>
    <xf numFmtId="0" fontId="166" fillId="0" borderId="62" xfId="0" applyFont="1" applyBorder="1" applyAlignment="1">
      <alignment vertical="center"/>
    </xf>
    <xf numFmtId="0" fontId="216" fillId="2" borderId="5" xfId="0" applyFont="1" applyFill="1" applyBorder="1" applyAlignment="1">
      <alignment horizontal="center" vertical="center"/>
    </xf>
    <xf numFmtId="0" fontId="216" fillId="2" borderId="62" xfId="0" applyFont="1" applyFill="1" applyBorder="1" applyAlignment="1">
      <alignment horizontal="center" vertical="center"/>
    </xf>
    <xf numFmtId="0" fontId="216" fillId="17" borderId="5" xfId="0" applyFont="1" applyFill="1" applyBorder="1" applyAlignment="1">
      <alignment horizontal="center" vertical="center"/>
    </xf>
    <xf numFmtId="0" fontId="216" fillId="20" borderId="5" xfId="0" applyFont="1" applyFill="1" applyBorder="1" applyAlignment="1">
      <alignment horizontal="center" vertical="center"/>
    </xf>
    <xf numFmtId="0" fontId="216" fillId="113" borderId="5" xfId="0" applyFont="1" applyFill="1" applyBorder="1" applyAlignment="1">
      <alignment horizontal="center" vertical="center"/>
    </xf>
    <xf numFmtId="0" fontId="216" fillId="17" borderId="62" xfId="0" applyFont="1" applyFill="1" applyBorder="1" applyAlignment="1">
      <alignment horizontal="center" vertical="center"/>
    </xf>
    <xf numFmtId="0" fontId="218" fillId="0" borderId="5" xfId="0" applyFont="1" applyBorder="1" applyAlignment="1">
      <alignment vertical="center"/>
    </xf>
    <xf numFmtId="0" fontId="219" fillId="0" borderId="5" xfId="0" applyFont="1" applyBorder="1" applyAlignment="1">
      <alignment vertical="center"/>
    </xf>
    <xf numFmtId="0" fontId="220" fillId="0" borderId="5" xfId="0" applyFont="1" applyBorder="1" applyAlignment="1">
      <alignment vertical="center"/>
    </xf>
    <xf numFmtId="0" fontId="217" fillId="0" borderId="5" xfId="0" applyFont="1" applyBorder="1" applyAlignment="1">
      <alignment vertical="center"/>
    </xf>
    <xf numFmtId="0" fontId="218" fillId="0" borderId="62" xfId="0" applyFont="1" applyBorder="1" applyAlignment="1">
      <alignment vertical="center"/>
    </xf>
    <xf numFmtId="0" fontId="218" fillId="15" borderId="5" xfId="0" applyFont="1" applyFill="1" applyBorder="1" applyAlignment="1">
      <alignment vertical="center"/>
    </xf>
    <xf numFmtId="0" fontId="218" fillId="0" borderId="1" xfId="0" applyFont="1" applyBorder="1" applyAlignment="1">
      <alignment vertical="center"/>
    </xf>
    <xf numFmtId="0" fontId="219" fillId="15" borderId="5" xfId="0" applyFont="1" applyFill="1" applyBorder="1" applyAlignment="1">
      <alignment vertical="center"/>
    </xf>
    <xf numFmtId="0" fontId="222" fillId="0" borderId="14" xfId="0" applyFont="1" applyBorder="1"/>
    <xf numFmtId="0" fontId="222" fillId="0" borderId="118" xfId="0" applyFont="1" applyBorder="1"/>
    <xf numFmtId="0" fontId="223" fillId="0" borderId="5" xfId="0" applyFont="1" applyBorder="1" applyAlignment="1">
      <alignment vertical="center"/>
    </xf>
    <xf numFmtId="0" fontId="222" fillId="0" borderId="34" xfId="0" applyFont="1" applyBorder="1"/>
    <xf numFmtId="0" fontId="222" fillId="0" borderId="5" xfId="0" applyFont="1" applyBorder="1"/>
    <xf numFmtId="0" fontId="219" fillId="0" borderId="15" xfId="0" applyFont="1" applyBorder="1" applyAlignment="1">
      <alignment vertical="center"/>
    </xf>
    <xf numFmtId="0" fontId="219" fillId="0" borderId="32" xfId="0" applyFont="1" applyBorder="1" applyAlignment="1">
      <alignment vertical="center"/>
    </xf>
    <xf numFmtId="0" fontId="219" fillId="0" borderId="34" xfId="0" applyFont="1" applyBorder="1" applyAlignment="1">
      <alignment vertical="center"/>
    </xf>
    <xf numFmtId="0" fontId="219" fillId="0" borderId="33" xfId="0" applyFont="1" applyBorder="1" applyAlignment="1">
      <alignment vertical="center"/>
    </xf>
    <xf numFmtId="0" fontId="225" fillId="23" borderId="5" xfId="0" applyFont="1" applyFill="1" applyBorder="1" applyAlignment="1">
      <alignment horizontal="center" vertical="center"/>
    </xf>
    <xf numFmtId="0" fontId="226" fillId="0" borderId="5" xfId="0" applyFont="1" applyBorder="1" applyAlignment="1">
      <alignment vertical="center"/>
    </xf>
    <xf numFmtId="0" fontId="218" fillId="0" borderId="32" xfId="0" applyFont="1" applyBorder="1" applyAlignment="1">
      <alignment vertical="center"/>
    </xf>
    <xf numFmtId="0" fontId="225" fillId="25" borderId="5" xfId="0" applyFont="1" applyFill="1" applyBorder="1" applyAlignment="1">
      <alignment horizontal="center" vertical="center"/>
    </xf>
    <xf numFmtId="0" fontId="218" fillId="0" borderId="34" xfId="0" applyFont="1" applyBorder="1" applyAlignment="1">
      <alignment vertical="center"/>
    </xf>
    <xf numFmtId="0" fontId="218" fillId="0" borderId="14" xfId="0" applyFont="1" applyBorder="1" applyAlignment="1">
      <alignment vertical="center"/>
    </xf>
    <xf numFmtId="0" fontId="226" fillId="0" borderId="5" xfId="0" applyFont="1" applyBorder="1" applyAlignment="1">
      <alignment horizontal="center" vertical="center"/>
    </xf>
    <xf numFmtId="0" fontId="227" fillId="0" borderId="5" xfId="0" applyFont="1" applyBorder="1" applyAlignment="1">
      <alignment vertical="center"/>
    </xf>
    <xf numFmtId="0" fontId="227" fillId="0" borderId="62" xfId="0" applyFont="1" applyBorder="1" applyAlignment="1">
      <alignment vertical="center"/>
    </xf>
    <xf numFmtId="0" fontId="228" fillId="0" borderId="5" xfId="0" applyFont="1" applyBorder="1" applyAlignment="1">
      <alignment vertical="center"/>
    </xf>
    <xf numFmtId="0" fontId="228" fillId="0" borderId="62" xfId="0" applyFont="1" applyBorder="1" applyAlignment="1">
      <alignment vertical="center"/>
    </xf>
    <xf numFmtId="0" fontId="221" fillId="0" borderId="5" xfId="0" applyFont="1" applyBorder="1" applyAlignment="1">
      <alignment vertical="center"/>
    </xf>
    <xf numFmtId="0" fontId="218" fillId="0" borderId="15" xfId="0" applyFont="1" applyBorder="1" applyAlignment="1">
      <alignment vertical="center"/>
    </xf>
    <xf numFmtId="0" fontId="218" fillId="0" borderId="67" xfId="0" applyFont="1" applyBorder="1" applyAlignment="1">
      <alignment vertical="center"/>
    </xf>
    <xf numFmtId="0" fontId="219" fillId="0" borderId="43" xfId="0" applyFont="1" applyBorder="1" applyAlignment="1">
      <alignment vertical="center"/>
    </xf>
    <xf numFmtId="0" fontId="218" fillId="0" borderId="43" xfId="0" applyFont="1" applyBorder="1" applyAlignment="1">
      <alignment vertical="center"/>
    </xf>
    <xf numFmtId="0" fontId="218" fillId="0" borderId="44" xfId="0" applyFont="1" applyBorder="1" applyAlignment="1">
      <alignment vertical="center"/>
    </xf>
    <xf numFmtId="0" fontId="229" fillId="0" borderId="25" xfId="0" applyFont="1" applyBorder="1" applyAlignment="1">
      <alignment horizontal="center"/>
    </xf>
    <xf numFmtId="0" fontId="229" fillId="0" borderId="158" xfId="0" applyFont="1" applyBorder="1"/>
    <xf numFmtId="0" fontId="229" fillId="0" borderId="12" xfId="0" applyFont="1" applyBorder="1"/>
    <xf numFmtId="0" fontId="222" fillId="0" borderId="12" xfId="0" applyFont="1" applyBorder="1"/>
    <xf numFmtId="0" fontId="221" fillId="67" borderId="60" xfId="0" applyFont="1" applyFill="1" applyBorder="1" applyAlignment="1">
      <alignment horizontal="center" vertical="center"/>
    </xf>
    <xf numFmtId="0" fontId="222" fillId="0" borderId="30" xfId="0" applyFont="1" applyBorder="1"/>
    <xf numFmtId="0" fontId="221" fillId="67" borderId="5" xfId="0" applyFont="1" applyFill="1" applyBorder="1" applyAlignment="1">
      <alignment horizontal="center" vertical="center"/>
    </xf>
    <xf numFmtId="0" fontId="222" fillId="0" borderId="54" xfId="0" applyFont="1" applyBorder="1"/>
    <xf numFmtId="0" fontId="229" fillId="0" borderId="18" xfId="0" applyFont="1" applyBorder="1" applyAlignment="1">
      <alignment horizontal="center"/>
    </xf>
    <xf numFmtId="0" fontId="229" fillId="0" borderId="41" xfId="0" applyFont="1" applyBorder="1"/>
    <xf numFmtId="0" fontId="229" fillId="0" borderId="1" xfId="0" applyFont="1" applyBorder="1"/>
    <xf numFmtId="0" fontId="222" fillId="53" borderId="1" xfId="0" applyFont="1" applyFill="1" applyBorder="1"/>
    <xf numFmtId="0" fontId="222" fillId="53" borderId="2" xfId="0" applyFont="1" applyFill="1" applyBorder="1"/>
    <xf numFmtId="0" fontId="221" fillId="53" borderId="5" xfId="0" applyFont="1" applyFill="1" applyBorder="1" applyAlignment="1">
      <alignment horizontal="center" vertical="center"/>
    </xf>
    <xf numFmtId="0" fontId="223" fillId="53" borderId="4" xfId="0" applyFont="1" applyFill="1" applyBorder="1"/>
    <xf numFmtId="0" fontId="223" fillId="53" borderId="191" xfId="0" applyFont="1" applyFill="1" applyBorder="1"/>
    <xf numFmtId="0" fontId="221" fillId="53" borderId="60" xfId="0" applyFont="1" applyFill="1" applyBorder="1" applyAlignment="1">
      <alignment horizontal="center" vertical="center"/>
    </xf>
    <xf numFmtId="0" fontId="222" fillId="53" borderId="223" xfId="0" applyFont="1" applyFill="1" applyBorder="1"/>
    <xf numFmtId="0" fontId="229" fillId="0" borderId="19" xfId="0" applyFont="1" applyBorder="1" applyAlignment="1">
      <alignment horizontal="center"/>
    </xf>
    <xf numFmtId="0" fontId="229" fillId="0" borderId="45" xfId="0" applyFont="1" applyBorder="1"/>
    <xf numFmtId="0" fontId="229" fillId="0" borderId="6" xfId="0" applyFont="1" applyBorder="1"/>
    <xf numFmtId="0" fontId="222" fillId="0" borderId="6" xfId="0" applyFont="1" applyBorder="1"/>
    <xf numFmtId="0" fontId="222" fillId="0" borderId="234" xfId="0" applyFont="1" applyBorder="1"/>
    <xf numFmtId="0" fontId="229" fillId="0" borderId="60" xfId="0" applyFont="1" applyBorder="1"/>
    <xf numFmtId="0" fontId="222" fillId="0" borderId="60" xfId="0" applyFont="1" applyBorder="1"/>
    <xf numFmtId="0" fontId="222" fillId="0" borderId="60" xfId="0" applyFont="1" applyBorder="1" applyAlignment="1">
      <alignment horizontal="center"/>
    </xf>
    <xf numFmtId="0" fontId="222" fillId="0" borderId="61" xfId="0" applyFont="1" applyBorder="1"/>
    <xf numFmtId="0" fontId="230" fillId="0" borderId="5" xfId="0" applyFont="1" applyBorder="1"/>
    <xf numFmtId="0" fontId="231" fillId="15" borderId="5" xfId="0" applyFont="1" applyFill="1" applyBorder="1" applyAlignment="1">
      <alignment vertical="center"/>
    </xf>
    <xf numFmtId="0" fontId="222" fillId="0" borderId="62" xfId="0" applyFont="1" applyBorder="1"/>
    <xf numFmtId="0" fontId="230" fillId="19" borderId="15" xfId="0" applyFont="1" applyFill="1" applyBorder="1"/>
    <xf numFmtId="0" fontId="231" fillId="19" borderId="15" xfId="0" applyFont="1" applyFill="1" applyBorder="1" applyAlignment="1">
      <alignment vertical="center"/>
    </xf>
    <xf numFmtId="0" fontId="219" fillId="19" borderId="15" xfId="0" applyFont="1" applyFill="1" applyBorder="1" applyAlignment="1">
      <alignment vertical="center"/>
    </xf>
    <xf numFmtId="0" fontId="232" fillId="19" borderId="15" xfId="0" applyFont="1" applyFill="1" applyBorder="1" applyAlignment="1">
      <alignment vertical="center"/>
    </xf>
    <xf numFmtId="0" fontId="222" fillId="19" borderId="15" xfId="0" applyFont="1" applyFill="1" applyBorder="1"/>
    <xf numFmtId="0" fontId="222" fillId="0" borderId="15" xfId="0" applyFont="1" applyBorder="1"/>
    <xf numFmtId="0" fontId="222" fillId="0" borderId="67" xfId="0" applyFont="1" applyBorder="1"/>
    <xf numFmtId="0" fontId="222" fillId="19" borderId="84" xfId="0" applyFont="1" applyFill="1" applyBorder="1"/>
    <xf numFmtId="0" fontId="222" fillId="19" borderId="85" xfId="0" applyFont="1" applyFill="1" applyBorder="1"/>
    <xf numFmtId="0" fontId="229" fillId="0" borderId="5" xfId="0" applyFont="1" applyBorder="1"/>
    <xf numFmtId="0" fontId="230" fillId="0" borderId="43" xfId="0" applyFont="1" applyBorder="1"/>
    <xf numFmtId="0" fontId="218" fillId="15" borderId="43" xfId="0" applyFont="1" applyFill="1" applyBorder="1" applyAlignment="1">
      <alignment vertical="center"/>
    </xf>
    <xf numFmtId="0" fontId="222" fillId="0" borderId="43" xfId="0" applyFont="1" applyBorder="1"/>
    <xf numFmtId="0" fontId="222" fillId="0" borderId="44" xfId="0" applyFont="1" applyBorder="1"/>
    <xf numFmtId="0" fontId="229" fillId="0" borderId="14" xfId="0" applyFont="1" applyBorder="1"/>
    <xf numFmtId="0" fontId="222" fillId="0" borderId="72" xfId="0" applyFont="1" applyBorder="1"/>
    <xf numFmtId="0" fontId="222" fillId="68" borderId="5" xfId="0" applyFont="1" applyFill="1" applyBorder="1"/>
    <xf numFmtId="0" fontId="222" fillId="68" borderId="5" xfId="0" applyFont="1" applyFill="1" applyBorder="1" applyAlignment="1">
      <alignment horizontal="center"/>
    </xf>
    <xf numFmtId="0" fontId="222" fillId="0" borderId="5" xfId="0" applyFont="1" applyBorder="1" applyAlignment="1">
      <alignment horizontal="center"/>
    </xf>
    <xf numFmtId="0" fontId="221" fillId="0" borderId="5" xfId="0" applyFont="1" applyBorder="1" applyAlignment="1">
      <alignment horizontal="center" vertical="center"/>
    </xf>
    <xf numFmtId="0" fontId="218" fillId="53" borderId="5" xfId="0" applyFont="1" applyFill="1" applyBorder="1" applyAlignment="1">
      <alignment vertical="center"/>
    </xf>
    <xf numFmtId="0" fontId="232" fillId="15" borderId="5" xfId="0" applyFont="1" applyFill="1" applyBorder="1" applyAlignment="1">
      <alignment vertical="center"/>
    </xf>
    <xf numFmtId="0" fontId="218" fillId="15" borderId="62" xfId="0" applyFont="1" applyFill="1" applyBorder="1" applyAlignment="1">
      <alignment vertical="center"/>
    </xf>
    <xf numFmtId="0" fontId="218" fillId="67" borderId="5" xfId="0" applyFont="1" applyFill="1" applyBorder="1" applyAlignment="1">
      <alignment vertical="center"/>
    </xf>
    <xf numFmtId="0" fontId="229" fillId="0" borderId="7" xfId="0" applyFont="1" applyBorder="1"/>
    <xf numFmtId="0" fontId="222" fillId="68" borderId="12" xfId="0" applyFont="1" applyFill="1" applyBorder="1"/>
    <xf numFmtId="0" fontId="222" fillId="68" borderId="54" xfId="0" applyFont="1" applyFill="1" applyBorder="1"/>
    <xf numFmtId="0" fontId="222" fillId="0" borderId="1" xfId="0" applyFont="1" applyBorder="1"/>
    <xf numFmtId="0" fontId="222" fillId="0" borderId="223" xfId="0" applyFont="1" applyBorder="1"/>
    <xf numFmtId="0" fontId="218" fillId="15" borderId="1" xfId="0" applyFont="1" applyFill="1" applyBorder="1" applyAlignment="1">
      <alignment vertical="center"/>
    </xf>
    <xf numFmtId="0" fontId="233" fillId="15" borderId="1" xfId="0" applyFont="1" applyFill="1" applyBorder="1" applyAlignment="1">
      <alignment horizontal="center" vertical="center"/>
    </xf>
    <xf numFmtId="0" fontId="222" fillId="0" borderId="3" xfId="0" applyFont="1" applyBorder="1"/>
    <xf numFmtId="0" fontId="229" fillId="0" borderId="2" xfId="0" applyFont="1" applyBorder="1"/>
    <xf numFmtId="0" fontId="222" fillId="68" borderId="3" xfId="0" applyFont="1" applyFill="1" applyBorder="1"/>
    <xf numFmtId="0" fontId="222" fillId="68" borderId="1" xfId="0" applyFont="1" applyFill="1" applyBorder="1"/>
    <xf numFmtId="0" fontId="222" fillId="68" borderId="223" xfId="0" applyFont="1" applyFill="1" applyBorder="1"/>
    <xf numFmtId="0" fontId="222" fillId="53" borderId="5" xfId="0" applyFont="1" applyFill="1" applyBorder="1"/>
    <xf numFmtId="0" fontId="222" fillId="53" borderId="62" xfId="0" applyFont="1" applyFill="1" applyBorder="1"/>
    <xf numFmtId="0" fontId="229" fillId="0" borderId="15" xfId="0" applyFont="1" applyBorder="1"/>
    <xf numFmtId="0" fontId="221" fillId="67" borderId="15" xfId="0" applyFont="1" applyFill="1" applyBorder="1" applyAlignment="1">
      <alignment horizontal="center" vertical="center"/>
    </xf>
    <xf numFmtId="0" fontId="225" fillId="0" borderId="60" xfId="0" applyFont="1" applyBorder="1" applyAlignment="1">
      <alignment horizontal="center" vertical="center"/>
    </xf>
    <xf numFmtId="0" fontId="219" fillId="19" borderId="5" xfId="0" applyFont="1" applyFill="1" applyBorder="1" applyAlignment="1">
      <alignment horizontal="center" vertical="center"/>
    </xf>
    <xf numFmtId="0" fontId="218" fillId="15" borderId="5" xfId="0" applyFont="1" applyFill="1" applyBorder="1" applyAlignment="1">
      <alignment horizontal="center" vertical="center"/>
    </xf>
    <xf numFmtId="0" fontId="216" fillId="53" borderId="60" xfId="0" applyFont="1" applyFill="1" applyBorder="1" applyAlignment="1">
      <alignment horizontal="center" vertical="center"/>
    </xf>
    <xf numFmtId="0" fontId="225" fillId="25" borderId="60" xfId="0" applyFont="1" applyFill="1" applyBorder="1" applyAlignment="1">
      <alignment horizontal="center" vertical="center"/>
    </xf>
    <xf numFmtId="0" fontId="225" fillId="23" borderId="60" xfId="0" applyFont="1" applyFill="1" applyBorder="1" applyAlignment="1">
      <alignment horizontal="center" vertical="center"/>
    </xf>
    <xf numFmtId="0" fontId="234" fillId="0" borderId="5" xfId="0" applyFont="1" applyBorder="1"/>
    <xf numFmtId="0" fontId="222" fillId="0" borderId="32" xfId="0" applyFont="1" applyBorder="1"/>
    <xf numFmtId="0" fontId="225" fillId="23" borderId="14" xfId="0" applyFont="1" applyFill="1" applyBorder="1" applyAlignment="1">
      <alignment horizontal="center" vertical="center"/>
    </xf>
    <xf numFmtId="0" fontId="221" fillId="67" borderId="43" xfId="0" applyFont="1" applyFill="1" applyBorder="1" applyAlignment="1">
      <alignment horizontal="center" vertical="center"/>
    </xf>
    <xf numFmtId="0" fontId="221" fillId="8" borderId="43" xfId="0" applyFont="1" applyFill="1" applyBorder="1" applyAlignment="1">
      <alignment horizontal="center" vertical="center"/>
    </xf>
    <xf numFmtId="0" fontId="219" fillId="19" borderId="43" xfId="0" applyFont="1" applyFill="1" applyBorder="1" applyAlignment="1">
      <alignment horizontal="center"/>
    </xf>
    <xf numFmtId="0" fontId="223" fillId="19" borderId="43" xfId="0" applyFont="1" applyFill="1" applyBorder="1" applyAlignment="1">
      <alignment vertical="center"/>
    </xf>
    <xf numFmtId="0" fontId="222" fillId="19" borderId="43" xfId="0" applyFont="1" applyFill="1" applyBorder="1"/>
    <xf numFmtId="0" fontId="222" fillId="53" borderId="43" xfId="0" applyFont="1" applyFill="1" applyBorder="1"/>
    <xf numFmtId="0" fontId="222" fillId="53" borderId="44" xfId="0" applyFont="1" applyFill="1" applyBorder="1"/>
    <xf numFmtId="0" fontId="230" fillId="0" borderId="91" xfId="0" applyFont="1" applyBorder="1"/>
    <xf numFmtId="0" fontId="230" fillId="0" borderId="14" xfId="0" applyFont="1" applyBorder="1"/>
    <xf numFmtId="0" fontId="218" fillId="15" borderId="14" xfId="0" applyFont="1" applyFill="1" applyBorder="1" applyAlignment="1">
      <alignment vertical="center"/>
    </xf>
    <xf numFmtId="0" fontId="218" fillId="15" borderId="31" xfId="0" applyFont="1" applyFill="1" applyBorder="1" applyAlignment="1">
      <alignment vertical="center"/>
    </xf>
    <xf numFmtId="0" fontId="221" fillId="67" borderId="31" xfId="0" applyFont="1" applyFill="1" applyBorder="1" applyAlignment="1">
      <alignment horizontal="center" vertical="center"/>
    </xf>
    <xf numFmtId="0" fontId="218" fillId="15" borderId="102" xfId="0" applyFont="1" applyFill="1" applyBorder="1" applyAlignment="1">
      <alignment vertical="center"/>
    </xf>
    <xf numFmtId="0" fontId="230" fillId="0" borderId="64" xfId="0" applyFont="1" applyBorder="1"/>
    <xf numFmtId="0" fontId="230" fillId="0" borderId="79" xfId="0" applyFont="1" applyBorder="1"/>
    <xf numFmtId="0" fontId="218" fillId="15" borderId="96" xfId="0" applyFont="1" applyFill="1" applyBorder="1" applyAlignment="1">
      <alignment vertical="center"/>
    </xf>
    <xf numFmtId="0" fontId="36" fillId="17" borderId="116" xfId="0" applyFont="1" applyFill="1" applyBorder="1" applyAlignment="1">
      <alignment horizontal="center"/>
    </xf>
    <xf numFmtId="0" fontId="36" fillId="17" borderId="74" xfId="0" applyFont="1" applyFill="1" applyBorder="1" applyAlignment="1">
      <alignment horizontal="center"/>
    </xf>
    <xf numFmtId="0" fontId="36" fillId="17" borderId="89" xfId="0" applyFont="1" applyFill="1" applyBorder="1" applyAlignment="1">
      <alignment horizontal="center"/>
    </xf>
    <xf numFmtId="0" fontId="36" fillId="33" borderId="113" xfId="0" applyFont="1" applyFill="1" applyBorder="1" applyAlignment="1">
      <alignment horizontal="center"/>
    </xf>
    <xf numFmtId="0" fontId="36" fillId="33" borderId="114" xfId="0" applyFont="1" applyFill="1" applyBorder="1" applyAlignment="1">
      <alignment horizontal="center"/>
    </xf>
    <xf numFmtId="0" fontId="36" fillId="33" borderId="115" xfId="0" applyFont="1" applyFill="1" applyBorder="1" applyAlignment="1">
      <alignment horizontal="center"/>
    </xf>
    <xf numFmtId="0" fontId="36" fillId="33" borderId="5" xfId="0" applyFont="1" applyFill="1" applyBorder="1" applyAlignment="1">
      <alignment horizontal="center"/>
    </xf>
    <xf numFmtId="0" fontId="9" fillId="7" borderId="7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 vertical="center"/>
    </xf>
    <xf numFmtId="0" fontId="9" fillId="7" borderId="142" xfId="0" applyFont="1" applyFill="1" applyBorder="1" applyAlignment="1">
      <alignment horizontal="center" vertical="center"/>
    </xf>
    <xf numFmtId="0" fontId="26" fillId="8" borderId="32" xfId="0" applyFont="1" applyFill="1" applyBorder="1" applyAlignment="1">
      <alignment horizontal="center" vertical="center"/>
    </xf>
    <xf numFmtId="0" fontId="26" fillId="8" borderId="33" xfId="0" applyFont="1" applyFill="1" applyBorder="1" applyAlignment="1">
      <alignment horizontal="center" vertical="center"/>
    </xf>
    <xf numFmtId="0" fontId="26" fillId="27" borderId="33" xfId="0" applyFont="1" applyFill="1" applyBorder="1" applyAlignment="1">
      <alignment horizontal="center" vertical="center"/>
    </xf>
    <xf numFmtId="0" fontId="26" fillId="27" borderId="34" xfId="0" applyFont="1" applyFill="1" applyBorder="1" applyAlignment="1">
      <alignment horizontal="center" vertical="center"/>
    </xf>
    <xf numFmtId="0" fontId="24" fillId="5" borderId="69" xfId="0" applyFont="1" applyFill="1" applyBorder="1" applyAlignment="1">
      <alignment horizontal="center" vertical="center"/>
    </xf>
    <xf numFmtId="0" fontId="24" fillId="5" borderId="70" xfId="0" applyFont="1" applyFill="1" applyBorder="1" applyAlignment="1">
      <alignment horizontal="center" vertical="center"/>
    </xf>
    <xf numFmtId="0" fontId="24" fillId="5" borderId="109" xfId="0" applyFont="1" applyFill="1" applyBorder="1" applyAlignment="1">
      <alignment horizontal="center" vertical="center"/>
    </xf>
    <xf numFmtId="0" fontId="26" fillId="34" borderId="65" xfId="0" applyFont="1" applyFill="1" applyBorder="1" applyAlignment="1">
      <alignment horizontal="center" vertical="center"/>
    </xf>
    <xf numFmtId="0" fontId="26" fillId="34" borderId="33" xfId="0" applyFont="1" applyFill="1" applyBorder="1" applyAlignment="1">
      <alignment horizontal="center" vertical="center"/>
    </xf>
    <xf numFmtId="0" fontId="26" fillId="34" borderId="34" xfId="0" applyFont="1" applyFill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24" fillId="27" borderId="5" xfId="0" applyFont="1" applyFill="1" applyBorder="1" applyAlignment="1">
      <alignment horizontal="center" vertical="center"/>
    </xf>
    <xf numFmtId="0" fontId="24" fillId="27" borderId="15" xfId="0" applyFont="1" applyFill="1" applyBorder="1" applyAlignment="1">
      <alignment horizontal="center" vertical="center"/>
    </xf>
    <xf numFmtId="0" fontId="25" fillId="5" borderId="32" xfId="1" applyFont="1" applyFill="1" applyBorder="1" applyAlignment="1">
      <alignment horizontal="center" vertical="center" wrapText="1"/>
    </xf>
    <xf numFmtId="0" fontId="25" fillId="5" borderId="34" xfId="1" applyFont="1" applyFill="1" applyBorder="1" applyAlignment="1">
      <alignment horizontal="center" vertical="center" wrapText="1"/>
    </xf>
    <xf numFmtId="0" fontId="9" fillId="28" borderId="5" xfId="0" applyFont="1" applyFill="1" applyBorder="1" applyAlignment="1">
      <alignment horizontal="center" vertical="center"/>
    </xf>
    <xf numFmtId="0" fontId="9" fillId="28" borderId="10" xfId="0" applyFont="1" applyFill="1" applyBorder="1" applyAlignment="1">
      <alignment horizontal="center" vertical="center"/>
    </xf>
    <xf numFmtId="0" fontId="9" fillId="28" borderId="11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4" fillId="17" borderId="32" xfId="0" applyFont="1" applyFill="1" applyBorder="1" applyAlignment="1">
      <alignment horizontal="center" vertical="center"/>
    </xf>
    <xf numFmtId="0" fontId="24" fillId="17" borderId="33" xfId="0" applyFont="1" applyFill="1" applyBorder="1" applyAlignment="1">
      <alignment horizontal="center" vertical="center"/>
    </xf>
    <xf numFmtId="0" fontId="24" fillId="17" borderId="34" xfId="0" applyFont="1" applyFill="1" applyBorder="1" applyAlignment="1">
      <alignment horizontal="center" vertical="center"/>
    </xf>
    <xf numFmtId="0" fontId="29" fillId="8" borderId="2" xfId="0" applyFont="1" applyFill="1" applyBorder="1" applyAlignment="1">
      <alignment horizontal="center" vertical="center"/>
    </xf>
    <xf numFmtId="0" fontId="29" fillId="8" borderId="4" xfId="0" applyFont="1" applyFill="1" applyBorder="1" applyAlignment="1">
      <alignment horizontal="center" vertical="center"/>
    </xf>
    <xf numFmtId="0" fontId="29" fillId="8" borderId="3" xfId="0" applyFont="1" applyFill="1" applyBorder="1" applyAlignment="1">
      <alignment horizontal="center" vertical="center"/>
    </xf>
    <xf numFmtId="0" fontId="24" fillId="16" borderId="2" xfId="0" applyFont="1" applyFill="1" applyBorder="1" applyAlignment="1">
      <alignment horizontal="center" vertical="center" wrapText="1"/>
    </xf>
    <xf numFmtId="0" fontId="24" fillId="16" borderId="4" xfId="0" applyFont="1" applyFill="1" applyBorder="1" applyAlignment="1">
      <alignment horizontal="center" vertical="center" wrapText="1"/>
    </xf>
    <xf numFmtId="0" fontId="24" fillId="16" borderId="3" xfId="0" applyFont="1" applyFill="1" applyBorder="1" applyAlignment="1">
      <alignment horizontal="center" vertical="center" wrapText="1"/>
    </xf>
    <xf numFmtId="0" fontId="26" fillId="8" borderId="141" xfId="0" applyFont="1" applyFill="1" applyBorder="1" applyAlignment="1">
      <alignment horizontal="center" vertical="center"/>
    </xf>
    <xf numFmtId="0" fontId="25" fillId="8" borderId="3" xfId="0" applyFont="1" applyFill="1" applyBorder="1" applyAlignment="1">
      <alignment horizontal="center" vertical="center"/>
    </xf>
    <xf numFmtId="0" fontId="9" fillId="28" borderId="32" xfId="0" applyFont="1" applyFill="1" applyBorder="1" applyAlignment="1">
      <alignment horizontal="center" vertical="center"/>
    </xf>
    <xf numFmtId="0" fontId="9" fillId="28" borderId="33" xfId="0" applyFont="1" applyFill="1" applyBorder="1" applyAlignment="1">
      <alignment horizontal="center" vertical="center"/>
    </xf>
    <xf numFmtId="0" fontId="9" fillId="28" borderId="34" xfId="0" applyFont="1" applyFill="1" applyBorder="1" applyAlignment="1">
      <alignment horizontal="center" vertical="center"/>
    </xf>
    <xf numFmtId="0" fontId="26" fillId="8" borderId="2" xfId="0" applyFont="1" applyFill="1" applyBorder="1" applyAlignment="1">
      <alignment horizontal="center" vertical="center"/>
    </xf>
    <xf numFmtId="0" fontId="25" fillId="8" borderId="4" xfId="0" applyFont="1" applyFill="1" applyBorder="1" applyAlignment="1">
      <alignment horizontal="center" vertical="center"/>
    </xf>
    <xf numFmtId="0" fontId="9" fillId="28" borderId="14" xfId="0" applyFont="1" applyFill="1" applyBorder="1" applyAlignment="1">
      <alignment horizontal="center" vertical="center"/>
    </xf>
    <xf numFmtId="0" fontId="26" fillId="8" borderId="9" xfId="0" applyFont="1" applyFill="1" applyBorder="1" applyAlignment="1">
      <alignment horizontal="center" vertical="center"/>
    </xf>
    <xf numFmtId="0" fontId="26" fillId="8" borderId="10" xfId="0" applyFont="1" applyFill="1" applyBorder="1" applyAlignment="1">
      <alignment horizontal="center" vertical="center"/>
    </xf>
    <xf numFmtId="0" fontId="26" fillId="8" borderId="36" xfId="0" applyFont="1" applyFill="1" applyBorder="1" applyAlignment="1">
      <alignment horizontal="center" vertical="center"/>
    </xf>
    <xf numFmtId="0" fontId="24" fillId="17" borderId="55" xfId="0" applyFont="1" applyFill="1" applyBorder="1" applyAlignment="1">
      <alignment horizontal="center" vertical="center"/>
    </xf>
    <xf numFmtId="0" fontId="24" fillId="17" borderId="37" xfId="0" applyFont="1" applyFill="1" applyBorder="1" applyAlignment="1">
      <alignment horizontal="center" vertical="center"/>
    </xf>
    <xf numFmtId="0" fontId="24" fillId="17" borderId="90" xfId="0" applyFont="1" applyFill="1" applyBorder="1" applyAlignment="1">
      <alignment horizontal="center" vertical="center"/>
    </xf>
    <xf numFmtId="0" fontId="24" fillId="0" borderId="32" xfId="0" applyFont="1" applyFill="1" applyBorder="1" applyAlignment="1">
      <alignment horizontal="center" vertical="center"/>
    </xf>
    <xf numFmtId="0" fontId="24" fillId="0" borderId="33" xfId="0" applyFont="1" applyFill="1" applyBorder="1" applyAlignment="1">
      <alignment horizontal="center" vertical="center"/>
    </xf>
    <xf numFmtId="0" fontId="24" fillId="0" borderId="34" xfId="0" applyFont="1" applyFill="1" applyBorder="1" applyAlignment="1">
      <alignment horizontal="center" vertical="center"/>
    </xf>
    <xf numFmtId="0" fontId="24" fillId="27" borderId="14" xfId="0" applyFont="1" applyFill="1" applyBorder="1" applyAlignment="1">
      <alignment horizontal="center" vertical="center"/>
    </xf>
    <xf numFmtId="0" fontId="24" fillId="27" borderId="32" xfId="0" applyFont="1" applyFill="1" applyBorder="1" applyAlignment="1">
      <alignment horizontal="center" vertical="center"/>
    </xf>
    <xf numFmtId="0" fontId="24" fillId="27" borderId="33" xfId="0" applyFont="1" applyFill="1" applyBorder="1" applyAlignment="1">
      <alignment horizontal="center" vertical="center"/>
    </xf>
    <xf numFmtId="0" fontId="24" fillId="27" borderId="34" xfId="0" applyFont="1" applyFill="1" applyBorder="1" applyAlignment="1">
      <alignment horizontal="center" vertical="center"/>
    </xf>
    <xf numFmtId="0" fontId="26" fillId="8" borderId="34" xfId="0" applyFont="1" applyFill="1" applyBorder="1" applyAlignment="1">
      <alignment horizontal="center" vertical="center"/>
    </xf>
    <xf numFmtId="0" fontId="9" fillId="28" borderId="13" xfId="0" applyFont="1" applyFill="1" applyBorder="1" applyAlignment="1">
      <alignment horizontal="center" vertical="center"/>
    </xf>
    <xf numFmtId="0" fontId="9" fillId="28" borderId="8" xfId="0" applyFont="1" applyFill="1" applyBorder="1" applyAlignment="1">
      <alignment horizontal="center" vertical="center"/>
    </xf>
    <xf numFmtId="0" fontId="28" fillId="0" borderId="32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49" fontId="23" fillId="2" borderId="1" xfId="0" applyNumberFormat="1" applyFont="1" applyFill="1" applyBorder="1" applyAlignment="1">
      <alignment horizontal="center" vertical="center"/>
    </xf>
    <xf numFmtId="49" fontId="23" fillId="2" borderId="16" xfId="0" applyNumberFormat="1" applyFont="1" applyFill="1" applyBorder="1" applyAlignment="1">
      <alignment horizontal="center" vertical="center"/>
    </xf>
    <xf numFmtId="0" fontId="24" fillId="24" borderId="63" xfId="0" applyFont="1" applyFill="1" applyBorder="1" applyAlignment="1">
      <alignment horizontal="center" vertical="center"/>
    </xf>
    <xf numFmtId="0" fontId="24" fillId="24" borderId="10" xfId="0" applyFont="1" applyFill="1" applyBorder="1" applyAlignment="1">
      <alignment horizontal="center" vertical="center"/>
    </xf>
    <xf numFmtId="0" fontId="24" fillId="24" borderId="11" xfId="0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26" fillId="28" borderId="69" xfId="0" applyFont="1" applyFill="1" applyBorder="1" applyAlignment="1">
      <alignment horizontal="center" vertical="center"/>
    </xf>
    <xf numFmtId="0" fontId="26" fillId="28" borderId="70" xfId="0" applyFont="1" applyFill="1" applyBorder="1" applyAlignment="1">
      <alignment horizontal="center" vertical="center"/>
    </xf>
    <xf numFmtId="0" fontId="24" fillId="24" borderId="5" xfId="0" applyFont="1" applyFill="1" applyBorder="1" applyAlignment="1">
      <alignment horizontal="center" vertical="center"/>
    </xf>
    <xf numFmtId="0" fontId="26" fillId="28" borderId="5" xfId="0" applyFont="1" applyFill="1" applyBorder="1" applyAlignment="1">
      <alignment horizontal="center" vertical="center"/>
    </xf>
    <xf numFmtId="0" fontId="26" fillId="10" borderId="5" xfId="1" applyFont="1" applyFill="1" applyBorder="1" applyAlignment="1">
      <alignment horizontal="center" vertical="center" wrapText="1"/>
    </xf>
    <xf numFmtId="0" fontId="26" fillId="10" borderId="62" xfId="1" applyFont="1" applyFill="1" applyBorder="1" applyAlignment="1">
      <alignment horizontal="center" vertical="center" wrapText="1"/>
    </xf>
    <xf numFmtId="0" fontId="24" fillId="17" borderId="50" xfId="0" applyFont="1" applyFill="1" applyBorder="1" applyAlignment="1">
      <alignment horizontal="center" vertical="center"/>
    </xf>
    <xf numFmtId="0" fontId="24" fillId="17" borderId="4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8" borderId="32" xfId="0" applyFont="1" applyFill="1" applyBorder="1" applyAlignment="1">
      <alignment horizontal="center" vertical="center"/>
    </xf>
    <xf numFmtId="0" fontId="9" fillId="8" borderId="33" xfId="0" applyFont="1" applyFill="1" applyBorder="1" applyAlignment="1">
      <alignment horizontal="center" vertical="center"/>
    </xf>
    <xf numFmtId="0" fontId="9" fillId="8" borderId="34" xfId="0" applyFont="1" applyFill="1" applyBorder="1" applyAlignment="1">
      <alignment horizontal="center" vertical="center"/>
    </xf>
    <xf numFmtId="0" fontId="24" fillId="27" borderId="68" xfId="0" applyFont="1" applyFill="1" applyBorder="1" applyAlignment="1">
      <alignment horizontal="center" vertical="center"/>
    </xf>
    <xf numFmtId="0" fontId="24" fillId="27" borderId="57" xfId="0" applyFont="1" applyFill="1" applyBorder="1" applyAlignment="1">
      <alignment horizontal="center" vertical="center"/>
    </xf>
    <xf numFmtId="0" fontId="24" fillId="27" borderId="55" xfId="0" applyFont="1" applyFill="1" applyBorder="1" applyAlignment="1">
      <alignment horizontal="center" vertical="center"/>
    </xf>
    <xf numFmtId="0" fontId="24" fillId="27" borderId="37" xfId="0" applyFont="1" applyFill="1" applyBorder="1" applyAlignment="1">
      <alignment horizontal="center" vertical="center"/>
    </xf>
    <xf numFmtId="0" fontId="24" fillId="27" borderId="90" xfId="0" applyFont="1" applyFill="1" applyBorder="1" applyAlignment="1">
      <alignment horizontal="center" vertical="center"/>
    </xf>
    <xf numFmtId="0" fontId="24" fillId="16" borderId="71" xfId="0" applyFont="1" applyFill="1" applyBorder="1" applyAlignment="1">
      <alignment horizontal="center" vertical="center"/>
    </xf>
    <xf numFmtId="0" fontId="24" fillId="16" borderId="13" xfId="0" applyFont="1" applyFill="1" applyBorder="1" applyAlignment="1">
      <alignment horizontal="center" vertical="center"/>
    </xf>
    <xf numFmtId="0" fontId="24" fillId="16" borderId="14" xfId="0" applyFont="1" applyFill="1" applyBorder="1" applyAlignment="1">
      <alignment horizontal="center" vertical="center" wrapText="1"/>
    </xf>
    <xf numFmtId="0" fontId="24" fillId="18" borderId="63" xfId="0" applyFont="1" applyFill="1" applyBorder="1" applyAlignment="1">
      <alignment horizontal="center" vertical="center"/>
    </xf>
    <xf numFmtId="0" fontId="24" fillId="18" borderId="10" xfId="0" applyFont="1" applyFill="1" applyBorder="1" applyAlignment="1">
      <alignment horizontal="center" vertical="center"/>
    </xf>
    <xf numFmtId="0" fontId="26" fillId="10" borderId="80" xfId="0" applyFont="1" applyFill="1" applyBorder="1" applyAlignment="1">
      <alignment horizontal="center" vertical="center"/>
    </xf>
    <xf numFmtId="0" fontId="25" fillId="10" borderId="15" xfId="0" applyFont="1" applyFill="1" applyBorder="1" applyAlignment="1">
      <alignment horizontal="center" vertical="center"/>
    </xf>
    <xf numFmtId="0" fontId="25" fillId="10" borderId="55" xfId="0" applyFont="1" applyFill="1" applyBorder="1" applyAlignment="1">
      <alignment horizontal="center" vertical="center"/>
    </xf>
    <xf numFmtId="0" fontId="24" fillId="21" borderId="32" xfId="0" applyFont="1" applyFill="1" applyBorder="1" applyAlignment="1">
      <alignment horizontal="center" vertical="center"/>
    </xf>
    <xf numFmtId="0" fontId="24" fillId="21" borderId="33" xfId="0" applyFont="1" applyFill="1" applyBorder="1" applyAlignment="1">
      <alignment horizontal="center" vertical="center"/>
    </xf>
    <xf numFmtId="0" fontId="24" fillId="21" borderId="34" xfId="0" applyFont="1" applyFill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9" fillId="8" borderId="52" xfId="0" applyFont="1" applyFill="1" applyBorder="1" applyAlignment="1">
      <alignment horizontal="center" vertical="center"/>
    </xf>
    <xf numFmtId="0" fontId="9" fillId="8" borderId="57" xfId="0" applyFont="1" applyFill="1" applyBorder="1" applyAlignment="1">
      <alignment horizontal="center" vertical="center"/>
    </xf>
    <xf numFmtId="0" fontId="9" fillId="8" borderId="53" xfId="0" applyFont="1" applyFill="1" applyBorder="1" applyAlignment="1">
      <alignment horizontal="center" vertical="center"/>
    </xf>
    <xf numFmtId="0" fontId="24" fillId="17" borderId="56" xfId="0" applyFont="1" applyFill="1" applyBorder="1" applyAlignment="1">
      <alignment horizontal="center" vertical="center"/>
    </xf>
    <xf numFmtId="0" fontId="24" fillId="17" borderId="57" xfId="0" applyFont="1" applyFill="1" applyBorder="1" applyAlignment="1">
      <alignment horizontal="center" vertical="center"/>
    </xf>
    <xf numFmtId="0" fontId="24" fillId="17" borderId="73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26" fillId="25" borderId="79" xfId="0" applyFont="1" applyFill="1" applyBorder="1" applyAlignment="1">
      <alignment horizontal="center" vertical="center"/>
    </xf>
    <xf numFmtId="0" fontId="26" fillId="25" borderId="43" xfId="0" applyFont="1" applyFill="1" applyBorder="1" applyAlignment="1">
      <alignment horizontal="center" vertical="center"/>
    </xf>
    <xf numFmtId="0" fontId="26" fillId="25" borderId="56" xfId="0" applyFont="1" applyFill="1" applyBorder="1" applyAlignment="1">
      <alignment horizontal="center" vertical="center"/>
    </xf>
    <xf numFmtId="0" fontId="26" fillId="10" borderId="15" xfId="1" applyFont="1" applyFill="1" applyBorder="1" applyAlignment="1">
      <alignment horizontal="center" vertical="center" wrapText="1"/>
    </xf>
    <xf numFmtId="0" fontId="26" fillId="10" borderId="67" xfId="1" applyFont="1" applyFill="1" applyBorder="1" applyAlignment="1">
      <alignment horizontal="center" vertical="center" wrapText="1"/>
    </xf>
    <xf numFmtId="0" fontId="24" fillId="16" borderId="32" xfId="0" applyFont="1" applyFill="1" applyBorder="1" applyAlignment="1">
      <alignment horizontal="center" vertical="center" wrapText="1"/>
    </xf>
    <xf numFmtId="0" fontId="24" fillId="16" borderId="33" xfId="0" applyFont="1" applyFill="1" applyBorder="1" applyAlignment="1">
      <alignment horizontal="center" vertical="center" wrapText="1"/>
    </xf>
    <xf numFmtId="0" fontId="24" fillId="16" borderId="34" xfId="0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38" fillId="16" borderId="32" xfId="0" applyFont="1" applyFill="1" applyBorder="1" applyAlignment="1">
      <alignment horizontal="center" vertical="center"/>
    </xf>
    <xf numFmtId="0" fontId="38" fillId="16" borderId="33" xfId="0" applyFont="1" applyFill="1" applyBorder="1" applyAlignment="1">
      <alignment horizontal="center" vertical="center"/>
    </xf>
    <xf numFmtId="0" fontId="38" fillId="16" borderId="34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/>
    </xf>
    <xf numFmtId="0" fontId="9" fillId="8" borderId="4" xfId="0" applyFont="1" applyFill="1" applyBorder="1" applyAlignment="1">
      <alignment horizontal="center"/>
    </xf>
    <xf numFmtId="0" fontId="9" fillId="8" borderId="3" xfId="0" applyFont="1" applyFill="1" applyBorder="1" applyAlignment="1">
      <alignment horizontal="center"/>
    </xf>
    <xf numFmtId="0" fontId="9" fillId="8" borderId="55" xfId="0" applyFont="1" applyFill="1" applyBorder="1" applyAlignment="1">
      <alignment horizontal="center" vertical="center"/>
    </xf>
    <xf numFmtId="0" fontId="9" fillId="8" borderId="37" xfId="0" applyFont="1" applyFill="1" applyBorder="1" applyAlignment="1">
      <alignment horizontal="center" vertical="center"/>
    </xf>
    <xf numFmtId="0" fontId="9" fillId="8" borderId="90" xfId="0" applyFont="1" applyFill="1" applyBorder="1" applyAlignment="1">
      <alignment horizontal="center" vertical="center"/>
    </xf>
    <xf numFmtId="0" fontId="24" fillId="21" borderId="75" xfId="0" applyFont="1" applyFill="1" applyBorder="1" applyAlignment="1">
      <alignment horizontal="center" vertical="center"/>
    </xf>
    <xf numFmtId="0" fontId="24" fillId="21" borderId="0" xfId="0" applyFont="1" applyFill="1" applyBorder="1" applyAlignment="1">
      <alignment horizontal="center" vertical="center"/>
    </xf>
    <xf numFmtId="0" fontId="24" fillId="21" borderId="130" xfId="0" applyFont="1" applyFill="1" applyBorder="1" applyAlignment="1">
      <alignment horizontal="center" vertical="center"/>
    </xf>
    <xf numFmtId="0" fontId="25" fillId="17" borderId="5" xfId="1" applyFont="1" applyFill="1" applyBorder="1" applyAlignment="1">
      <alignment horizontal="center" vertical="top" wrapText="1"/>
    </xf>
    <xf numFmtId="0" fontId="9" fillId="8" borderId="15" xfId="0" applyFont="1" applyFill="1" applyBorder="1" applyAlignment="1">
      <alignment horizontal="center" vertical="center"/>
    </xf>
    <xf numFmtId="0" fontId="24" fillId="23" borderId="5" xfId="1" applyFont="1" applyFill="1" applyBorder="1" applyAlignment="1">
      <alignment horizontal="center" vertical="center" wrapText="1"/>
    </xf>
    <xf numFmtId="0" fontId="9" fillId="0" borderId="116" xfId="0" applyFont="1" applyBorder="1" applyAlignment="1">
      <alignment horizontal="center" vertical="center"/>
    </xf>
    <xf numFmtId="0" fontId="9" fillId="0" borderId="106" xfId="0" applyFont="1" applyBorder="1" applyAlignment="1">
      <alignment horizontal="center" vertical="center"/>
    </xf>
    <xf numFmtId="0" fontId="30" fillId="18" borderId="64" xfId="0" applyFont="1" applyFill="1" applyBorder="1" applyAlignment="1">
      <alignment horizontal="center" vertical="center"/>
    </xf>
    <xf numFmtId="0" fontId="30" fillId="18" borderId="5" xfId="0" applyFont="1" applyFill="1" applyBorder="1" applyAlignment="1">
      <alignment horizontal="center" vertical="center"/>
    </xf>
    <xf numFmtId="0" fontId="9" fillId="8" borderId="60" xfId="0" applyFont="1" applyFill="1" applyBorder="1" applyAlignment="1">
      <alignment horizontal="center" vertical="center"/>
    </xf>
    <xf numFmtId="0" fontId="26" fillId="8" borderId="60" xfId="0" applyFont="1" applyFill="1" applyBorder="1" applyAlignment="1">
      <alignment horizontal="center" vertical="center"/>
    </xf>
    <xf numFmtId="0" fontId="26" fillId="8" borderId="61" xfId="0" applyFont="1" applyFill="1" applyBorder="1" applyAlignment="1">
      <alignment horizontal="center" vertical="center"/>
    </xf>
    <xf numFmtId="0" fontId="30" fillId="23" borderId="64" xfId="0" applyFont="1" applyFill="1" applyBorder="1" applyAlignment="1">
      <alignment horizontal="center" vertical="center"/>
    </xf>
    <xf numFmtId="0" fontId="30" fillId="23" borderId="5" xfId="0" applyFont="1" applyFill="1" applyBorder="1" applyAlignment="1">
      <alignment horizontal="center" vertical="center"/>
    </xf>
    <xf numFmtId="0" fontId="31" fillId="22" borderId="78" xfId="0" applyFont="1" applyFill="1" applyBorder="1" applyAlignment="1">
      <alignment horizontal="center" vertical="center"/>
    </xf>
    <xf numFmtId="0" fontId="31" fillId="22" borderId="60" xfId="0" applyFont="1" applyFill="1" applyBorder="1" applyAlignment="1">
      <alignment horizontal="center" vertical="center"/>
    </xf>
    <xf numFmtId="0" fontId="24" fillId="17" borderId="60" xfId="0" applyFont="1" applyFill="1" applyBorder="1" applyAlignment="1">
      <alignment horizontal="center" vertical="center"/>
    </xf>
    <xf numFmtId="0" fontId="24" fillId="13" borderId="60" xfId="0" applyFont="1" applyFill="1" applyBorder="1" applyAlignment="1">
      <alignment horizontal="center" vertical="center"/>
    </xf>
    <xf numFmtId="0" fontId="31" fillId="28" borderId="5" xfId="0" applyFont="1" applyFill="1" applyBorder="1" applyAlignment="1">
      <alignment horizontal="center" vertical="center"/>
    </xf>
    <xf numFmtId="0" fontId="24" fillId="23" borderId="43" xfId="1" applyFont="1" applyFill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/>
    </xf>
    <xf numFmtId="0" fontId="24" fillId="13" borderId="5" xfId="0" applyFont="1" applyFill="1" applyBorder="1" applyAlignment="1">
      <alignment horizontal="center" vertical="center"/>
    </xf>
    <xf numFmtId="0" fontId="24" fillId="17" borderId="5" xfId="0" applyFont="1" applyFill="1" applyBorder="1" applyAlignment="1">
      <alignment horizontal="center" vertical="center"/>
    </xf>
    <xf numFmtId="0" fontId="24" fillId="23" borderId="15" xfId="1" applyFont="1" applyFill="1" applyBorder="1" applyAlignment="1">
      <alignment horizontal="center" vertical="center" wrapText="1"/>
    </xf>
    <xf numFmtId="0" fontId="26" fillId="29" borderId="32" xfId="0" applyFont="1" applyFill="1" applyBorder="1" applyAlignment="1">
      <alignment horizontal="center" vertical="center"/>
    </xf>
    <xf numFmtId="0" fontId="26" fillId="29" borderId="34" xfId="0" applyFont="1" applyFill="1" applyBorder="1" applyAlignment="1">
      <alignment horizontal="center" vertical="center"/>
    </xf>
    <xf numFmtId="0" fontId="26" fillId="8" borderId="84" xfId="0" applyFont="1" applyFill="1" applyBorder="1" applyAlignment="1">
      <alignment horizontal="center" vertical="center"/>
    </xf>
    <xf numFmtId="0" fontId="26" fillId="8" borderId="83" xfId="0" applyFont="1" applyFill="1" applyBorder="1" applyAlignment="1">
      <alignment horizontal="center" vertical="center"/>
    </xf>
    <xf numFmtId="0" fontId="26" fillId="8" borderId="129" xfId="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8" borderId="43" xfId="0" applyFont="1" applyFill="1" applyBorder="1" applyAlignment="1">
      <alignment horizontal="center" vertical="center"/>
    </xf>
    <xf numFmtId="0" fontId="9" fillId="8" borderId="44" xfId="0" applyFont="1" applyFill="1" applyBorder="1" applyAlignment="1">
      <alignment horizontal="center" vertical="center"/>
    </xf>
    <xf numFmtId="0" fontId="26" fillId="8" borderId="60" xfId="0" applyFont="1" applyFill="1" applyBorder="1" applyAlignment="1">
      <alignment horizontal="center"/>
    </xf>
    <xf numFmtId="0" fontId="9" fillId="8" borderId="62" xfId="0" applyFont="1" applyFill="1" applyBorder="1" applyAlignment="1">
      <alignment horizontal="center" vertical="center"/>
    </xf>
    <xf numFmtId="0" fontId="25" fillId="8" borderId="5" xfId="0" applyFont="1" applyFill="1" applyBorder="1" applyAlignment="1">
      <alignment horizontal="center" vertical="center"/>
    </xf>
    <xf numFmtId="0" fontId="25" fillId="8" borderId="62" xfId="0" applyFont="1" applyFill="1" applyBorder="1" applyAlignment="1">
      <alignment horizontal="center" vertical="center"/>
    </xf>
    <xf numFmtId="0" fontId="23" fillId="2" borderId="78" xfId="0" applyFont="1" applyFill="1" applyBorder="1" applyAlignment="1">
      <alignment horizontal="center" vertical="center"/>
    </xf>
    <xf numFmtId="0" fontId="23" fillId="2" borderId="60" xfId="0" applyFont="1" applyFill="1" applyBorder="1" applyAlignment="1">
      <alignment horizontal="center" vertical="center"/>
    </xf>
    <xf numFmtId="49" fontId="23" fillId="2" borderId="60" xfId="0" applyNumberFormat="1" applyFont="1" applyFill="1" applyBorder="1" applyAlignment="1">
      <alignment horizontal="center" vertical="center"/>
    </xf>
    <xf numFmtId="49" fontId="23" fillId="2" borderId="61" xfId="0" applyNumberFormat="1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23" fillId="2" borderId="80" xfId="0" applyFont="1" applyFill="1" applyBorder="1" applyAlignment="1">
      <alignment horizontal="center" vertical="center"/>
    </xf>
    <xf numFmtId="0" fontId="23" fillId="2" borderId="15" xfId="0" applyFont="1" applyFill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31" fillId="25" borderId="80" xfId="0" applyFont="1" applyFill="1" applyBorder="1" applyAlignment="1">
      <alignment horizontal="center" vertical="center"/>
    </xf>
    <xf numFmtId="0" fontId="31" fillId="25" borderId="15" xfId="0" applyFont="1" applyFill="1" applyBorder="1" applyAlignment="1">
      <alignment horizontal="center" vertical="center"/>
    </xf>
    <xf numFmtId="0" fontId="30" fillId="21" borderId="79" xfId="0" applyFont="1" applyFill="1" applyBorder="1" applyAlignment="1">
      <alignment horizontal="center" vertical="center"/>
    </xf>
    <xf numFmtId="0" fontId="30" fillId="21" borderId="43" xfId="0" applyFont="1" applyFill="1" applyBorder="1" applyAlignment="1">
      <alignment horizontal="center" vertical="center"/>
    </xf>
    <xf numFmtId="0" fontId="24" fillId="21" borderId="43" xfId="0" applyFont="1" applyFill="1" applyBorder="1" applyAlignment="1">
      <alignment horizontal="center" vertical="center"/>
    </xf>
    <xf numFmtId="0" fontId="30" fillId="24" borderId="116" xfId="0" applyFont="1" applyFill="1" applyBorder="1" applyAlignment="1">
      <alignment horizontal="center" vertical="center"/>
    </xf>
    <xf numFmtId="0" fontId="30" fillId="24" borderId="74" xfId="0" applyFont="1" applyFill="1" applyBorder="1" applyAlignment="1">
      <alignment horizontal="center" vertical="center"/>
    </xf>
    <xf numFmtId="0" fontId="31" fillId="28" borderId="78" xfId="0" applyFont="1" applyFill="1" applyBorder="1" applyAlignment="1">
      <alignment horizontal="center" vertical="center"/>
    </xf>
    <xf numFmtId="0" fontId="31" fillId="28" borderId="60" xfId="0" applyFont="1" applyFill="1" applyBorder="1" applyAlignment="1">
      <alignment horizontal="center" vertical="center"/>
    </xf>
    <xf numFmtId="0" fontId="23" fillId="24" borderId="74" xfId="0" applyFont="1" applyFill="1" applyBorder="1" applyAlignment="1">
      <alignment horizontal="center" vertical="center"/>
    </xf>
    <xf numFmtId="0" fontId="23" fillId="24" borderId="89" xfId="0" applyFont="1" applyFill="1" applyBorder="1" applyAlignment="1">
      <alignment horizontal="center" vertical="center"/>
    </xf>
    <xf numFmtId="0" fontId="23" fillId="6" borderId="74" xfId="0" applyFont="1" applyFill="1" applyBorder="1" applyAlignment="1">
      <alignment horizontal="center" vertical="center"/>
    </xf>
    <xf numFmtId="0" fontId="30" fillId="16" borderId="58" xfId="0" applyFont="1" applyFill="1" applyBorder="1" applyAlignment="1">
      <alignment horizontal="center" vertical="center"/>
    </xf>
    <xf numFmtId="0" fontId="30" fillId="16" borderId="59" xfId="0" applyFont="1" applyFill="1" applyBorder="1" applyAlignment="1">
      <alignment horizontal="center" vertical="center"/>
    </xf>
    <xf numFmtId="0" fontId="30" fillId="16" borderId="98" xfId="0" applyFont="1" applyFill="1" applyBorder="1" applyAlignment="1">
      <alignment horizontal="center" vertical="center"/>
    </xf>
    <xf numFmtId="0" fontId="30" fillId="16" borderId="83" xfId="0" applyFont="1" applyFill="1" applyBorder="1" applyAlignment="1">
      <alignment horizontal="center" vertical="center"/>
    </xf>
    <xf numFmtId="0" fontId="30" fillId="16" borderId="85" xfId="0" applyFont="1" applyFill="1" applyBorder="1" applyAlignment="1">
      <alignment horizontal="center" vertical="center"/>
    </xf>
    <xf numFmtId="0" fontId="6" fillId="37" borderId="112" xfId="0" applyFont="1" applyFill="1" applyBorder="1" applyAlignment="1">
      <alignment horizontal="center" vertical="center"/>
    </xf>
    <xf numFmtId="0" fontId="6" fillId="37" borderId="35" xfId="0" applyFont="1" applyFill="1" applyBorder="1" applyAlignment="1">
      <alignment horizontal="center" vertical="center"/>
    </xf>
    <xf numFmtId="0" fontId="30" fillId="13" borderId="80" xfId="0" applyFont="1" applyFill="1" applyBorder="1" applyAlignment="1">
      <alignment horizontal="center" vertical="center"/>
    </xf>
    <xf numFmtId="0" fontId="9" fillId="8" borderId="111" xfId="0" applyFont="1" applyFill="1" applyBorder="1" applyAlignment="1">
      <alignment horizontal="center" vertical="center"/>
    </xf>
    <xf numFmtId="0" fontId="9" fillId="8" borderId="84" xfId="0" applyFont="1" applyFill="1" applyBorder="1" applyAlignment="1">
      <alignment horizontal="center" vertical="center"/>
    </xf>
    <xf numFmtId="0" fontId="9" fillId="8" borderId="83" xfId="0" applyFont="1" applyFill="1" applyBorder="1" applyAlignment="1">
      <alignment horizontal="center" vertical="center"/>
    </xf>
    <xf numFmtId="0" fontId="9" fillId="8" borderId="85" xfId="0" applyFont="1" applyFill="1" applyBorder="1" applyAlignment="1">
      <alignment horizontal="center" vertical="center"/>
    </xf>
    <xf numFmtId="0" fontId="30" fillId="17" borderId="64" xfId="0" applyFont="1" applyFill="1" applyBorder="1" applyAlignment="1">
      <alignment horizontal="center" vertical="center"/>
    </xf>
    <xf numFmtId="0" fontId="30" fillId="17" borderId="5" xfId="0" applyFont="1" applyFill="1" applyBorder="1" applyAlignment="1">
      <alignment horizontal="center" vertical="center"/>
    </xf>
    <xf numFmtId="0" fontId="26" fillId="25" borderId="78" xfId="0" applyFont="1" applyFill="1" applyBorder="1" applyAlignment="1">
      <alignment horizontal="center" vertical="center"/>
    </xf>
    <xf numFmtId="0" fontId="26" fillId="25" borderId="60" xfId="0" applyFont="1" applyFill="1" applyBorder="1" applyAlignment="1">
      <alignment horizontal="center" vertical="center"/>
    </xf>
    <xf numFmtId="0" fontId="9" fillId="8" borderId="56" xfId="0" applyFont="1" applyFill="1" applyBorder="1" applyAlignment="1">
      <alignment horizontal="center" vertical="center"/>
    </xf>
    <xf numFmtId="0" fontId="9" fillId="8" borderId="73" xfId="0" applyFont="1" applyFill="1" applyBorder="1" applyAlignment="1">
      <alignment horizontal="center" vertical="center"/>
    </xf>
    <xf numFmtId="0" fontId="24" fillId="17" borderId="84" xfId="0" applyFont="1" applyFill="1" applyBorder="1" applyAlignment="1">
      <alignment horizontal="center" vertical="center"/>
    </xf>
    <xf numFmtId="0" fontId="24" fillId="17" borderId="83" xfId="0" applyFont="1" applyFill="1" applyBorder="1" applyAlignment="1">
      <alignment horizontal="center" vertical="center"/>
    </xf>
    <xf numFmtId="0" fontId="24" fillId="17" borderId="85" xfId="0" applyFont="1" applyFill="1" applyBorder="1" applyAlignment="1">
      <alignment horizontal="center" vertical="center"/>
    </xf>
    <xf numFmtId="0" fontId="24" fillId="13" borderId="32" xfId="0" applyFont="1" applyFill="1" applyBorder="1" applyAlignment="1">
      <alignment horizontal="center" vertical="center"/>
    </xf>
    <xf numFmtId="0" fontId="24" fillId="13" borderId="33" xfId="0" applyFont="1" applyFill="1" applyBorder="1" applyAlignment="1">
      <alignment horizontal="center" vertical="center"/>
    </xf>
    <xf numFmtId="0" fontId="24" fillId="13" borderId="34" xfId="0" applyFont="1" applyFill="1" applyBorder="1" applyAlignment="1">
      <alignment horizontal="center" vertical="center"/>
    </xf>
    <xf numFmtId="0" fontId="9" fillId="7" borderId="137" xfId="0" applyFont="1" applyFill="1" applyBorder="1" applyAlignment="1">
      <alignment horizontal="center" vertical="center"/>
    </xf>
    <xf numFmtId="0" fontId="9" fillId="7" borderId="101" xfId="0" applyFont="1" applyFill="1" applyBorder="1" applyAlignment="1">
      <alignment horizontal="center" vertical="center"/>
    </xf>
    <xf numFmtId="0" fontId="9" fillId="8" borderId="60" xfId="0" applyFont="1" applyFill="1" applyBorder="1" applyAlignment="1">
      <alignment horizontal="center" vertical="center" wrapText="1"/>
    </xf>
    <xf numFmtId="0" fontId="9" fillId="8" borderId="61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/>
    </xf>
    <xf numFmtId="0" fontId="9" fillId="8" borderId="62" xfId="0" applyFont="1" applyFill="1" applyBorder="1" applyAlignment="1">
      <alignment horizontal="center"/>
    </xf>
    <xf numFmtId="0" fontId="9" fillId="8" borderId="138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7" borderId="3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6" fillId="8" borderId="62" xfId="0" applyFont="1" applyFill="1" applyBorder="1" applyAlignment="1">
      <alignment horizontal="center" vertical="center"/>
    </xf>
    <xf numFmtId="0" fontId="31" fillId="22" borderId="84" xfId="0" applyFont="1" applyFill="1" applyBorder="1" applyAlignment="1">
      <alignment horizontal="center" vertical="center"/>
    </xf>
    <xf numFmtId="0" fontId="31" fillId="22" borderId="83" xfId="0" applyFont="1" applyFill="1" applyBorder="1" applyAlignment="1">
      <alignment horizontal="center" vertical="center"/>
    </xf>
    <xf numFmtId="0" fontId="31" fillId="22" borderId="85" xfId="0" applyFont="1" applyFill="1" applyBorder="1" applyAlignment="1">
      <alignment horizontal="center" vertical="center"/>
    </xf>
    <xf numFmtId="0" fontId="41" fillId="7" borderId="32" xfId="0" applyFont="1" applyFill="1" applyBorder="1" applyAlignment="1">
      <alignment horizontal="center" vertical="center"/>
    </xf>
    <xf numFmtId="0" fontId="41" fillId="7" borderId="33" xfId="0" applyFont="1" applyFill="1" applyBorder="1" applyAlignment="1">
      <alignment horizontal="center" vertical="center"/>
    </xf>
    <xf numFmtId="0" fontId="41" fillId="7" borderId="34" xfId="0" applyFont="1" applyFill="1" applyBorder="1" applyAlignment="1">
      <alignment horizontal="center" vertical="center"/>
    </xf>
    <xf numFmtId="0" fontId="55" fillId="28" borderId="32" xfId="0" applyFont="1" applyFill="1" applyBorder="1" applyAlignment="1">
      <alignment horizontal="center" vertical="center"/>
    </xf>
    <xf numFmtId="0" fontId="31" fillId="28" borderId="34" xfId="0" applyFont="1" applyFill="1" applyBorder="1" applyAlignment="1">
      <alignment horizontal="center" vertical="center"/>
    </xf>
    <xf numFmtId="0" fontId="24" fillId="21" borderId="60" xfId="0" applyFont="1" applyFill="1" applyBorder="1" applyAlignment="1">
      <alignment horizontal="center" vertical="center"/>
    </xf>
    <xf numFmtId="0" fontId="30" fillId="16" borderId="78" xfId="0" applyFont="1" applyFill="1" applyBorder="1" applyAlignment="1">
      <alignment horizontal="center" vertical="center"/>
    </xf>
    <xf numFmtId="0" fontId="30" fillId="16" borderId="60" xfId="0" applyFont="1" applyFill="1" applyBorder="1" applyAlignment="1">
      <alignment horizontal="center" vertical="center"/>
    </xf>
    <xf numFmtId="0" fontId="30" fillId="16" borderId="84" xfId="0" applyFont="1" applyFill="1" applyBorder="1" applyAlignment="1">
      <alignment horizontal="center" vertical="center"/>
    </xf>
    <xf numFmtId="0" fontId="25" fillId="0" borderId="14" xfId="1" applyFont="1" applyBorder="1" applyAlignment="1">
      <alignment horizontal="center" vertical="center" wrapText="1"/>
    </xf>
    <xf numFmtId="0" fontId="24" fillId="24" borderId="132" xfId="0" applyFont="1" applyFill="1" applyBorder="1" applyAlignment="1">
      <alignment horizontal="center" vertical="center"/>
    </xf>
    <xf numFmtId="0" fontId="24" fillId="24" borderId="101" xfId="0" applyFont="1" applyFill="1" applyBorder="1" applyAlignment="1">
      <alignment horizontal="center" vertical="center"/>
    </xf>
    <xf numFmtId="0" fontId="31" fillId="28" borderId="84" xfId="0" applyFont="1" applyFill="1" applyBorder="1" applyAlignment="1">
      <alignment horizontal="center" vertical="center"/>
    </xf>
    <xf numFmtId="0" fontId="31" fillId="28" borderId="83" xfId="0" applyFont="1" applyFill="1" applyBorder="1" applyAlignment="1">
      <alignment horizontal="center" vertical="center"/>
    </xf>
    <xf numFmtId="0" fontId="31" fillId="28" borderId="85" xfId="0" applyFont="1" applyFill="1" applyBorder="1" applyAlignment="1">
      <alignment horizontal="center" vertical="center"/>
    </xf>
    <xf numFmtId="0" fontId="31" fillId="13" borderId="80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26" fillId="13" borderId="15" xfId="0" applyFont="1" applyFill="1" applyBorder="1" applyAlignment="1">
      <alignment horizontal="center" vertical="center"/>
    </xf>
    <xf numFmtId="0" fontId="23" fillId="2" borderId="97" xfId="0" applyFont="1" applyFill="1" applyBorder="1" applyAlignment="1">
      <alignment horizontal="center" vertical="center"/>
    </xf>
    <xf numFmtId="49" fontId="23" fillId="2" borderId="92" xfId="0" applyNumberFormat="1" applyFont="1" applyFill="1" applyBorder="1" applyAlignment="1">
      <alignment horizontal="center" vertical="center"/>
    </xf>
    <xf numFmtId="0" fontId="24" fillId="23" borderId="32" xfId="0" applyFont="1" applyFill="1" applyBorder="1" applyAlignment="1">
      <alignment horizontal="center" vertical="center"/>
    </xf>
    <xf numFmtId="0" fontId="24" fillId="23" borderId="34" xfId="0" applyFont="1" applyFill="1" applyBorder="1" applyAlignment="1">
      <alignment horizontal="center" vertical="center"/>
    </xf>
    <xf numFmtId="0" fontId="23" fillId="28" borderId="60" xfId="0" applyFont="1" applyFill="1" applyBorder="1" applyAlignment="1">
      <alignment horizontal="center" vertical="center"/>
    </xf>
    <xf numFmtId="0" fontId="30" fillId="21" borderId="64" xfId="0" applyFont="1" applyFill="1" applyBorder="1" applyAlignment="1">
      <alignment horizontal="center" vertical="center"/>
    </xf>
    <xf numFmtId="0" fontId="30" fillId="21" borderId="5" xfId="0" applyFont="1" applyFill="1" applyBorder="1" applyAlignment="1">
      <alignment horizontal="center" vertical="center"/>
    </xf>
    <xf numFmtId="0" fontId="31" fillId="26" borderId="80" xfId="0" applyFont="1" applyFill="1" applyBorder="1" applyAlignment="1">
      <alignment horizontal="center" vertical="center"/>
    </xf>
    <xf numFmtId="0" fontId="31" fillId="26" borderId="15" xfId="0" applyFont="1" applyFill="1" applyBorder="1" applyAlignment="1">
      <alignment horizontal="center" vertical="center"/>
    </xf>
    <xf numFmtId="0" fontId="40" fillId="36" borderId="32" xfId="0" applyFont="1" applyFill="1" applyBorder="1" applyAlignment="1">
      <alignment horizontal="center"/>
    </xf>
    <xf numFmtId="0" fontId="40" fillId="36" borderId="33" xfId="0" applyFont="1" applyFill="1" applyBorder="1" applyAlignment="1">
      <alignment horizontal="center"/>
    </xf>
    <xf numFmtId="0" fontId="40" fillId="36" borderId="34" xfId="0" applyFont="1" applyFill="1" applyBorder="1" applyAlignment="1">
      <alignment horizontal="center"/>
    </xf>
    <xf numFmtId="0" fontId="30" fillId="25" borderId="64" xfId="0" applyFont="1" applyFill="1" applyBorder="1" applyAlignment="1">
      <alignment horizontal="center" vertical="center"/>
    </xf>
    <xf numFmtId="0" fontId="30" fillId="25" borderId="5" xfId="0" applyFont="1" applyFill="1" applyBorder="1" applyAlignment="1">
      <alignment horizontal="center" vertical="center"/>
    </xf>
    <xf numFmtId="0" fontId="58" fillId="36" borderId="32" xfId="0" applyFont="1" applyFill="1" applyBorder="1" applyAlignment="1">
      <alignment horizontal="center"/>
    </xf>
    <xf numFmtId="0" fontId="58" fillId="36" borderId="33" xfId="0" applyFont="1" applyFill="1" applyBorder="1" applyAlignment="1">
      <alignment horizontal="center"/>
    </xf>
    <xf numFmtId="0" fontId="58" fillId="36" borderId="34" xfId="0" applyFont="1" applyFill="1" applyBorder="1" applyAlignment="1">
      <alignment horizontal="center"/>
    </xf>
    <xf numFmtId="0" fontId="23" fillId="28" borderId="5" xfId="0" applyFont="1" applyFill="1" applyBorder="1" applyAlignment="1">
      <alignment horizontal="center" vertical="center"/>
    </xf>
    <xf numFmtId="0" fontId="26" fillId="13" borderId="5" xfId="0" applyFont="1" applyFill="1" applyBorder="1" applyAlignment="1">
      <alignment horizontal="center" vertical="center"/>
    </xf>
    <xf numFmtId="0" fontId="26" fillId="8" borderId="56" xfId="0" applyFont="1" applyFill="1" applyBorder="1" applyAlignment="1">
      <alignment horizontal="center" vertical="center"/>
    </xf>
    <xf numFmtId="0" fontId="26" fillId="8" borderId="57" xfId="0" applyFont="1" applyFill="1" applyBorder="1" applyAlignment="1">
      <alignment horizontal="center" vertical="center"/>
    </xf>
    <xf numFmtId="0" fontId="26" fillId="8" borderId="73" xfId="0" applyFont="1" applyFill="1" applyBorder="1" applyAlignment="1">
      <alignment horizontal="center" vertical="center"/>
    </xf>
    <xf numFmtId="0" fontId="26" fillId="13" borderId="32" xfId="0" applyFont="1" applyFill="1" applyBorder="1" applyAlignment="1">
      <alignment horizontal="center" vertical="center"/>
    </xf>
    <xf numFmtId="0" fontId="26" fillId="13" borderId="33" xfId="0" applyFont="1" applyFill="1" applyBorder="1" applyAlignment="1">
      <alignment horizontal="center" vertical="center"/>
    </xf>
    <xf numFmtId="0" fontId="26" fillId="13" borderId="34" xfId="0" applyFont="1" applyFill="1" applyBorder="1" applyAlignment="1">
      <alignment horizontal="center" vertical="center"/>
    </xf>
    <xf numFmtId="0" fontId="31" fillId="28" borderId="32" xfId="0" applyFont="1" applyFill="1" applyBorder="1" applyAlignment="1">
      <alignment horizontal="center" vertical="center"/>
    </xf>
    <xf numFmtId="0" fontId="31" fillId="28" borderId="33" xfId="0" applyFont="1" applyFill="1" applyBorder="1" applyAlignment="1">
      <alignment horizontal="center" vertical="center"/>
    </xf>
    <xf numFmtId="0" fontId="31" fillId="28" borderId="15" xfId="0" applyFont="1" applyFill="1" applyBorder="1" applyAlignment="1">
      <alignment horizontal="center" vertical="center"/>
    </xf>
    <xf numFmtId="0" fontId="23" fillId="28" borderId="15" xfId="0" applyFont="1" applyFill="1" applyBorder="1" applyAlignment="1">
      <alignment horizontal="center" vertical="center"/>
    </xf>
    <xf numFmtId="0" fontId="26" fillId="8" borderId="32" xfId="0" applyFont="1" applyFill="1" applyBorder="1" applyAlignment="1">
      <alignment horizontal="center"/>
    </xf>
    <xf numFmtId="0" fontId="40" fillId="8" borderId="33" xfId="0" applyFont="1" applyFill="1" applyBorder="1" applyAlignment="1">
      <alignment horizontal="center"/>
    </xf>
    <xf numFmtId="0" fontId="40" fillId="8" borderId="111" xfId="0" applyFont="1" applyFill="1" applyBorder="1" applyAlignment="1">
      <alignment horizontal="center"/>
    </xf>
    <xf numFmtId="0" fontId="26" fillId="8" borderId="85" xfId="0" applyFont="1" applyFill="1" applyBorder="1" applyAlignment="1">
      <alignment horizontal="center" vertical="center"/>
    </xf>
    <xf numFmtId="0" fontId="40" fillId="36" borderId="60" xfId="0" applyFont="1" applyFill="1" applyBorder="1" applyAlignment="1">
      <alignment horizontal="center" vertical="top"/>
    </xf>
    <xf numFmtId="0" fontId="26" fillId="8" borderId="15" xfId="0" applyFont="1" applyFill="1" applyBorder="1" applyAlignment="1">
      <alignment horizontal="center" vertical="center"/>
    </xf>
    <xf numFmtId="0" fontId="42" fillId="36" borderId="43" xfId="1" applyFont="1" applyFill="1" applyBorder="1" applyAlignment="1">
      <alignment horizontal="center" vertical="center" wrapText="1"/>
    </xf>
    <xf numFmtId="0" fontId="24" fillId="23" borderId="33" xfId="0" applyFont="1" applyFill="1" applyBorder="1" applyAlignment="1">
      <alignment horizontal="center" vertical="center"/>
    </xf>
    <xf numFmtId="0" fontId="24" fillId="23" borderId="84" xfId="0" applyFont="1" applyFill="1" applyBorder="1" applyAlignment="1">
      <alignment horizontal="center" vertical="center"/>
    </xf>
    <xf numFmtId="0" fontId="24" fillId="23" borderId="83" xfId="0" applyFont="1" applyFill="1" applyBorder="1" applyAlignment="1">
      <alignment horizontal="center" vertical="center"/>
    </xf>
    <xf numFmtId="0" fontId="24" fillId="23" borderId="85" xfId="0" applyFont="1" applyFill="1" applyBorder="1" applyAlignment="1">
      <alignment horizontal="center" vertical="center"/>
    </xf>
    <xf numFmtId="0" fontId="26" fillId="8" borderId="118" xfId="0" applyFont="1" applyFill="1" applyBorder="1" applyAlignment="1">
      <alignment horizontal="center" vertical="center"/>
    </xf>
    <xf numFmtId="0" fontId="25" fillId="8" borderId="35" xfId="0" applyFont="1" applyFill="1" applyBorder="1" applyAlignment="1">
      <alignment horizontal="center" vertical="center"/>
    </xf>
    <xf numFmtId="0" fontId="25" fillId="8" borderId="110" xfId="0" applyFont="1" applyFill="1" applyBorder="1" applyAlignment="1">
      <alignment horizontal="center" vertical="center"/>
    </xf>
    <xf numFmtId="0" fontId="23" fillId="28" borderId="74" xfId="0" applyFont="1" applyFill="1" applyBorder="1" applyAlignment="1">
      <alignment horizontal="center" vertical="center"/>
    </xf>
    <xf numFmtId="0" fontId="24" fillId="23" borderId="5" xfId="0" applyFont="1" applyFill="1" applyBorder="1" applyAlignment="1">
      <alignment horizontal="center" vertical="center"/>
    </xf>
    <xf numFmtId="0" fontId="31" fillId="13" borderId="42" xfId="0" applyFont="1" applyFill="1" applyBorder="1" applyAlignment="1">
      <alignment horizontal="center"/>
    </xf>
    <xf numFmtId="0" fontId="31" fillId="13" borderId="77" xfId="0" applyFont="1" applyFill="1" applyBorder="1" applyAlignment="1">
      <alignment horizontal="center"/>
    </xf>
    <xf numFmtId="0" fontId="31" fillId="13" borderId="105" xfId="0" applyFont="1" applyFill="1" applyBorder="1" applyAlignment="1">
      <alignment horizontal="center"/>
    </xf>
    <xf numFmtId="0" fontId="31" fillId="13" borderId="107" xfId="0" applyFont="1" applyFill="1" applyBorder="1" applyAlignment="1">
      <alignment horizontal="center"/>
    </xf>
    <xf numFmtId="0" fontId="31" fillId="13" borderId="106" xfId="0" applyFont="1" applyFill="1" applyBorder="1" applyAlignment="1">
      <alignment horizontal="center"/>
    </xf>
    <xf numFmtId="0" fontId="31" fillId="13" borderId="31" xfId="0" applyFont="1" applyFill="1" applyBorder="1" applyAlignment="1">
      <alignment horizontal="center"/>
    </xf>
    <xf numFmtId="0" fontId="31" fillId="13" borderId="102" xfId="0" applyFont="1" applyFill="1" applyBorder="1" applyAlignment="1">
      <alignment horizontal="center"/>
    </xf>
    <xf numFmtId="0" fontId="31" fillId="13" borderId="117" xfId="0" applyFont="1" applyFill="1" applyBorder="1" applyAlignment="1">
      <alignment horizontal="center"/>
    </xf>
    <xf numFmtId="0" fontId="31" fillId="13" borderId="0" xfId="0" applyFont="1" applyFill="1" applyBorder="1" applyAlignment="1">
      <alignment horizontal="center"/>
    </xf>
    <xf numFmtId="0" fontId="31" fillId="13" borderId="130" xfId="0" applyFont="1" applyFill="1" applyBorder="1" applyAlignment="1">
      <alignment horizontal="center"/>
    </xf>
    <xf numFmtId="0" fontId="26" fillId="8" borderId="92" xfId="0" applyFont="1" applyFill="1" applyBorder="1" applyAlignment="1">
      <alignment horizontal="center"/>
    </xf>
    <xf numFmtId="0" fontId="26" fillId="8" borderId="0" xfId="0" applyFont="1" applyFill="1" applyBorder="1" applyAlignment="1">
      <alignment horizontal="center"/>
    </xf>
    <xf numFmtId="0" fontId="26" fillId="8" borderId="130" xfId="0" applyFont="1" applyFill="1" applyBorder="1" applyAlignment="1">
      <alignment horizontal="center"/>
    </xf>
    <xf numFmtId="0" fontId="31" fillId="22" borderId="118" xfId="0" applyFont="1" applyFill="1" applyBorder="1" applyAlignment="1">
      <alignment horizontal="center" vertical="center"/>
    </xf>
    <xf numFmtId="0" fontId="31" fillId="22" borderId="35" xfId="0" applyFont="1" applyFill="1" applyBorder="1" applyAlignment="1">
      <alignment horizontal="center" vertical="center"/>
    </xf>
    <xf numFmtId="0" fontId="31" fillId="22" borderId="110" xfId="0" applyFont="1" applyFill="1" applyBorder="1" applyAlignment="1">
      <alignment horizontal="center" vertical="center"/>
    </xf>
    <xf numFmtId="0" fontId="26" fillId="29" borderId="50" xfId="0" applyFont="1" applyFill="1" applyBorder="1" applyAlignment="1">
      <alignment horizontal="center"/>
    </xf>
    <xf numFmtId="0" fontId="26" fillId="29" borderId="4" xfId="0" applyFont="1" applyFill="1" applyBorder="1" applyAlignment="1">
      <alignment horizontal="center"/>
    </xf>
    <xf numFmtId="0" fontId="26" fillId="29" borderId="3" xfId="0" applyFont="1" applyFill="1" applyBorder="1" applyAlignment="1">
      <alignment horizontal="center"/>
    </xf>
    <xf numFmtId="0" fontId="31" fillId="13" borderId="104" xfId="0" applyFont="1" applyFill="1" applyBorder="1" applyAlignment="1">
      <alignment horizontal="center"/>
    </xf>
    <xf numFmtId="0" fontId="26" fillId="8" borderId="75" xfId="0" applyFont="1" applyFill="1" applyBorder="1" applyAlignment="1">
      <alignment horizontal="center"/>
    </xf>
    <xf numFmtId="0" fontId="26" fillId="8" borderId="111" xfId="0" applyFont="1" applyFill="1" applyBorder="1" applyAlignment="1">
      <alignment horizontal="center"/>
    </xf>
    <xf numFmtId="0" fontId="30" fillId="10" borderId="32" xfId="0" applyFont="1" applyFill="1" applyBorder="1" applyAlignment="1">
      <alignment horizontal="center" vertical="center"/>
    </xf>
    <xf numFmtId="0" fontId="30" fillId="10" borderId="33" xfId="0" applyFont="1" applyFill="1" applyBorder="1" applyAlignment="1">
      <alignment horizontal="center" vertical="center"/>
    </xf>
    <xf numFmtId="0" fontId="30" fillId="10" borderId="34" xfId="0" applyFont="1" applyFill="1" applyBorder="1" applyAlignment="1">
      <alignment horizontal="center" vertical="center"/>
    </xf>
    <xf numFmtId="0" fontId="26" fillId="8" borderId="50" xfId="0" applyFont="1" applyFill="1" applyBorder="1" applyAlignment="1">
      <alignment horizontal="center"/>
    </xf>
    <xf numFmtId="0" fontId="26" fillId="8" borderId="3" xfId="0" applyFont="1" applyFill="1" applyBorder="1" applyAlignment="1">
      <alignment horizontal="center"/>
    </xf>
    <xf numFmtId="0" fontId="31" fillId="13" borderId="113" xfId="0" applyFont="1" applyFill="1" applyBorder="1" applyAlignment="1">
      <alignment horizontal="center"/>
    </xf>
    <xf numFmtId="0" fontId="31" fillId="13" borderId="114" xfId="0" applyFont="1" applyFill="1" applyBorder="1" applyAlignment="1">
      <alignment horizontal="center"/>
    </xf>
    <xf numFmtId="0" fontId="31" fillId="13" borderId="115" xfId="0" applyFont="1" applyFill="1" applyBorder="1" applyAlignment="1">
      <alignment horizontal="center"/>
    </xf>
    <xf numFmtId="0" fontId="26" fillId="30" borderId="160" xfId="0" applyFont="1" applyFill="1" applyBorder="1" applyAlignment="1">
      <alignment horizontal="center"/>
    </xf>
    <xf numFmtId="0" fontId="26" fillId="30" borderId="149" xfId="0" applyFont="1" applyFill="1" applyBorder="1" applyAlignment="1">
      <alignment horizontal="center"/>
    </xf>
    <xf numFmtId="0" fontId="26" fillId="25" borderId="14" xfId="0" applyFont="1" applyFill="1" applyBorder="1" applyAlignment="1">
      <alignment horizontal="center" vertical="center"/>
    </xf>
    <xf numFmtId="0" fontId="26" fillId="25" borderId="5" xfId="0" applyFont="1" applyFill="1" applyBorder="1" applyAlignment="1">
      <alignment horizontal="center" vertical="center"/>
    </xf>
    <xf numFmtId="0" fontId="26" fillId="8" borderId="103" xfId="0" applyFont="1" applyFill="1" applyBorder="1" applyAlignment="1">
      <alignment horizontal="center"/>
    </xf>
    <xf numFmtId="0" fontId="26" fillId="8" borderId="55" xfId="0" applyFont="1" applyFill="1" applyBorder="1" applyAlignment="1">
      <alignment horizontal="center" vertical="top"/>
    </xf>
    <xf numFmtId="0" fontId="26" fillId="8" borderId="37" xfId="0" applyFont="1" applyFill="1" applyBorder="1" applyAlignment="1">
      <alignment horizontal="center" vertical="top"/>
    </xf>
    <xf numFmtId="0" fontId="26" fillId="8" borderId="90" xfId="0" applyFont="1" applyFill="1" applyBorder="1" applyAlignment="1">
      <alignment horizontal="center" vertical="top"/>
    </xf>
    <xf numFmtId="0" fontId="31" fillId="22" borderId="56" xfId="0" applyFont="1" applyFill="1" applyBorder="1" applyAlignment="1">
      <alignment horizontal="center" vertical="center"/>
    </xf>
    <xf numFmtId="0" fontId="31" fillId="22" borderId="57" xfId="0" applyFont="1" applyFill="1" applyBorder="1" applyAlignment="1">
      <alignment horizontal="center" vertical="center"/>
    </xf>
    <xf numFmtId="0" fontId="31" fillId="22" borderId="73" xfId="0" applyFont="1" applyFill="1" applyBorder="1" applyAlignment="1">
      <alignment horizontal="center" vertical="center"/>
    </xf>
    <xf numFmtId="0" fontId="31" fillId="22" borderId="14" xfId="0" applyFont="1" applyFill="1" applyBorder="1" applyAlignment="1">
      <alignment horizontal="center" vertical="center"/>
    </xf>
    <xf numFmtId="0" fontId="31" fillId="22" borderId="32" xfId="0" applyFont="1" applyFill="1" applyBorder="1" applyAlignment="1">
      <alignment horizontal="center" vertical="center"/>
    </xf>
    <xf numFmtId="0" fontId="31" fillId="22" borderId="33" xfId="0" applyFont="1" applyFill="1" applyBorder="1" applyAlignment="1">
      <alignment horizontal="center" vertical="center"/>
    </xf>
    <xf numFmtId="0" fontId="26" fillId="8" borderId="112" xfId="0" applyFont="1" applyFill="1" applyBorder="1" applyAlignment="1">
      <alignment horizontal="center"/>
    </xf>
    <xf numFmtId="0" fontId="26" fillId="8" borderId="35" xfId="0" applyFont="1" applyFill="1" applyBorder="1" applyAlignment="1">
      <alignment horizontal="center"/>
    </xf>
    <xf numFmtId="0" fontId="26" fillId="8" borderId="110" xfId="0" applyFont="1" applyFill="1" applyBorder="1" applyAlignment="1">
      <alignment horizontal="center"/>
    </xf>
    <xf numFmtId="0" fontId="29" fillId="7" borderId="117" xfId="0" applyFont="1" applyFill="1" applyBorder="1" applyAlignment="1">
      <alignment horizontal="center"/>
    </xf>
    <xf numFmtId="0" fontId="29" fillId="7" borderId="0" xfId="0" applyFont="1" applyFill="1" applyBorder="1" applyAlignment="1">
      <alignment horizontal="center"/>
    </xf>
    <xf numFmtId="0" fontId="31" fillId="22" borderId="5" xfId="0" applyFont="1" applyFill="1" applyBorder="1" applyAlignment="1">
      <alignment horizontal="center" vertical="center"/>
    </xf>
    <xf numFmtId="0" fontId="0" fillId="8" borderId="32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31" fillId="13" borderId="92" xfId="0" applyFont="1" applyFill="1" applyBorder="1" applyAlignment="1">
      <alignment horizontal="center"/>
    </xf>
    <xf numFmtId="0" fontId="31" fillId="13" borderId="103" xfId="0" applyFont="1" applyFill="1" applyBorder="1" applyAlignment="1">
      <alignment horizontal="center"/>
    </xf>
    <xf numFmtId="0" fontId="67" fillId="8" borderId="65" xfId="0" applyFont="1" applyFill="1" applyBorder="1" applyAlignment="1">
      <alignment horizontal="center" vertical="center"/>
    </xf>
    <xf numFmtId="0" fontId="67" fillId="8" borderId="33" xfId="0" applyFont="1" applyFill="1" applyBorder="1" applyAlignment="1">
      <alignment horizontal="center" vertical="center"/>
    </xf>
    <xf numFmtId="0" fontId="67" fillId="8" borderId="111" xfId="0" applyFont="1" applyFill="1" applyBorder="1" applyAlignment="1">
      <alignment horizontal="center" vertical="center"/>
    </xf>
    <xf numFmtId="0" fontId="31" fillId="13" borderId="55" xfId="0" applyFont="1" applyFill="1" applyBorder="1" applyAlignment="1">
      <alignment horizontal="center"/>
    </xf>
    <xf numFmtId="0" fontId="31" fillId="13" borderId="37" xfId="0" applyFont="1" applyFill="1" applyBorder="1" applyAlignment="1">
      <alignment horizontal="center"/>
    </xf>
    <xf numFmtId="0" fontId="31" fillId="13" borderId="159" xfId="0" applyFont="1" applyFill="1" applyBorder="1" applyAlignment="1">
      <alignment horizontal="center"/>
    </xf>
    <xf numFmtId="0" fontId="26" fillId="22" borderId="32" xfId="0" applyFont="1" applyFill="1" applyBorder="1" applyAlignment="1">
      <alignment horizontal="center" vertical="center"/>
    </xf>
    <xf numFmtId="0" fontId="26" fillId="22" borderId="33" xfId="0" applyFont="1" applyFill="1" applyBorder="1" applyAlignment="1">
      <alignment horizontal="center" vertical="center"/>
    </xf>
    <xf numFmtId="0" fontId="26" fillId="22" borderId="34" xfId="0" applyFont="1" applyFill="1" applyBorder="1" applyAlignment="1">
      <alignment horizontal="center" vertical="center"/>
    </xf>
    <xf numFmtId="0" fontId="26" fillId="0" borderId="125" xfId="0" applyFont="1" applyBorder="1" applyAlignment="1">
      <alignment horizontal="center" vertical="center"/>
    </xf>
    <xf numFmtId="0" fontId="26" fillId="0" borderId="126" xfId="0" applyFont="1" applyBorder="1" applyAlignment="1">
      <alignment horizontal="center" vertical="center"/>
    </xf>
    <xf numFmtId="0" fontId="26" fillId="0" borderId="123" xfId="0" applyFont="1" applyBorder="1" applyAlignment="1">
      <alignment horizontal="center" vertical="center"/>
    </xf>
    <xf numFmtId="0" fontId="26" fillId="0" borderId="127" xfId="0" applyFont="1" applyBorder="1" applyAlignment="1">
      <alignment horizontal="center" vertical="center"/>
    </xf>
    <xf numFmtId="0" fontId="26" fillId="0" borderId="117" xfId="0" applyFont="1" applyBorder="1" applyAlignment="1">
      <alignment horizontal="center" vertical="center"/>
    </xf>
    <xf numFmtId="0" fontId="26" fillId="0" borderId="71" xfId="0" applyFont="1" applyBorder="1" applyAlignment="1">
      <alignment horizontal="center" vertical="center"/>
    </xf>
    <xf numFmtId="0" fontId="26" fillId="0" borderId="161" xfId="0" applyFont="1" applyBorder="1" applyAlignment="1">
      <alignment horizontal="center" vertical="center"/>
    </xf>
    <xf numFmtId="0" fontId="26" fillId="0" borderId="176" xfId="0" applyFont="1" applyBorder="1" applyAlignment="1">
      <alignment horizontal="center" vertical="center"/>
    </xf>
    <xf numFmtId="0" fontId="31" fillId="22" borderId="34" xfId="0" applyFont="1" applyFill="1" applyBorder="1" applyAlignment="1">
      <alignment horizontal="center" vertical="center"/>
    </xf>
    <xf numFmtId="0" fontId="29" fillId="7" borderId="63" xfId="0" applyFont="1" applyFill="1" applyBorder="1" applyAlignment="1">
      <alignment horizontal="center"/>
    </xf>
    <xf numFmtId="0" fontId="29" fillId="7" borderId="10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/>
    </xf>
    <xf numFmtId="0" fontId="26" fillId="41" borderId="92" xfId="0" applyFont="1" applyFill="1" applyBorder="1" applyAlignment="1">
      <alignment horizontal="center"/>
    </xf>
    <xf numFmtId="0" fontId="26" fillId="41" borderId="0" xfId="0" applyFont="1" applyFill="1" applyBorder="1" applyAlignment="1">
      <alignment horizontal="center"/>
    </xf>
    <xf numFmtId="0" fontId="26" fillId="41" borderId="87" xfId="0" applyFont="1" applyFill="1" applyBorder="1" applyAlignment="1">
      <alignment horizontal="center"/>
    </xf>
    <xf numFmtId="0" fontId="26" fillId="8" borderId="5" xfId="0" applyFont="1" applyFill="1" applyBorder="1" applyAlignment="1">
      <alignment horizontal="center"/>
    </xf>
    <xf numFmtId="0" fontId="30" fillId="5" borderId="65" xfId="0" applyFont="1" applyFill="1" applyBorder="1" applyAlignment="1">
      <alignment horizontal="center" vertical="center"/>
    </xf>
    <xf numFmtId="0" fontId="30" fillId="5" borderId="33" xfId="0" applyFont="1" applyFill="1" applyBorder="1" applyAlignment="1">
      <alignment horizontal="center" vertical="center"/>
    </xf>
    <xf numFmtId="0" fontId="24" fillId="21" borderId="79" xfId="0" applyFont="1" applyFill="1" applyBorder="1" applyAlignment="1">
      <alignment horizontal="center" vertical="center"/>
    </xf>
    <xf numFmtId="0" fontId="24" fillId="21" borderId="56" xfId="0" applyFont="1" applyFill="1" applyBorder="1" applyAlignment="1">
      <alignment horizontal="center" vertical="center"/>
    </xf>
    <xf numFmtId="0" fontId="9" fillId="0" borderId="69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49" fontId="23" fillId="2" borderId="98" xfId="0" applyNumberFormat="1" applyFont="1" applyFill="1" applyBorder="1" applyAlignment="1">
      <alignment horizontal="center" vertical="center"/>
    </xf>
    <xf numFmtId="49" fontId="23" fillId="2" borderId="82" xfId="0" applyNumberFormat="1" applyFont="1" applyFill="1" applyBorder="1" applyAlignment="1">
      <alignment horizontal="center" vertical="center"/>
    </xf>
    <xf numFmtId="49" fontId="23" fillId="2" borderId="99" xfId="0" applyNumberFormat="1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3" fillId="2" borderId="19" xfId="0" applyFont="1" applyFill="1" applyBorder="1" applyAlignment="1">
      <alignment horizontal="center" vertical="center"/>
    </xf>
    <xf numFmtId="0" fontId="24" fillId="24" borderId="133" xfId="0" applyFont="1" applyFill="1" applyBorder="1" applyAlignment="1">
      <alignment horizontal="center" vertical="center"/>
    </xf>
    <xf numFmtId="0" fontId="24" fillId="24" borderId="105" xfId="0" applyFont="1" applyFill="1" applyBorder="1" applyAlignment="1">
      <alignment horizontal="center" vertical="center"/>
    </xf>
    <xf numFmtId="0" fontId="24" fillId="24" borderId="60" xfId="0" applyFont="1" applyFill="1" applyBorder="1" applyAlignment="1">
      <alignment horizontal="center" vertical="center"/>
    </xf>
    <xf numFmtId="0" fontId="26" fillId="22" borderId="91" xfId="0" applyFont="1" applyFill="1" applyBorder="1" applyAlignment="1">
      <alignment horizontal="center" vertical="center"/>
    </xf>
    <xf numFmtId="0" fontId="26" fillId="22" borderId="14" xfId="0" applyFont="1" applyFill="1" applyBorder="1" applyAlignment="1">
      <alignment horizontal="center" vertical="center"/>
    </xf>
    <xf numFmtId="0" fontId="26" fillId="22" borderId="118" xfId="0" applyFont="1" applyFill="1" applyBorder="1" applyAlignment="1">
      <alignment horizontal="center" vertical="center"/>
    </xf>
    <xf numFmtId="0" fontId="24" fillId="16" borderId="58" xfId="0" applyFont="1" applyFill="1" applyBorder="1" applyAlignment="1">
      <alignment horizontal="center" vertical="center"/>
    </xf>
    <xf numFmtId="0" fontId="24" fillId="16" borderId="59" xfId="0" applyFont="1" applyFill="1" applyBorder="1" applyAlignment="1">
      <alignment horizontal="center" vertical="center"/>
    </xf>
    <xf numFmtId="0" fontId="40" fillId="17" borderId="50" xfId="0" applyFont="1" applyFill="1" applyBorder="1" applyAlignment="1">
      <alignment horizontal="center" vertical="center"/>
    </xf>
    <xf numFmtId="0" fontId="26" fillId="25" borderId="66" xfId="0" applyFont="1" applyFill="1" applyBorder="1" applyAlignment="1">
      <alignment horizontal="center" vertical="center"/>
    </xf>
    <xf numFmtId="0" fontId="26" fillId="25" borderId="37" xfId="0" applyFont="1" applyFill="1" applyBorder="1" applyAlignment="1">
      <alignment horizontal="center" vertical="center"/>
    </xf>
    <xf numFmtId="0" fontId="26" fillId="23" borderId="37" xfId="0" applyFont="1" applyFill="1" applyBorder="1" applyAlignment="1">
      <alignment horizontal="center" vertical="center"/>
    </xf>
    <xf numFmtId="0" fontId="26" fillId="40" borderId="5" xfId="0" applyFont="1" applyFill="1" applyBorder="1" applyAlignment="1">
      <alignment horizontal="center" vertical="center"/>
    </xf>
    <xf numFmtId="0" fontId="26" fillId="40" borderId="32" xfId="0" applyFont="1" applyFill="1" applyBorder="1" applyAlignment="1">
      <alignment horizontal="center" vertical="center"/>
    </xf>
    <xf numFmtId="0" fontId="26" fillId="10" borderId="32" xfId="0" applyFont="1" applyFill="1" applyBorder="1" applyAlignment="1">
      <alignment horizontal="center" vertical="center"/>
    </xf>
    <xf numFmtId="0" fontId="26" fillId="10" borderId="33" xfId="0" applyFont="1" applyFill="1" applyBorder="1" applyAlignment="1">
      <alignment horizontal="center" vertical="center"/>
    </xf>
    <xf numFmtId="0" fontId="6" fillId="38" borderId="65" xfId="0" applyFont="1" applyFill="1" applyBorder="1" applyAlignment="1">
      <alignment horizontal="center" vertical="center"/>
    </xf>
    <xf numFmtId="0" fontId="6" fillId="38" borderId="33" xfId="0" applyFont="1" applyFill="1" applyBorder="1" applyAlignment="1">
      <alignment horizontal="center" vertical="center"/>
    </xf>
    <xf numFmtId="0" fontId="26" fillId="13" borderId="66" xfId="0" applyFont="1" applyFill="1" applyBorder="1" applyAlignment="1">
      <alignment horizontal="center" vertical="center"/>
    </xf>
    <xf numFmtId="0" fontId="31" fillId="13" borderId="5" xfId="0" applyFont="1" applyFill="1" applyBorder="1" applyAlignment="1">
      <alignment horizontal="center"/>
    </xf>
    <xf numFmtId="0" fontId="26" fillId="30" borderId="52" xfId="0" applyFont="1" applyFill="1" applyBorder="1" applyAlignment="1">
      <alignment horizontal="center"/>
    </xf>
    <xf numFmtId="0" fontId="26" fillId="30" borderId="73" xfId="0" applyFont="1" applyFill="1" applyBorder="1" applyAlignment="1">
      <alignment horizontal="center"/>
    </xf>
    <xf numFmtId="0" fontId="49" fillId="25" borderId="5" xfId="0" applyFont="1" applyFill="1" applyBorder="1" applyAlignment="1">
      <alignment horizontal="center" vertical="center"/>
    </xf>
    <xf numFmtId="0" fontId="44" fillId="43" borderId="5" xfId="0" applyFont="1" applyFill="1" applyBorder="1" applyAlignment="1">
      <alignment horizontal="center" vertical="center"/>
    </xf>
    <xf numFmtId="0" fontId="44" fillId="43" borderId="62" xfId="0" applyFont="1" applyFill="1" applyBorder="1" applyAlignment="1">
      <alignment horizontal="center" vertical="center"/>
    </xf>
    <xf numFmtId="0" fontId="26" fillId="22" borderId="5" xfId="0" applyFont="1" applyFill="1" applyBorder="1" applyAlignment="1">
      <alignment horizontal="center" vertical="center"/>
    </xf>
    <xf numFmtId="0" fontId="26" fillId="8" borderId="168" xfId="0" applyFont="1" applyFill="1" applyBorder="1" applyAlignment="1">
      <alignment horizontal="center"/>
    </xf>
    <xf numFmtId="0" fontId="26" fillId="8" borderId="88" xfId="0" applyFont="1" applyFill="1" applyBorder="1" applyAlignment="1">
      <alignment horizontal="center"/>
    </xf>
    <xf numFmtId="0" fontId="26" fillId="8" borderId="175" xfId="0" applyFont="1" applyFill="1" applyBorder="1" applyAlignment="1">
      <alignment horizontal="center"/>
    </xf>
    <xf numFmtId="0" fontId="26" fillId="41" borderId="7" xfId="0" applyFont="1" applyFill="1" applyBorder="1" applyAlignment="1">
      <alignment horizontal="center"/>
    </xf>
    <xf numFmtId="0" fontId="26" fillId="41" borderId="13" xfId="0" applyFont="1" applyFill="1" applyBorder="1" applyAlignment="1">
      <alignment horizontal="center"/>
    </xf>
    <xf numFmtId="0" fontId="26" fillId="41" borderId="8" xfId="0" applyFont="1" applyFill="1" applyBorder="1" applyAlignment="1">
      <alignment horizontal="center"/>
    </xf>
    <xf numFmtId="0" fontId="26" fillId="30" borderId="7" xfId="0" applyFont="1" applyFill="1" applyBorder="1" applyAlignment="1">
      <alignment horizontal="center"/>
    </xf>
    <xf numFmtId="0" fontId="26" fillId="30" borderId="173" xfId="0" applyFont="1" applyFill="1" applyBorder="1" applyAlignment="1">
      <alignment horizontal="center"/>
    </xf>
    <xf numFmtId="0" fontId="31" fillId="22" borderId="150" xfId="0" applyFont="1" applyFill="1" applyBorder="1" applyAlignment="1">
      <alignment horizontal="center" vertical="center"/>
    </xf>
    <xf numFmtId="0" fontId="31" fillId="22" borderId="178" xfId="0" applyFont="1" applyFill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4" fillId="28" borderId="5" xfId="0" applyFont="1" applyFill="1" applyBorder="1" applyAlignment="1">
      <alignment horizontal="center" vertical="center"/>
    </xf>
    <xf numFmtId="0" fontId="0" fillId="29" borderId="0" xfId="0" applyFill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/>
    </xf>
    <xf numFmtId="0" fontId="7" fillId="8" borderId="5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wrapText="1"/>
    </xf>
    <xf numFmtId="0" fontId="7" fillId="8" borderId="5" xfId="0" applyFont="1" applyFill="1" applyBorder="1" applyAlignment="1">
      <alignment horizontal="center" vertical="center"/>
    </xf>
    <xf numFmtId="0" fontId="7" fillId="26" borderId="5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wrapText="1"/>
    </xf>
    <xf numFmtId="0" fontId="14" fillId="21" borderId="5" xfId="0" applyFont="1" applyFill="1" applyBorder="1" applyAlignment="1">
      <alignment horizontal="center" vertical="center"/>
    </xf>
    <xf numFmtId="0" fontId="5" fillId="40" borderId="5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wrapText="1"/>
    </xf>
    <xf numFmtId="0" fontId="0" fillId="13" borderId="0" xfId="0" applyFill="1" applyAlignment="1">
      <alignment horizontal="center"/>
    </xf>
    <xf numFmtId="0" fontId="54" fillId="13" borderId="0" xfId="0" applyFont="1" applyFill="1" applyAlignment="1">
      <alignment horizontal="center"/>
    </xf>
    <xf numFmtId="0" fontId="0" fillId="46" borderId="0" xfId="0" applyFill="1" applyAlignment="1">
      <alignment horizontal="center"/>
    </xf>
    <xf numFmtId="0" fontId="49" fillId="13" borderId="0" xfId="0" applyFont="1" applyFill="1" applyAlignment="1">
      <alignment horizontal="center"/>
    </xf>
    <xf numFmtId="0" fontId="65" fillId="13" borderId="0" xfId="0" applyFont="1" applyFill="1" applyAlignment="1">
      <alignment horizontal="center"/>
    </xf>
    <xf numFmtId="0" fontId="13" fillId="2" borderId="5" xfId="0" applyFont="1" applyFill="1" applyBorder="1" applyAlignment="1">
      <alignment horizontal="center" vertical="center"/>
    </xf>
    <xf numFmtId="0" fontId="4" fillId="13" borderId="5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40" borderId="5" xfId="0" applyFont="1" applyFill="1" applyBorder="1" applyAlignment="1">
      <alignment horizontal="center" vertical="center"/>
    </xf>
    <xf numFmtId="0" fontId="6" fillId="17" borderId="5" xfId="0" applyFont="1" applyFill="1" applyBorder="1" applyAlignment="1">
      <alignment horizontal="center" vertical="center"/>
    </xf>
    <xf numFmtId="0" fontId="6" fillId="37" borderId="5" xfId="0" applyFont="1" applyFill="1" applyBorder="1" applyAlignment="1">
      <alignment horizontal="center" vertical="center"/>
    </xf>
    <xf numFmtId="0" fontId="4" fillId="10" borderId="5" xfId="0" applyFont="1" applyFill="1" applyBorder="1" applyAlignment="1">
      <alignment horizontal="center" vertical="center"/>
    </xf>
    <xf numFmtId="0" fontId="4" fillId="23" borderId="5" xfId="0" applyFont="1" applyFill="1" applyBorder="1" applyAlignment="1">
      <alignment horizontal="center" vertical="center"/>
    </xf>
    <xf numFmtId="0" fontId="4" fillId="25" borderId="5" xfId="0" applyFont="1" applyFill="1" applyBorder="1" applyAlignment="1">
      <alignment horizontal="center" vertical="center"/>
    </xf>
    <xf numFmtId="0" fontId="4" fillId="26" borderId="5" xfId="0" applyFont="1" applyFill="1" applyBorder="1" applyAlignment="1">
      <alignment horizontal="center" vertical="center"/>
    </xf>
    <xf numFmtId="0" fontId="4" fillId="22" borderId="5" xfId="0" applyFont="1" applyFill="1" applyBorder="1" applyAlignment="1">
      <alignment horizontal="center" vertical="center"/>
    </xf>
    <xf numFmtId="0" fontId="6" fillId="21" borderId="5" xfId="0" applyFont="1" applyFill="1" applyBorder="1" applyAlignment="1">
      <alignment horizontal="center" vertical="center"/>
    </xf>
    <xf numFmtId="0" fontId="7" fillId="0" borderId="5" xfId="0" applyFont="1" applyBorder="1" applyAlignment="1"/>
    <xf numFmtId="0" fontId="6" fillId="7" borderId="5" xfId="0" applyFont="1" applyFill="1" applyBorder="1" applyAlignment="1">
      <alignment horizontal="center" vertical="center"/>
    </xf>
    <xf numFmtId="0" fontId="6" fillId="47" borderId="5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7" fillId="28" borderId="32" xfId="0" applyFont="1" applyFill="1" applyBorder="1" applyAlignment="1">
      <alignment horizontal="center" vertical="center"/>
    </xf>
    <xf numFmtId="0" fontId="7" fillId="28" borderId="33" xfId="0" applyFont="1" applyFill="1" applyBorder="1" applyAlignment="1">
      <alignment horizontal="center" vertical="center"/>
    </xf>
    <xf numFmtId="0" fontId="7" fillId="28" borderId="34" xfId="0" applyFont="1" applyFill="1" applyBorder="1" applyAlignment="1">
      <alignment horizontal="center" vertical="center"/>
    </xf>
    <xf numFmtId="0" fontId="7" fillId="28" borderId="32" xfId="0" applyFont="1" applyFill="1" applyBorder="1" applyAlignment="1">
      <alignment horizontal="center"/>
    </xf>
    <xf numFmtId="0" fontId="7" fillId="28" borderId="33" xfId="0" applyFont="1" applyFill="1" applyBorder="1" applyAlignment="1">
      <alignment horizontal="center"/>
    </xf>
    <xf numFmtId="0" fontId="7" fillId="28" borderId="34" xfId="0" applyFont="1" applyFill="1" applyBorder="1" applyAlignment="1">
      <alignment horizontal="center"/>
    </xf>
    <xf numFmtId="0" fontId="68" fillId="42" borderId="32" xfId="0" applyFont="1" applyFill="1" applyBorder="1" applyAlignment="1">
      <alignment horizontal="center" vertical="center"/>
    </xf>
    <xf numFmtId="0" fontId="68" fillId="42" borderId="33" xfId="0" applyFont="1" applyFill="1" applyBorder="1" applyAlignment="1">
      <alignment horizontal="center" vertical="center"/>
    </xf>
    <xf numFmtId="0" fontId="68" fillId="42" borderId="34" xfId="0" applyFont="1" applyFill="1" applyBorder="1" applyAlignment="1">
      <alignment horizontal="center" vertical="center"/>
    </xf>
    <xf numFmtId="0" fontId="82" fillId="8" borderId="32" xfId="0" applyFont="1" applyFill="1" applyBorder="1" applyAlignment="1">
      <alignment horizontal="center"/>
    </xf>
    <xf numFmtId="0" fontId="83" fillId="8" borderId="33" xfId="0" applyFont="1" applyFill="1" applyBorder="1" applyAlignment="1">
      <alignment horizontal="center"/>
    </xf>
    <xf numFmtId="0" fontId="83" fillId="8" borderId="34" xfId="0" applyFont="1" applyFill="1" applyBorder="1" applyAlignment="1">
      <alignment horizontal="center"/>
    </xf>
    <xf numFmtId="0" fontId="4" fillId="8" borderId="3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left"/>
    </xf>
    <xf numFmtId="49" fontId="13" fillId="2" borderId="5" xfId="0" applyNumberFormat="1" applyFont="1" applyFill="1" applyBorder="1" applyAlignment="1">
      <alignment horizontal="center" vertical="center"/>
    </xf>
    <xf numFmtId="0" fontId="46" fillId="40" borderId="5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 wrapText="1"/>
    </xf>
    <xf numFmtId="0" fontId="61" fillId="26" borderId="5" xfId="0" applyFont="1" applyFill="1" applyBorder="1" applyAlignment="1">
      <alignment horizontal="center" vertical="center"/>
    </xf>
    <xf numFmtId="0" fontId="54" fillId="13" borderId="5" xfId="0" applyFont="1" applyFill="1" applyBorder="1" applyAlignment="1">
      <alignment horizontal="center"/>
    </xf>
    <xf numFmtId="0" fontId="3" fillId="36" borderId="5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horizontal="center" vertical="center"/>
    </xf>
    <xf numFmtId="0" fontId="78" fillId="5" borderId="5" xfId="0" applyFont="1" applyFill="1" applyBorder="1" applyAlignment="1">
      <alignment horizontal="center" vertical="center"/>
    </xf>
    <xf numFmtId="0" fontId="69" fillId="8" borderId="32" xfId="0" applyFont="1" applyFill="1" applyBorder="1" applyAlignment="1">
      <alignment horizontal="center" vertical="center"/>
    </xf>
    <xf numFmtId="0" fontId="69" fillId="8" borderId="33" xfId="0" applyFont="1" applyFill="1" applyBorder="1" applyAlignment="1">
      <alignment horizontal="center" vertical="center"/>
    </xf>
    <xf numFmtId="0" fontId="69" fillId="8" borderId="34" xfId="0" applyFont="1" applyFill="1" applyBorder="1" applyAlignment="1">
      <alignment horizontal="center" vertical="center"/>
    </xf>
    <xf numFmtId="0" fontId="7" fillId="26" borderId="55" xfId="0" applyFont="1" applyFill="1" applyBorder="1" applyAlignment="1">
      <alignment horizontal="center" vertical="center"/>
    </xf>
    <xf numFmtId="0" fontId="7" fillId="26" borderId="90" xfId="0" applyFont="1" applyFill="1" applyBorder="1" applyAlignment="1">
      <alignment horizontal="center" vertical="center"/>
    </xf>
    <xf numFmtId="0" fontId="4" fillId="28" borderId="33" xfId="0" applyFont="1" applyFill="1" applyBorder="1" applyAlignment="1">
      <alignment horizontal="center" vertical="center"/>
    </xf>
    <xf numFmtId="0" fontId="4" fillId="28" borderId="34" xfId="0" applyFont="1" applyFill="1" applyBorder="1" applyAlignment="1">
      <alignment horizontal="center" vertical="center"/>
    </xf>
    <xf numFmtId="0" fontId="4" fillId="10" borderId="137" xfId="0" applyFont="1" applyFill="1" applyBorder="1" applyAlignment="1">
      <alignment horizontal="center" vertical="center"/>
    </xf>
    <xf numFmtId="0" fontId="4" fillId="10" borderId="101" xfId="0" applyFont="1" applyFill="1" applyBorder="1" applyAlignment="1">
      <alignment horizontal="center" vertical="center"/>
    </xf>
    <xf numFmtId="0" fontId="4" fillId="23" borderId="33" xfId="0" applyFont="1" applyFill="1" applyBorder="1" applyAlignment="1">
      <alignment horizontal="center" vertical="center"/>
    </xf>
    <xf numFmtId="0" fontId="4" fillId="23" borderId="32" xfId="0" applyFont="1" applyFill="1" applyBorder="1" applyAlignment="1">
      <alignment horizontal="center" vertical="center"/>
    </xf>
    <xf numFmtId="0" fontId="4" fillId="23" borderId="34" xfId="0" applyFont="1" applyFill="1" applyBorder="1" applyAlignment="1">
      <alignment horizontal="center" vertical="center"/>
    </xf>
    <xf numFmtId="0" fontId="6" fillId="5" borderId="79" xfId="0" applyFont="1" applyFill="1" applyBorder="1" applyAlignment="1">
      <alignment horizontal="center" vertical="center"/>
    </xf>
    <xf numFmtId="0" fontId="6" fillId="5" borderId="68" xfId="0" applyFont="1" applyFill="1" applyBorder="1" applyAlignment="1">
      <alignment horizontal="center" vertical="center"/>
    </xf>
    <xf numFmtId="0" fontId="64" fillId="22" borderId="91" xfId="0" applyFont="1" applyFill="1" applyBorder="1" applyAlignment="1">
      <alignment horizontal="center" vertical="center"/>
    </xf>
    <xf numFmtId="0" fontId="4" fillId="22" borderId="32" xfId="0" applyFont="1" applyFill="1" applyBorder="1" applyAlignment="1">
      <alignment horizontal="center" vertical="center"/>
    </xf>
    <xf numFmtId="0" fontId="4" fillId="42" borderId="4" xfId="0" applyFont="1" applyFill="1" applyBorder="1" applyAlignment="1">
      <alignment horizontal="center" vertical="center"/>
    </xf>
    <xf numFmtId="0" fontId="4" fillId="26" borderId="50" xfId="0" applyFont="1" applyFill="1" applyBorder="1" applyAlignment="1">
      <alignment horizontal="center" vertical="center"/>
    </xf>
    <xf numFmtId="0" fontId="6" fillId="47" borderId="148" xfId="0" applyFont="1" applyFill="1" applyBorder="1" applyAlignment="1">
      <alignment horizontal="center" vertical="center"/>
    </xf>
    <xf numFmtId="0" fontId="61" fillId="26" borderId="32" xfId="0" applyFont="1" applyFill="1" applyBorder="1" applyAlignment="1">
      <alignment horizontal="center" vertical="center"/>
    </xf>
    <xf numFmtId="0" fontId="61" fillId="26" borderId="34" xfId="0" applyFont="1" applyFill="1" applyBorder="1" applyAlignment="1">
      <alignment horizontal="center" vertical="center"/>
    </xf>
    <xf numFmtId="0" fontId="7" fillId="26" borderId="32" xfId="0" applyFont="1" applyFill="1" applyBorder="1" applyAlignment="1">
      <alignment horizontal="center" vertical="center"/>
    </xf>
    <xf numFmtId="0" fontId="7" fillId="26" borderId="34" xfId="0" applyFont="1" applyFill="1" applyBorder="1" applyAlignment="1">
      <alignment horizontal="center" vertical="center"/>
    </xf>
    <xf numFmtId="0" fontId="4" fillId="22" borderId="118" xfId="0" applyFont="1" applyFill="1" applyBorder="1" applyAlignment="1">
      <alignment horizontal="center" vertical="center"/>
    </xf>
    <xf numFmtId="0" fontId="7" fillId="26" borderId="84" xfId="0" applyFont="1" applyFill="1" applyBorder="1" applyAlignment="1">
      <alignment horizontal="center" vertical="center"/>
    </xf>
    <xf numFmtId="0" fontId="7" fillId="26" borderId="85" xfId="0" applyFont="1" applyFill="1" applyBorder="1" applyAlignment="1">
      <alignment horizontal="center" vertical="center"/>
    </xf>
    <xf numFmtId="0" fontId="7" fillId="23" borderId="84" xfId="0" applyFont="1" applyFill="1" applyBorder="1" applyAlignment="1">
      <alignment horizontal="center" vertical="center"/>
    </xf>
    <xf numFmtId="0" fontId="7" fillId="23" borderId="85" xfId="0" applyFont="1" applyFill="1" applyBorder="1" applyAlignment="1">
      <alignment horizontal="center" vertical="center"/>
    </xf>
    <xf numFmtId="0" fontId="7" fillId="8" borderId="118" xfId="0" applyFont="1" applyFill="1" applyBorder="1" applyAlignment="1">
      <alignment horizontal="center" vertical="center"/>
    </xf>
    <xf numFmtId="0" fontId="7" fillId="8" borderId="35" xfId="0" applyFont="1" applyFill="1" applyBorder="1" applyAlignment="1">
      <alignment horizontal="center" vertical="center"/>
    </xf>
    <xf numFmtId="0" fontId="7" fillId="8" borderId="156" xfId="0" applyFont="1" applyFill="1" applyBorder="1" applyAlignment="1">
      <alignment horizontal="center" vertical="center"/>
    </xf>
    <xf numFmtId="0" fontId="13" fillId="2" borderId="17" xfId="0" applyFont="1" applyFill="1" applyBorder="1" applyAlignment="1">
      <alignment horizontal="center" vertical="center"/>
    </xf>
    <xf numFmtId="49" fontId="13" fillId="2" borderId="112" xfId="0" applyNumberFormat="1" applyFont="1" applyFill="1" applyBorder="1" applyAlignment="1">
      <alignment horizontal="center" vertical="center"/>
    </xf>
    <xf numFmtId="0" fontId="13" fillId="2" borderId="18" xfId="0" applyFont="1" applyFill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/>
    </xf>
    <xf numFmtId="0" fontId="24" fillId="24" borderId="84" xfId="0" applyFont="1" applyFill="1" applyBorder="1" applyAlignment="1">
      <alignment horizontal="center" vertical="center"/>
    </xf>
    <xf numFmtId="0" fontId="6" fillId="17" borderId="50" xfId="0" applyFont="1" applyFill="1" applyBorder="1" applyAlignment="1">
      <alignment horizontal="center" vertical="center"/>
    </xf>
    <xf numFmtId="0" fontId="6" fillId="40" borderId="50" xfId="0" applyFont="1" applyFill="1" applyBorder="1" applyAlignment="1">
      <alignment horizontal="center" vertical="center"/>
    </xf>
    <xf numFmtId="0" fontId="6" fillId="40" borderId="4" xfId="0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34" xfId="0" applyFont="1" applyBorder="1" applyAlignment="1">
      <alignment horizontal="center" vertical="center"/>
    </xf>
    <xf numFmtId="0" fontId="4" fillId="13" borderId="32" xfId="0" applyFont="1" applyFill="1" applyBorder="1" applyAlignment="1">
      <alignment horizontal="center" vertical="center"/>
    </xf>
    <xf numFmtId="0" fontId="4" fillId="13" borderId="33" xfId="0" applyFont="1" applyFill="1" applyBorder="1" applyAlignment="1">
      <alignment horizontal="center" vertical="center"/>
    </xf>
    <xf numFmtId="0" fontId="4" fillId="13" borderId="34" xfId="0" applyFont="1" applyFill="1" applyBorder="1" applyAlignment="1">
      <alignment horizontal="center" vertical="center"/>
    </xf>
    <xf numFmtId="0" fontId="4" fillId="28" borderId="32" xfId="0" applyFont="1" applyFill="1" applyBorder="1" applyAlignment="1">
      <alignment horizontal="center" vertical="center"/>
    </xf>
    <xf numFmtId="0" fontId="4" fillId="13" borderId="66" xfId="0" applyFont="1" applyFill="1" applyBorder="1" applyAlignment="1">
      <alignment horizontal="center" vertical="center"/>
    </xf>
    <xf numFmtId="0" fontId="6" fillId="16" borderId="58" xfId="0" applyFont="1" applyFill="1" applyBorder="1" applyAlignment="1">
      <alignment horizontal="center" vertical="center"/>
    </xf>
    <xf numFmtId="0" fontId="35" fillId="0" borderId="32" xfId="0" applyFont="1" applyBorder="1" applyAlignment="1">
      <alignment horizontal="center" vertical="center"/>
    </xf>
    <xf numFmtId="0" fontId="35" fillId="0" borderId="62" xfId="0" applyFont="1" applyBorder="1" applyAlignment="1">
      <alignment horizontal="center" vertical="center"/>
    </xf>
    <xf numFmtId="0" fontId="6" fillId="37" borderId="33" xfId="0" applyFont="1" applyFill="1" applyBorder="1" applyAlignment="1">
      <alignment horizontal="center" vertical="center"/>
    </xf>
    <xf numFmtId="0" fontId="6" fillId="37" borderId="111" xfId="0" applyFont="1" applyFill="1" applyBorder="1" applyAlignment="1">
      <alignment horizontal="center" vertical="center"/>
    </xf>
    <xf numFmtId="0" fontId="6" fillId="37" borderId="32" xfId="0" applyFont="1" applyFill="1" applyBorder="1" applyAlignment="1">
      <alignment horizontal="center" vertical="center"/>
    </xf>
    <xf numFmtId="0" fontId="26" fillId="30" borderId="98" xfId="0" applyFont="1" applyFill="1" applyBorder="1" applyAlignment="1">
      <alignment horizontal="center"/>
    </xf>
    <xf numFmtId="0" fontId="26" fillId="30" borderId="85" xfId="0" applyFont="1" applyFill="1" applyBorder="1" applyAlignment="1">
      <alignment horizontal="center"/>
    </xf>
    <xf numFmtId="0" fontId="6" fillId="21" borderId="64" xfId="0" applyFont="1" applyFill="1" applyBorder="1" applyAlignment="1">
      <alignment horizontal="center" vertical="center"/>
    </xf>
    <xf numFmtId="0" fontId="6" fillId="21" borderId="65" xfId="0" applyFont="1" applyFill="1" applyBorder="1" applyAlignment="1">
      <alignment horizontal="center" vertical="center"/>
    </xf>
    <xf numFmtId="0" fontId="64" fillId="22" borderId="78" xfId="0" applyFont="1" applyFill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117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4" fillId="22" borderId="78" xfId="0" applyFont="1" applyFill="1" applyBorder="1" applyAlignment="1">
      <alignment horizontal="center" vertical="center"/>
    </xf>
    <xf numFmtId="0" fontId="4" fillId="22" borderId="98" xfId="0" applyFont="1" applyFill="1" applyBorder="1" applyAlignment="1">
      <alignment horizontal="center" vertical="center"/>
    </xf>
    <xf numFmtId="0" fontId="7" fillId="0" borderId="94" xfId="0" applyFont="1" applyBorder="1" applyAlignment="1">
      <alignment horizontal="center" vertical="center"/>
    </xf>
    <xf numFmtId="0" fontId="6" fillId="7" borderId="65" xfId="0" applyFont="1" applyFill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121" xfId="0" applyFont="1" applyBorder="1" applyAlignment="1">
      <alignment horizontal="center" vertical="center"/>
    </xf>
    <xf numFmtId="0" fontId="4" fillId="8" borderId="33" xfId="0" applyFont="1" applyFill="1" applyBorder="1" applyAlignment="1">
      <alignment horizontal="center" vertical="center"/>
    </xf>
    <xf numFmtId="0" fontId="39" fillId="8" borderId="65" xfId="0" applyFont="1" applyFill="1" applyBorder="1" applyAlignment="1">
      <alignment horizontal="center" vertical="center"/>
    </xf>
    <xf numFmtId="0" fontId="39" fillId="8" borderId="33" xfId="0" applyFont="1" applyFill="1" applyBorder="1" applyAlignment="1">
      <alignment horizontal="center" vertical="center"/>
    </xf>
    <xf numFmtId="0" fontId="39" fillId="8" borderId="34" xfId="0" applyFont="1" applyFill="1" applyBorder="1" applyAlignment="1">
      <alignment horizontal="center" vertical="center"/>
    </xf>
    <xf numFmtId="0" fontId="4" fillId="22" borderId="35" xfId="0" applyFont="1" applyFill="1" applyBorder="1" applyAlignment="1">
      <alignment horizontal="center" vertical="center"/>
    </xf>
    <xf numFmtId="0" fontId="4" fillId="8" borderId="65" xfId="0" applyFont="1" applyFill="1" applyBorder="1" applyAlignment="1">
      <alignment horizontal="center" vertical="center"/>
    </xf>
    <xf numFmtId="0" fontId="4" fillId="8" borderId="66" xfId="0" applyFont="1" applyFill="1" applyBorder="1" applyAlignment="1">
      <alignment horizontal="center" vertical="center"/>
    </xf>
    <xf numFmtId="0" fontId="39" fillId="8" borderId="90" xfId="0" applyFont="1" applyFill="1" applyBorder="1" applyAlignment="1">
      <alignment horizontal="center" vertical="center"/>
    </xf>
    <xf numFmtId="0" fontId="4" fillId="8" borderId="55" xfId="0" applyFont="1" applyFill="1" applyBorder="1" applyAlignment="1">
      <alignment horizontal="center" vertical="center"/>
    </xf>
    <xf numFmtId="0" fontId="39" fillId="8" borderId="37" xfId="0" applyFont="1" applyFill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188" xfId="0" applyFont="1" applyBorder="1" applyAlignment="1">
      <alignment horizontal="center" vertical="center"/>
    </xf>
    <xf numFmtId="0" fontId="4" fillId="8" borderId="56" xfId="0" applyFont="1" applyFill="1" applyBorder="1" applyAlignment="1">
      <alignment horizontal="center" vertical="center"/>
    </xf>
    <xf numFmtId="0" fontId="4" fillId="8" borderId="57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23" borderId="32" xfId="0" applyFont="1" applyFill="1" applyBorder="1" applyAlignment="1">
      <alignment horizontal="center" vertical="center"/>
    </xf>
    <xf numFmtId="0" fontId="7" fillId="23" borderId="34" xfId="0" applyFont="1" applyFill="1" applyBorder="1" applyAlignment="1">
      <alignment horizontal="center" vertical="center"/>
    </xf>
    <xf numFmtId="0" fontId="7" fillId="8" borderId="66" xfId="0" applyFont="1" applyFill="1" applyBorder="1" applyAlignment="1">
      <alignment horizontal="center" vertical="center"/>
    </xf>
    <xf numFmtId="0" fontId="66" fillId="8" borderId="37" xfId="0" applyFont="1" applyFill="1" applyBorder="1" applyAlignment="1">
      <alignment horizontal="center" vertical="center"/>
    </xf>
    <xf numFmtId="0" fontId="66" fillId="8" borderId="34" xfId="0" applyFont="1" applyFill="1" applyBorder="1" applyAlignment="1">
      <alignment horizontal="center" vertical="center"/>
    </xf>
    <xf numFmtId="0" fontId="7" fillId="23" borderId="56" xfId="0" applyFont="1" applyFill="1" applyBorder="1" applyAlignment="1">
      <alignment horizontal="center" vertical="center"/>
    </xf>
    <xf numFmtId="0" fontId="7" fillId="23" borderId="73" xfId="0" applyFont="1" applyFill="1" applyBorder="1" applyAlignment="1">
      <alignment horizontal="center" vertical="center"/>
    </xf>
    <xf numFmtId="0" fontId="7" fillId="8" borderId="56" xfId="0" applyFont="1" applyFill="1" applyBorder="1" applyAlignment="1">
      <alignment horizontal="center" vertical="center"/>
    </xf>
    <xf numFmtId="0" fontId="7" fillId="8" borderId="57" xfId="0" applyFont="1" applyFill="1" applyBorder="1" applyAlignment="1">
      <alignment horizontal="center" vertical="center"/>
    </xf>
    <xf numFmtId="0" fontId="4" fillId="8" borderId="84" xfId="0" applyFont="1" applyFill="1" applyBorder="1" applyAlignment="1">
      <alignment horizontal="center" vertical="center"/>
    </xf>
    <xf numFmtId="0" fontId="39" fillId="8" borderId="83" xfId="0" applyFont="1" applyFill="1" applyBorder="1" applyAlignment="1">
      <alignment horizontal="center" vertical="center"/>
    </xf>
    <xf numFmtId="0" fontId="39" fillId="8" borderId="85" xfId="0" applyFont="1" applyFill="1" applyBorder="1" applyAlignment="1">
      <alignment horizontal="center" vertical="center"/>
    </xf>
    <xf numFmtId="0" fontId="4" fillId="22" borderId="110" xfId="0" applyFont="1" applyFill="1" applyBorder="1" applyAlignment="1">
      <alignment horizontal="center" vertical="center"/>
    </xf>
    <xf numFmtId="0" fontId="6" fillId="13" borderId="32" xfId="0" applyFont="1" applyFill="1" applyBorder="1" applyAlignment="1">
      <alignment horizontal="center" vertical="center"/>
    </xf>
    <xf numFmtId="0" fontId="6" fillId="13" borderId="33" xfId="0" applyFont="1" applyFill="1" applyBorder="1" applyAlignment="1">
      <alignment horizontal="center" vertical="center"/>
    </xf>
    <xf numFmtId="0" fontId="6" fillId="13" borderId="34" xfId="0" applyFont="1" applyFill="1" applyBorder="1" applyAlignment="1">
      <alignment horizontal="center" vertical="center"/>
    </xf>
    <xf numFmtId="0" fontId="4" fillId="8" borderId="43" xfId="0" applyFont="1" applyFill="1" applyBorder="1" applyAlignment="1">
      <alignment horizontal="center" vertical="center"/>
    </xf>
    <xf numFmtId="0" fontId="4" fillId="22" borderId="33" xfId="0" applyFont="1" applyFill="1" applyBorder="1" applyAlignment="1">
      <alignment horizontal="center" vertical="center"/>
    </xf>
    <xf numFmtId="0" fontId="4" fillId="22" borderId="34" xfId="0" applyFont="1" applyFill="1" applyBorder="1" applyAlignment="1">
      <alignment horizontal="center" vertical="center"/>
    </xf>
    <xf numFmtId="0" fontId="6" fillId="11" borderId="32" xfId="0" applyFont="1" applyFill="1" applyBorder="1" applyAlignment="1">
      <alignment horizontal="center" vertical="center"/>
    </xf>
    <xf numFmtId="0" fontId="6" fillId="11" borderId="33" xfId="0" applyFont="1" applyFill="1" applyBorder="1" applyAlignment="1">
      <alignment horizontal="center" vertical="center"/>
    </xf>
    <xf numFmtId="0" fontId="6" fillId="11" borderId="111" xfId="0" applyFont="1" applyFill="1" applyBorder="1" applyAlignment="1">
      <alignment horizontal="center" vertical="center"/>
    </xf>
    <xf numFmtId="0" fontId="7" fillId="8" borderId="32" xfId="0" applyFont="1" applyFill="1" applyBorder="1" applyAlignment="1">
      <alignment horizontal="center" vertical="center"/>
    </xf>
    <xf numFmtId="0" fontId="7" fillId="8" borderId="33" xfId="0" applyFont="1" applyFill="1" applyBorder="1" applyAlignment="1">
      <alignment horizontal="center" vertical="center"/>
    </xf>
    <xf numFmtId="0" fontId="7" fillId="8" borderId="111" xfId="0" applyFont="1" applyFill="1" applyBorder="1" applyAlignment="1">
      <alignment horizontal="center" vertical="center"/>
    </xf>
    <xf numFmtId="0" fontId="6" fillId="13" borderId="118" xfId="0" applyFont="1" applyFill="1" applyBorder="1" applyAlignment="1">
      <alignment horizontal="center" vertical="center" indent="1"/>
    </xf>
    <xf numFmtId="0" fontId="6" fillId="13" borderId="35" xfId="0" applyFont="1" applyFill="1" applyBorder="1" applyAlignment="1">
      <alignment horizontal="center" vertical="center" indent="1"/>
    </xf>
    <xf numFmtId="0" fontId="6" fillId="13" borderId="110" xfId="0" applyFont="1" applyFill="1" applyBorder="1" applyAlignment="1">
      <alignment horizontal="center" vertical="center" indent="1"/>
    </xf>
    <xf numFmtId="0" fontId="39" fillId="8" borderId="111" xfId="0" applyFont="1" applyFill="1" applyBorder="1" applyAlignment="1">
      <alignment horizontal="center" vertical="center"/>
    </xf>
    <xf numFmtId="0" fontId="4" fillId="22" borderId="56" xfId="0" applyFont="1" applyFill="1" applyBorder="1" applyAlignment="1">
      <alignment horizontal="center" vertical="center"/>
    </xf>
    <xf numFmtId="0" fontId="4" fillId="22" borderId="57" xfId="0" applyFont="1" applyFill="1" applyBorder="1" applyAlignment="1">
      <alignment horizontal="center" vertical="center"/>
    </xf>
    <xf numFmtId="0" fontId="4" fillId="22" borderId="73" xfId="0" applyFont="1" applyFill="1" applyBorder="1" applyAlignment="1">
      <alignment horizontal="center" vertical="center"/>
    </xf>
    <xf numFmtId="0" fontId="6" fillId="37" borderId="156" xfId="0" applyFont="1" applyFill="1" applyBorder="1" applyAlignment="1">
      <alignment horizontal="center" vertical="center"/>
    </xf>
    <xf numFmtId="0" fontId="4" fillId="28" borderId="55" xfId="0" applyFont="1" applyFill="1" applyBorder="1" applyAlignment="1">
      <alignment horizontal="center" vertical="center"/>
    </xf>
    <xf numFmtId="0" fontId="4" fillId="28" borderId="90" xfId="0" applyFont="1" applyFill="1" applyBorder="1" applyAlignment="1">
      <alignment horizontal="center" vertical="center"/>
    </xf>
    <xf numFmtId="0" fontId="7" fillId="23" borderId="43" xfId="0" applyFont="1" applyFill="1" applyBorder="1" applyAlignment="1">
      <alignment horizontal="center" vertical="center"/>
    </xf>
    <xf numFmtId="0" fontId="39" fillId="8" borderId="32" xfId="0" applyFont="1" applyFill="1" applyBorder="1" applyAlignment="1">
      <alignment horizontal="center" vertical="center"/>
    </xf>
    <xf numFmtId="0" fontId="6" fillId="13" borderId="111" xfId="0" applyFont="1" applyFill="1" applyBorder="1" applyAlignment="1">
      <alignment horizontal="center" vertical="center"/>
    </xf>
    <xf numFmtId="0" fontId="64" fillId="8" borderId="66" xfId="0" applyFont="1" applyFill="1" applyBorder="1" applyAlignment="1">
      <alignment horizontal="center" vertical="center"/>
    </xf>
    <xf numFmtId="0" fontId="86" fillId="8" borderId="90" xfId="0" applyFont="1" applyFill="1" applyBorder="1" applyAlignment="1">
      <alignment horizontal="center" vertical="center"/>
    </xf>
    <xf numFmtId="0" fontId="6" fillId="37" borderId="34" xfId="0" applyFont="1" applyFill="1" applyBorder="1" applyAlignment="1">
      <alignment horizontal="center" vertical="center"/>
    </xf>
    <xf numFmtId="0" fontId="4" fillId="8" borderId="37" xfId="0" applyFont="1" applyFill="1" applyBorder="1" applyAlignment="1">
      <alignment horizontal="center" vertical="center"/>
    </xf>
    <xf numFmtId="0" fontId="39" fillId="8" borderId="73" xfId="0" applyFont="1" applyFill="1" applyBorder="1" applyAlignment="1">
      <alignment horizontal="center" vertical="center"/>
    </xf>
    <xf numFmtId="0" fontId="6" fillId="13" borderId="55" xfId="0" applyFont="1" applyFill="1" applyBorder="1" applyAlignment="1">
      <alignment horizontal="center" vertical="center"/>
    </xf>
    <xf numFmtId="0" fontId="6" fillId="13" borderId="37" xfId="0" applyFont="1" applyFill="1" applyBorder="1" applyAlignment="1">
      <alignment horizontal="center" vertical="center"/>
    </xf>
    <xf numFmtId="0" fontId="26" fillId="30" borderId="32" xfId="0" applyFont="1" applyFill="1" applyBorder="1" applyAlignment="1">
      <alignment horizontal="center"/>
    </xf>
    <xf numFmtId="0" fontId="26" fillId="30" borderId="34" xfId="0" applyFont="1" applyFill="1" applyBorder="1" applyAlignment="1">
      <alignment horizontal="center"/>
    </xf>
    <xf numFmtId="0" fontId="87" fillId="8" borderId="5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75" fillId="7" borderId="84" xfId="0" applyFont="1" applyFill="1" applyBorder="1" applyAlignment="1">
      <alignment horizontal="center" vertical="center"/>
    </xf>
    <xf numFmtId="0" fontId="75" fillId="7" borderId="83" xfId="0" applyFont="1" applyFill="1" applyBorder="1" applyAlignment="1">
      <alignment horizontal="center" vertical="center"/>
    </xf>
    <xf numFmtId="0" fontId="75" fillId="16" borderId="84" xfId="0" applyFont="1" applyFill="1" applyBorder="1" applyAlignment="1">
      <alignment horizontal="center" vertical="center"/>
    </xf>
    <xf numFmtId="0" fontId="75" fillId="16" borderId="83" xfId="0" applyFont="1" applyFill="1" applyBorder="1" applyAlignment="1">
      <alignment horizontal="center" vertical="center"/>
    </xf>
    <xf numFmtId="0" fontId="75" fillId="16" borderId="85" xfId="0" applyFont="1" applyFill="1" applyBorder="1" applyAlignment="1">
      <alignment horizontal="center" vertical="center"/>
    </xf>
    <xf numFmtId="0" fontId="5" fillId="37" borderId="0" xfId="0" applyFont="1" applyFill="1" applyBorder="1" applyAlignment="1">
      <alignment horizontal="center" vertical="center"/>
    </xf>
    <xf numFmtId="0" fontId="5" fillId="37" borderId="103" xfId="0" applyFont="1" applyFill="1" applyBorder="1" applyAlignment="1">
      <alignment horizontal="center" vertical="center"/>
    </xf>
    <xf numFmtId="0" fontId="26" fillId="8" borderId="56" xfId="0" applyFont="1" applyFill="1" applyBorder="1" applyAlignment="1">
      <alignment horizontal="center"/>
    </xf>
    <xf numFmtId="0" fontId="26" fillId="8" borderId="73" xfId="0" applyFont="1" applyFill="1" applyBorder="1" applyAlignment="1">
      <alignment horizontal="center"/>
    </xf>
    <xf numFmtId="0" fontId="75" fillId="16" borderId="133" xfId="0" applyFont="1" applyFill="1" applyBorder="1" applyAlignment="1">
      <alignment horizontal="center" vertical="center"/>
    </xf>
    <xf numFmtId="0" fontId="75" fillId="16" borderId="105" xfId="0" applyFont="1" applyFill="1" applyBorder="1" applyAlignment="1">
      <alignment horizontal="center" vertical="center"/>
    </xf>
    <xf numFmtId="0" fontId="4" fillId="25" borderId="32" xfId="0" applyFont="1" applyFill="1" applyBorder="1" applyAlignment="1">
      <alignment horizontal="center" vertical="center"/>
    </xf>
    <xf numFmtId="0" fontId="4" fillId="10" borderId="32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35" fillId="0" borderId="35" xfId="0" applyFont="1" applyBorder="1" applyAlignment="1">
      <alignment horizontal="center" vertical="center"/>
    </xf>
    <xf numFmtId="0" fontId="35" fillId="0" borderId="110" xfId="0" applyFont="1" applyBorder="1" applyAlignment="1">
      <alignment horizontal="center" vertical="center"/>
    </xf>
    <xf numFmtId="0" fontId="4" fillId="40" borderId="50" xfId="0" applyFont="1" applyFill="1" applyBorder="1" applyAlignment="1">
      <alignment horizontal="center" vertical="center"/>
    </xf>
    <xf numFmtId="0" fontId="4" fillId="40" borderId="4" xfId="0" applyFont="1" applyFill="1" applyBorder="1" applyAlignment="1">
      <alignment horizontal="center" vertical="center"/>
    </xf>
    <xf numFmtId="0" fontId="6" fillId="37" borderId="0" xfId="0" applyFont="1" applyFill="1" applyBorder="1" applyAlignment="1">
      <alignment horizontal="center" vertical="center"/>
    </xf>
    <xf numFmtId="0" fontId="4" fillId="28" borderId="118" xfId="0" applyFont="1" applyFill="1" applyBorder="1" applyAlignment="1">
      <alignment horizontal="center" vertical="center"/>
    </xf>
    <xf numFmtId="0" fontId="4" fillId="28" borderId="35" xfId="0" applyFont="1" applyFill="1" applyBorder="1" applyAlignment="1">
      <alignment horizontal="center" vertical="center"/>
    </xf>
    <xf numFmtId="0" fontId="6" fillId="15" borderId="32" xfId="0" applyFont="1" applyFill="1" applyBorder="1" applyAlignment="1">
      <alignment horizontal="center" vertical="center"/>
    </xf>
    <xf numFmtId="0" fontId="39" fillId="15" borderId="34" xfId="0" applyFont="1" applyFill="1" applyBorder="1" applyAlignment="1">
      <alignment horizontal="center" vertical="center"/>
    </xf>
    <xf numFmtId="0" fontId="4" fillId="52" borderId="56" xfId="0" applyFont="1" applyFill="1" applyBorder="1" applyAlignment="1">
      <alignment horizontal="center" vertical="center"/>
    </xf>
    <xf numFmtId="0" fontId="4" fillId="52" borderId="57" xfId="0" applyFont="1" applyFill="1" applyBorder="1" applyAlignment="1">
      <alignment horizontal="center" vertical="center"/>
    </xf>
    <xf numFmtId="0" fontId="4" fillId="52" borderId="73" xfId="0" applyFont="1" applyFill="1" applyBorder="1" applyAlignment="1">
      <alignment horizontal="center" vertical="center"/>
    </xf>
    <xf numFmtId="0" fontId="4" fillId="8" borderId="83" xfId="0" applyFont="1" applyFill="1" applyBorder="1" applyAlignment="1">
      <alignment horizontal="center" vertical="center"/>
    </xf>
    <xf numFmtId="0" fontId="4" fillId="8" borderId="85" xfId="0" applyFont="1" applyFill="1" applyBorder="1" applyAlignment="1">
      <alignment horizontal="center" vertical="center"/>
    </xf>
    <xf numFmtId="0" fontId="4" fillId="52" borderId="5" xfId="0" applyFont="1" applyFill="1" applyBorder="1" applyAlignment="1">
      <alignment horizontal="center" vertical="center"/>
    </xf>
    <xf numFmtId="0" fontId="7" fillId="26" borderId="14" xfId="0" applyFont="1" applyFill="1" applyBorder="1" applyAlignment="1">
      <alignment horizontal="center" vertical="center"/>
    </xf>
    <xf numFmtId="0" fontId="4" fillId="8" borderId="62" xfId="0" applyFont="1" applyFill="1" applyBorder="1" applyAlignment="1">
      <alignment horizontal="center" vertical="center"/>
    </xf>
    <xf numFmtId="0" fontId="6" fillId="37" borderId="78" xfId="0" applyFont="1" applyFill="1" applyBorder="1" applyAlignment="1">
      <alignment horizontal="center" vertical="center"/>
    </xf>
    <xf numFmtId="0" fontId="6" fillId="37" borderId="60" xfId="0" applyFont="1" applyFill="1" applyBorder="1" applyAlignment="1">
      <alignment horizontal="center" vertical="center"/>
    </xf>
    <xf numFmtId="0" fontId="6" fillId="5" borderId="73" xfId="0" applyFont="1" applyFill="1" applyBorder="1" applyAlignment="1">
      <alignment horizontal="center" vertical="center"/>
    </xf>
    <xf numFmtId="0" fontId="6" fillId="5" borderId="104" xfId="0" applyFont="1" applyFill="1" applyBorder="1" applyAlignment="1">
      <alignment horizontal="center" vertical="center"/>
    </xf>
    <xf numFmtId="0" fontId="6" fillId="5" borderId="134" xfId="0" applyFont="1" applyFill="1" applyBorder="1" applyAlignment="1">
      <alignment horizontal="center" vertical="center"/>
    </xf>
    <xf numFmtId="0" fontId="6" fillId="5" borderId="69" xfId="0" applyFont="1" applyFill="1" applyBorder="1" applyAlignment="1">
      <alignment horizontal="center" vertical="center"/>
    </xf>
    <xf numFmtId="0" fontId="6" fillId="5" borderId="109" xfId="0" applyFont="1" applyFill="1" applyBorder="1" applyAlignment="1">
      <alignment horizontal="center" vertical="center"/>
    </xf>
    <xf numFmtId="0" fontId="4" fillId="8" borderId="64" xfId="0" applyFont="1" applyFill="1" applyBorder="1" applyAlignment="1">
      <alignment horizontal="center" vertical="center"/>
    </xf>
    <xf numFmtId="0" fontId="4" fillId="8" borderId="90" xfId="0" applyFont="1" applyFill="1" applyBorder="1" applyAlignment="1">
      <alignment horizontal="center" vertical="center"/>
    </xf>
    <xf numFmtId="0" fontId="4" fillId="5" borderId="60" xfId="0" applyFont="1" applyFill="1" applyBorder="1" applyAlignment="1">
      <alignment horizontal="center" vertical="center"/>
    </xf>
    <xf numFmtId="0" fontId="6" fillId="16" borderId="32" xfId="0" applyFont="1" applyFill="1" applyBorder="1" applyAlignment="1">
      <alignment horizontal="center" vertical="center"/>
    </xf>
    <xf numFmtId="0" fontId="6" fillId="16" borderId="33" xfId="0" applyFont="1" applyFill="1" applyBorder="1" applyAlignment="1">
      <alignment horizontal="center" vertical="center"/>
    </xf>
    <xf numFmtId="0" fontId="6" fillId="16" borderId="34" xfId="0" applyFont="1" applyFill="1" applyBorder="1" applyAlignment="1">
      <alignment horizontal="center" vertical="center"/>
    </xf>
    <xf numFmtId="0" fontId="35" fillId="8" borderId="33" xfId="0" applyFont="1" applyFill="1" applyBorder="1" applyAlignment="1">
      <alignment horizontal="center" vertical="center"/>
    </xf>
    <xf numFmtId="0" fontId="35" fillId="8" borderId="111" xfId="0" applyFont="1" applyFill="1" applyBorder="1" applyAlignment="1">
      <alignment horizontal="center" vertical="center"/>
    </xf>
    <xf numFmtId="0" fontId="6" fillId="37" borderId="65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5" fillId="8" borderId="85" xfId="0" applyFont="1" applyFill="1" applyBorder="1" applyAlignment="1">
      <alignment horizontal="center" vertical="center"/>
    </xf>
    <xf numFmtId="49" fontId="13" fillId="2" borderId="35" xfId="0" applyNumberFormat="1" applyFont="1" applyFill="1" applyBorder="1" applyAlignment="1">
      <alignment horizontal="center" vertical="center"/>
    </xf>
    <xf numFmtId="0" fontId="75" fillId="24" borderId="133" xfId="0" applyFont="1" applyFill="1" applyBorder="1" applyAlignment="1">
      <alignment horizontal="center" vertical="center"/>
    </xf>
    <xf numFmtId="0" fontId="75" fillId="24" borderId="105" xfId="0" applyFont="1" applyFill="1" applyBorder="1" applyAlignment="1">
      <alignment horizontal="center" vertical="center"/>
    </xf>
    <xf numFmtId="0" fontId="24" fillId="24" borderId="70" xfId="0" applyFont="1" applyFill="1" applyBorder="1" applyAlignment="1">
      <alignment horizontal="center" vertical="center"/>
    </xf>
    <xf numFmtId="0" fontId="4" fillId="22" borderId="60" xfId="0" applyFont="1" applyFill="1" applyBorder="1" applyAlignment="1">
      <alignment horizontal="center" vertical="center"/>
    </xf>
    <xf numFmtId="0" fontId="4" fillId="22" borderId="84" xfId="0" applyFont="1" applyFill="1" applyBorder="1" applyAlignment="1">
      <alignment horizontal="center" vertical="center"/>
    </xf>
    <xf numFmtId="0" fontId="6" fillId="21" borderId="32" xfId="0" applyFont="1" applyFill="1" applyBorder="1" applyAlignment="1">
      <alignment horizontal="center" vertical="center"/>
    </xf>
    <xf numFmtId="0" fontId="6" fillId="17" borderId="4" xfId="0" applyFont="1" applyFill="1" applyBorder="1" applyAlignment="1">
      <alignment horizontal="center" vertical="center"/>
    </xf>
    <xf numFmtId="0" fontId="6" fillId="13" borderId="66" xfId="0" applyFont="1" applyFill="1" applyBorder="1" applyAlignment="1">
      <alignment horizontal="center" vertical="center"/>
    </xf>
    <xf numFmtId="0" fontId="4" fillId="23" borderId="37" xfId="0" applyFont="1" applyFill="1" applyBorder="1" applyAlignment="1">
      <alignment horizontal="center" vertical="center"/>
    </xf>
    <xf numFmtId="0" fontId="4" fillId="35" borderId="148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5" borderId="66" xfId="0" applyFont="1" applyFill="1" applyBorder="1" applyAlignment="1">
      <alignment horizontal="center" vertical="center"/>
    </xf>
    <xf numFmtId="0" fontId="6" fillId="5" borderId="37" xfId="0" applyFont="1" applyFill="1" applyBorder="1" applyAlignment="1">
      <alignment horizontal="center" vertical="center"/>
    </xf>
    <xf numFmtId="0" fontId="6" fillId="5" borderId="159" xfId="0" applyFont="1" applyFill="1" applyBorder="1" applyAlignment="1">
      <alignment horizontal="center" vertical="center"/>
    </xf>
    <xf numFmtId="0" fontId="7" fillId="0" borderId="48" xfId="0" applyFont="1" applyBorder="1" applyAlignment="1"/>
    <xf numFmtId="0" fontId="7" fillId="0" borderId="94" xfId="0" applyFont="1" applyBorder="1" applyAlignment="1"/>
    <xf numFmtId="0" fontId="7" fillId="0" borderId="24" xfId="0" applyFont="1" applyBorder="1" applyAlignment="1"/>
    <xf numFmtId="0" fontId="75" fillId="16" borderId="56" xfId="0" applyFont="1" applyFill="1" applyBorder="1" applyAlignment="1">
      <alignment horizontal="center" vertical="center"/>
    </xf>
    <xf numFmtId="0" fontId="75" fillId="16" borderId="57" xfId="0" applyFont="1" applyFill="1" applyBorder="1" applyAlignment="1">
      <alignment horizontal="center" vertical="center"/>
    </xf>
    <xf numFmtId="0" fontId="6" fillId="37" borderId="79" xfId="0" applyFont="1" applyFill="1" applyBorder="1" applyAlignment="1">
      <alignment horizontal="center" vertical="center"/>
    </xf>
    <xf numFmtId="0" fontId="6" fillId="37" borderId="43" xfId="0" applyFont="1" applyFill="1" applyBorder="1" applyAlignment="1">
      <alignment horizontal="center" vertical="center"/>
    </xf>
    <xf numFmtId="0" fontId="75" fillId="16" borderId="108" xfId="0" applyFont="1" applyFill="1" applyBorder="1" applyAlignment="1">
      <alignment horizontal="center" vertical="center"/>
    </xf>
    <xf numFmtId="0" fontId="75" fillId="16" borderId="70" xfId="0" applyFont="1" applyFill="1" applyBorder="1" applyAlignment="1">
      <alignment horizontal="center" vertical="center"/>
    </xf>
    <xf numFmtId="0" fontId="75" fillId="16" borderId="109" xfId="0" applyFont="1" applyFill="1" applyBorder="1" applyAlignment="1">
      <alignment horizontal="center" vertical="center"/>
    </xf>
    <xf numFmtId="0" fontId="4" fillId="8" borderId="118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8" borderId="129" xfId="0" applyFont="1" applyFill="1" applyBorder="1" applyAlignment="1">
      <alignment horizontal="center" vertical="center"/>
    </xf>
    <xf numFmtId="0" fontId="7" fillId="0" borderId="49" xfId="0" applyFont="1" applyBorder="1" applyAlignment="1"/>
    <xf numFmtId="0" fontId="7" fillId="0" borderId="97" xfId="0" applyFont="1" applyBorder="1" applyAlignment="1"/>
    <xf numFmtId="0" fontId="7" fillId="0" borderId="28" xfId="0" applyFont="1" applyBorder="1" applyAlignment="1"/>
    <xf numFmtId="0" fontId="7" fillId="0" borderId="25" xfId="0" applyFont="1" applyBorder="1" applyAlignment="1"/>
    <xf numFmtId="0" fontId="6" fillId="13" borderId="64" xfId="0" applyFont="1" applyFill="1" applyBorder="1" applyAlignment="1">
      <alignment horizontal="center" vertical="center"/>
    </xf>
    <xf numFmtId="0" fontId="6" fillId="13" borderId="5" xfId="0" applyFont="1" applyFill="1" applyBorder="1" applyAlignment="1">
      <alignment horizontal="center" vertical="center"/>
    </xf>
    <xf numFmtId="0" fontId="4" fillId="8" borderId="111" xfId="0" applyFont="1" applyFill="1" applyBorder="1" applyAlignment="1">
      <alignment horizontal="center" vertical="center"/>
    </xf>
    <xf numFmtId="0" fontId="35" fillId="55" borderId="32" xfId="0" applyFont="1" applyFill="1" applyBorder="1" applyAlignment="1">
      <alignment horizontal="center" vertical="center"/>
    </xf>
    <xf numFmtId="0" fontId="35" fillId="55" borderId="33" xfId="0" applyFont="1" applyFill="1" applyBorder="1" applyAlignment="1">
      <alignment horizontal="center" vertical="center"/>
    </xf>
    <xf numFmtId="0" fontId="35" fillId="55" borderId="34" xfId="0" applyFont="1" applyFill="1" applyBorder="1" applyAlignment="1">
      <alignment horizontal="center" vertical="center"/>
    </xf>
    <xf numFmtId="0" fontId="4" fillId="5" borderId="32" xfId="0" applyFont="1" applyFill="1" applyBorder="1" applyAlignment="1">
      <alignment horizontal="center" vertical="center"/>
    </xf>
    <xf numFmtId="0" fontId="35" fillId="5" borderId="33" xfId="0" applyFont="1" applyFill="1" applyBorder="1" applyAlignment="1">
      <alignment horizontal="center" vertical="center"/>
    </xf>
    <xf numFmtId="0" fontId="35" fillId="5" borderId="111" xfId="0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 vertical="center"/>
    </xf>
    <xf numFmtId="0" fontId="4" fillId="51" borderId="5" xfId="0" applyFont="1" applyFill="1" applyBorder="1" applyAlignment="1">
      <alignment horizontal="center" vertical="center"/>
    </xf>
    <xf numFmtId="0" fontId="6" fillId="37" borderId="64" xfId="0" applyFont="1" applyFill="1" applyBorder="1" applyAlignment="1">
      <alignment horizontal="center" vertical="center"/>
    </xf>
    <xf numFmtId="0" fontId="6" fillId="5" borderId="42" xfId="0" applyFont="1" applyFill="1" applyBorder="1" applyAlignment="1">
      <alignment horizontal="center" vertical="center"/>
    </xf>
    <xf numFmtId="0" fontId="6" fillId="5" borderId="157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4" fillId="10" borderId="14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 vertical="center"/>
    </xf>
    <xf numFmtId="0" fontId="6" fillId="8" borderId="33" xfId="0" applyFont="1" applyFill="1" applyBorder="1" applyAlignment="1">
      <alignment horizontal="center" vertical="center"/>
    </xf>
    <xf numFmtId="0" fontId="6" fillId="8" borderId="34" xfId="0" applyFont="1" applyFill="1" applyBorder="1" applyAlignment="1">
      <alignment horizontal="center" vertical="center"/>
    </xf>
    <xf numFmtId="0" fontId="63" fillId="26" borderId="60" xfId="0" applyFont="1" applyFill="1" applyBorder="1" applyAlignment="1">
      <alignment horizontal="center" vertical="center"/>
    </xf>
    <xf numFmtId="0" fontId="4" fillId="8" borderId="145" xfId="0" applyFont="1" applyFill="1" applyBorder="1" applyAlignment="1">
      <alignment horizontal="center" vertical="center"/>
    </xf>
    <xf numFmtId="0" fontId="4" fillId="8" borderId="146" xfId="0" applyFont="1" applyFill="1" applyBorder="1" applyAlignment="1">
      <alignment horizontal="center" vertical="center"/>
    </xf>
    <xf numFmtId="0" fontId="4" fillId="8" borderId="117" xfId="0" applyFont="1" applyFill="1" applyBorder="1" applyAlignment="1">
      <alignment horizontal="center" vertical="center"/>
    </xf>
    <xf numFmtId="0" fontId="6" fillId="5" borderId="70" xfId="0" applyFont="1" applyFill="1" applyBorder="1" applyAlignment="1">
      <alignment horizontal="center" vertical="center"/>
    </xf>
    <xf numFmtId="0" fontId="6" fillId="5" borderId="192" xfId="0" applyFont="1" applyFill="1" applyBorder="1" applyAlignment="1">
      <alignment horizontal="center" vertical="center"/>
    </xf>
    <xf numFmtId="0" fontId="4" fillId="10" borderId="65" xfId="0" applyFont="1" applyFill="1" applyBorder="1" applyAlignment="1">
      <alignment horizontal="center"/>
    </xf>
    <xf numFmtId="0" fontId="4" fillId="10" borderId="34" xfId="0" applyFont="1" applyFill="1" applyBorder="1" applyAlignment="1">
      <alignment horizontal="center"/>
    </xf>
    <xf numFmtId="0" fontId="7" fillId="8" borderId="98" xfId="0" applyFont="1" applyFill="1" applyBorder="1" applyAlignment="1">
      <alignment horizontal="center" vertical="center"/>
    </xf>
    <xf numFmtId="0" fontId="8" fillId="8" borderId="83" xfId="0" applyFont="1" applyFill="1" applyBorder="1" applyAlignment="1">
      <alignment horizontal="center" vertical="center"/>
    </xf>
    <xf numFmtId="0" fontId="8" fillId="8" borderId="70" xfId="0" applyFont="1" applyFill="1" applyBorder="1" applyAlignment="1">
      <alignment horizontal="center" vertical="center"/>
    </xf>
    <xf numFmtId="0" fontId="8" fillId="8" borderId="109" xfId="0" applyFont="1" applyFill="1" applyBorder="1" applyAlignment="1">
      <alignment horizontal="center" vertical="center"/>
    </xf>
    <xf numFmtId="0" fontId="4" fillId="28" borderId="43" xfId="0" applyFont="1" applyFill="1" applyBorder="1" applyAlignment="1">
      <alignment horizontal="center" vertical="center"/>
    </xf>
    <xf numFmtId="0" fontId="4" fillId="28" borderId="44" xfId="0" applyFont="1" applyFill="1" applyBorder="1" applyAlignment="1">
      <alignment horizontal="center" vertical="center"/>
    </xf>
    <xf numFmtId="0" fontId="63" fillId="26" borderId="43" xfId="0" applyFont="1" applyFill="1" applyBorder="1" applyAlignment="1">
      <alignment horizontal="center" vertical="center"/>
    </xf>
    <xf numFmtId="0" fontId="6" fillId="16" borderId="78" xfId="0" applyFont="1" applyFill="1" applyBorder="1" applyAlignment="1">
      <alignment horizontal="center" vertical="center"/>
    </xf>
    <xf numFmtId="0" fontId="6" fillId="16" borderId="60" xfId="0" applyFont="1" applyFill="1" applyBorder="1" applyAlignment="1">
      <alignment horizontal="center" vertical="center"/>
    </xf>
    <xf numFmtId="0" fontId="6" fillId="40" borderId="64" xfId="0" applyFont="1" applyFill="1" applyBorder="1" applyAlignment="1">
      <alignment horizontal="center" vertical="center"/>
    </xf>
    <xf numFmtId="0" fontId="6" fillId="13" borderId="80" xfId="0" applyFont="1" applyFill="1" applyBorder="1" applyAlignment="1">
      <alignment horizontal="center" vertical="center"/>
    </xf>
    <xf numFmtId="0" fontId="6" fillId="13" borderId="15" xfId="0" applyFont="1" applyFill="1" applyBorder="1" applyAlignment="1">
      <alignment horizontal="center" vertical="center"/>
    </xf>
    <xf numFmtId="0" fontId="6" fillId="17" borderId="64" xfId="0" applyFont="1" applyFill="1" applyBorder="1" applyAlignment="1">
      <alignment horizontal="center" vertical="center"/>
    </xf>
    <xf numFmtId="0" fontId="4" fillId="8" borderId="78" xfId="0" applyFont="1" applyFill="1" applyBorder="1" applyAlignment="1">
      <alignment horizontal="center" vertical="center"/>
    </xf>
    <xf numFmtId="0" fontId="4" fillId="8" borderId="60" xfId="0" applyFont="1" applyFill="1" applyBorder="1" applyAlignment="1">
      <alignment horizontal="center" vertical="center"/>
    </xf>
    <xf numFmtId="0" fontId="26" fillId="23" borderId="80" xfId="0" applyFont="1" applyFill="1" applyBorder="1" applyAlignment="1">
      <alignment horizontal="center" vertical="center"/>
    </xf>
    <xf numFmtId="0" fontId="26" fillId="23" borderId="15" xfId="0" applyFont="1" applyFill="1" applyBorder="1" applyAlignment="1">
      <alignment horizontal="center" vertical="center"/>
    </xf>
    <xf numFmtId="0" fontId="6" fillId="5" borderId="56" xfId="0" applyFont="1" applyFill="1" applyBorder="1" applyAlignment="1">
      <alignment horizontal="center" vertical="center"/>
    </xf>
    <xf numFmtId="0" fontId="6" fillId="5" borderId="57" xfId="0" applyFont="1" applyFill="1" applyBorder="1" applyAlignment="1">
      <alignment horizontal="center" vertical="center"/>
    </xf>
    <xf numFmtId="0" fontId="63" fillId="26" borderId="15" xfId="0" applyFont="1" applyFill="1" applyBorder="1" applyAlignment="1">
      <alignment horizontal="center" vertical="center"/>
    </xf>
    <xf numFmtId="0" fontId="6" fillId="5" borderId="84" xfId="0" applyFont="1" applyFill="1" applyBorder="1" applyAlignment="1">
      <alignment horizontal="center" vertical="center"/>
    </xf>
    <xf numFmtId="0" fontId="6" fillId="5" borderId="83" xfId="0" applyFont="1" applyFill="1" applyBorder="1" applyAlignment="1">
      <alignment horizontal="center" vertical="center"/>
    </xf>
    <xf numFmtId="0" fontId="6" fillId="5" borderId="85" xfId="0" applyFont="1" applyFill="1" applyBorder="1" applyAlignment="1">
      <alignment horizontal="center" vertical="center"/>
    </xf>
    <xf numFmtId="49" fontId="13" fillId="2" borderId="156" xfId="0" applyNumberFormat="1" applyFont="1" applyFill="1" applyBorder="1" applyAlignment="1">
      <alignment horizontal="center" vertical="center"/>
    </xf>
    <xf numFmtId="0" fontId="24" fillId="24" borderId="116" xfId="0" applyFont="1" applyFill="1" applyBorder="1" applyAlignment="1">
      <alignment horizontal="center" vertical="center"/>
    </xf>
    <xf numFmtId="0" fontId="24" fillId="24" borderId="74" xfId="0" applyFont="1" applyFill="1" applyBorder="1" applyAlignment="1">
      <alignment horizontal="center" vertical="center"/>
    </xf>
    <xf numFmtId="0" fontId="24" fillId="24" borderId="134" xfId="0" applyFont="1" applyFill="1" applyBorder="1" applyAlignment="1">
      <alignment horizontal="center" vertical="center"/>
    </xf>
    <xf numFmtId="0" fontId="4" fillId="28" borderId="108" xfId="0" applyFont="1" applyFill="1" applyBorder="1" applyAlignment="1">
      <alignment horizontal="center" vertical="center"/>
    </xf>
    <xf numFmtId="0" fontId="4" fillId="28" borderId="70" xfId="0" applyFont="1" applyFill="1" applyBorder="1" applyAlignment="1">
      <alignment horizontal="center" vertical="center"/>
    </xf>
    <xf numFmtId="0" fontId="4" fillId="28" borderId="83" xfId="0" applyFont="1" applyFill="1" applyBorder="1" applyAlignment="1">
      <alignment horizontal="center" vertical="center"/>
    </xf>
    <xf numFmtId="0" fontId="4" fillId="28" borderId="139" xfId="0" applyFont="1" applyFill="1" applyBorder="1" applyAlignment="1">
      <alignment horizontal="center" vertical="center"/>
    </xf>
    <xf numFmtId="0" fontId="4" fillId="28" borderId="78" xfId="0" applyFont="1" applyFill="1" applyBorder="1" applyAlignment="1">
      <alignment horizontal="center" vertical="center"/>
    </xf>
    <xf numFmtId="0" fontId="4" fillId="28" borderId="60" xfId="0" applyFont="1" applyFill="1" applyBorder="1" applyAlignment="1">
      <alignment horizontal="center" vertical="center"/>
    </xf>
    <xf numFmtId="0" fontId="6" fillId="38" borderId="64" xfId="0" applyFont="1" applyFill="1" applyBorder="1" applyAlignment="1">
      <alignment horizontal="center" vertical="center"/>
    </xf>
    <xf numFmtId="0" fontId="7" fillId="0" borderId="97" xfId="0" applyFont="1" applyBorder="1" applyAlignment="1">
      <alignment horizontal="center" vertical="center"/>
    </xf>
    <xf numFmtId="0" fontId="4" fillId="35" borderId="64" xfId="0" applyFont="1" applyFill="1" applyBorder="1" applyAlignment="1">
      <alignment horizontal="center" vertical="center"/>
    </xf>
    <xf numFmtId="0" fontId="4" fillId="35" borderId="5" xfId="0" applyFont="1" applyFill="1" applyBorder="1" applyAlignment="1">
      <alignment horizontal="center" vertical="center"/>
    </xf>
    <xf numFmtId="0" fontId="6" fillId="25" borderId="64" xfId="0" applyFont="1" applyFill="1" applyBorder="1" applyAlignment="1">
      <alignment horizontal="center" vertical="center"/>
    </xf>
    <xf numFmtId="0" fontId="6" fillId="25" borderId="5" xfId="0" applyFont="1" applyFill="1" applyBorder="1" applyAlignment="1">
      <alignment horizontal="center" vertical="center"/>
    </xf>
    <xf numFmtId="0" fontId="4" fillId="10" borderId="64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6" fillId="5" borderId="43" xfId="0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67" xfId="0" applyFont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4" fillId="26" borderId="64" xfId="0" applyFont="1" applyFill="1" applyBorder="1" applyAlignment="1">
      <alignment horizontal="center" vertical="center"/>
    </xf>
    <xf numFmtId="0" fontId="4" fillId="42" borderId="64" xfId="0" applyFont="1" applyFill="1" applyBorder="1" applyAlignment="1">
      <alignment horizontal="center" vertical="center"/>
    </xf>
    <xf numFmtId="0" fontId="4" fillId="42" borderId="5" xfId="0" applyFont="1" applyFill="1" applyBorder="1" applyAlignment="1">
      <alignment horizontal="center" vertical="center"/>
    </xf>
    <xf numFmtId="0" fontId="7" fillId="0" borderId="189" xfId="0" applyFont="1" applyBorder="1" applyAlignment="1">
      <alignment horizontal="center" vertical="center"/>
    </xf>
    <xf numFmtId="0" fontId="63" fillId="22" borderId="5" xfId="0" applyFont="1" applyFill="1" applyBorder="1" applyAlignment="1">
      <alignment horizontal="center" vertical="center"/>
    </xf>
    <xf numFmtId="0" fontId="63" fillId="22" borderId="62" xfId="0" applyFont="1" applyFill="1" applyBorder="1" applyAlignment="1">
      <alignment horizontal="center" vertical="center"/>
    </xf>
    <xf numFmtId="0" fontId="49" fillId="8" borderId="60" xfId="0" applyFont="1" applyFill="1" applyBorder="1" applyAlignment="1">
      <alignment horizontal="center" vertical="center"/>
    </xf>
    <xf numFmtId="0" fontId="49" fillId="8" borderId="61" xfId="0" applyFont="1" applyFill="1" applyBorder="1" applyAlignment="1">
      <alignment horizontal="center" vertical="center"/>
    </xf>
    <xf numFmtId="0" fontId="4" fillId="8" borderId="73" xfId="0" applyFont="1" applyFill="1" applyBorder="1" applyAlignment="1">
      <alignment horizontal="center" vertical="center"/>
    </xf>
    <xf numFmtId="0" fontId="6" fillId="5" borderId="112" xfId="0" applyFont="1" applyFill="1" applyBorder="1" applyAlignment="1">
      <alignment horizontal="center" vertical="center"/>
    </xf>
    <xf numFmtId="0" fontId="6" fillId="5" borderId="35" xfId="0" applyFont="1" applyFill="1" applyBorder="1" applyAlignment="1">
      <alignment horizontal="center" vertical="center"/>
    </xf>
    <xf numFmtId="0" fontId="6" fillId="5" borderId="178" xfId="0" applyFont="1" applyFill="1" applyBorder="1" applyAlignment="1">
      <alignment horizontal="center" vertical="center"/>
    </xf>
    <xf numFmtId="0" fontId="7" fillId="0" borderId="98" xfId="0" applyFont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68" xfId="0" applyFont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/>
    </xf>
    <xf numFmtId="0" fontId="4" fillId="28" borderId="62" xfId="0" applyFont="1" applyFill="1" applyBorder="1" applyAlignment="1">
      <alignment horizontal="center" vertical="center"/>
    </xf>
    <xf numFmtId="0" fontId="49" fillId="8" borderId="90" xfId="0" applyFont="1" applyFill="1" applyBorder="1" applyAlignment="1">
      <alignment horizontal="center"/>
    </xf>
    <xf numFmtId="0" fontId="49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center" vertical="center"/>
    </xf>
    <xf numFmtId="0" fontId="4" fillId="35" borderId="118" xfId="0" applyFont="1" applyFill="1" applyBorder="1" applyAlignment="1">
      <alignment horizontal="center" vertical="center"/>
    </xf>
    <xf numFmtId="0" fontId="4" fillId="35" borderId="110" xfId="0" applyFont="1" applyFill="1" applyBorder="1" applyAlignment="1">
      <alignment horizontal="center" vertical="center"/>
    </xf>
    <xf numFmtId="0" fontId="4" fillId="28" borderId="110" xfId="0" applyFont="1" applyFill="1" applyBorder="1" applyAlignment="1">
      <alignment horizontal="center" vertical="center"/>
    </xf>
    <xf numFmtId="0" fontId="4" fillId="8" borderId="61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73" xfId="0" applyFont="1" applyFill="1" applyBorder="1" applyAlignment="1">
      <alignment horizontal="center" vertical="center"/>
    </xf>
    <xf numFmtId="0" fontId="6" fillId="5" borderId="65" xfId="0" applyFont="1" applyFill="1" applyBorder="1" applyAlignment="1">
      <alignment horizontal="center" vertical="center"/>
    </xf>
    <xf numFmtId="0" fontId="6" fillId="5" borderId="33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7" fillId="42" borderId="15" xfId="0" applyFont="1" applyFill="1" applyBorder="1" applyAlignment="1">
      <alignment horizontal="center"/>
    </xf>
    <xf numFmtId="0" fontId="4" fillId="8" borderId="131" xfId="0" applyFont="1" applyFill="1" applyBorder="1" applyAlignment="1">
      <alignment horizontal="center" vertical="center"/>
    </xf>
    <xf numFmtId="0" fontId="4" fillId="8" borderId="77" xfId="0" applyFont="1" applyFill="1" applyBorder="1" applyAlignment="1">
      <alignment horizontal="center" vertical="center"/>
    </xf>
    <xf numFmtId="0" fontId="4" fillId="8" borderId="157" xfId="0" applyFont="1" applyFill="1" applyBorder="1" applyAlignment="1">
      <alignment horizontal="center" vertical="center"/>
    </xf>
    <xf numFmtId="0" fontId="78" fillId="21" borderId="32" xfId="0" applyFont="1" applyFill="1" applyBorder="1" applyAlignment="1">
      <alignment horizontal="center"/>
    </xf>
    <xf numFmtId="0" fontId="78" fillId="21" borderId="33" xfId="0" applyFont="1" applyFill="1" applyBorder="1" applyAlignment="1">
      <alignment horizontal="center"/>
    </xf>
    <xf numFmtId="0" fontId="78" fillId="21" borderId="34" xfId="0" applyFont="1" applyFill="1" applyBorder="1" applyAlignment="1">
      <alignment horizontal="center"/>
    </xf>
    <xf numFmtId="0" fontId="7" fillId="0" borderId="126" xfId="0" applyFont="1" applyBorder="1" applyAlignment="1">
      <alignment horizontal="center" vertical="center"/>
    </xf>
    <xf numFmtId="0" fontId="6" fillId="21" borderId="62" xfId="0" applyFont="1" applyFill="1" applyBorder="1" applyAlignment="1">
      <alignment horizontal="center" vertical="center"/>
    </xf>
    <xf numFmtId="0" fontId="6" fillId="21" borderId="15" xfId="0" applyFont="1" applyFill="1" applyBorder="1" applyAlignment="1">
      <alignment horizontal="center" vertical="center"/>
    </xf>
    <xf numFmtId="0" fontId="6" fillId="21" borderId="67" xfId="0" applyFont="1" applyFill="1" applyBorder="1" applyAlignment="1">
      <alignment horizontal="center" vertical="center"/>
    </xf>
    <xf numFmtId="0" fontId="79" fillId="8" borderId="98" xfId="0" applyFont="1" applyFill="1" applyBorder="1" applyAlignment="1">
      <alignment horizontal="center" vertical="center"/>
    </xf>
    <xf numFmtId="0" fontId="79" fillId="8" borderId="83" xfId="0" applyFont="1" applyFill="1" applyBorder="1" applyAlignment="1">
      <alignment horizontal="center" vertical="center"/>
    </xf>
    <xf numFmtId="0" fontId="79" fillId="8" borderId="85" xfId="0" applyFont="1" applyFill="1" applyBorder="1" applyAlignment="1">
      <alignment horizontal="center" vertical="center"/>
    </xf>
    <xf numFmtId="0" fontId="35" fillId="0" borderId="77" xfId="0" applyFont="1" applyBorder="1" applyAlignment="1">
      <alignment horizontal="center" vertical="center"/>
    </xf>
    <xf numFmtId="0" fontId="35" fillId="0" borderId="144" xfId="0" applyFont="1" applyBorder="1" applyAlignment="1">
      <alignment horizontal="center" vertical="center"/>
    </xf>
    <xf numFmtId="0" fontId="7" fillId="0" borderId="143" xfId="0" applyFont="1" applyBorder="1" applyAlignment="1">
      <alignment horizontal="center" vertical="center"/>
    </xf>
    <xf numFmtId="0" fontId="7" fillId="0" borderId="146" xfId="0" applyFont="1" applyBorder="1" applyAlignment="1">
      <alignment horizontal="center" vertical="center"/>
    </xf>
    <xf numFmtId="0" fontId="7" fillId="0" borderId="145" xfId="0" applyFont="1" applyBorder="1" applyAlignment="1">
      <alignment horizontal="center" vertical="center"/>
    </xf>
    <xf numFmtId="0" fontId="6" fillId="21" borderId="108" xfId="0" applyFont="1" applyFill="1" applyBorder="1" applyAlignment="1">
      <alignment horizontal="center" vertical="center"/>
    </xf>
    <xf numFmtId="0" fontId="6" fillId="21" borderId="70" xfId="0" applyFont="1" applyFill="1" applyBorder="1" applyAlignment="1">
      <alignment horizontal="center" vertical="center"/>
    </xf>
    <xf numFmtId="0" fontId="6" fillId="21" borderId="139" xfId="0" applyFont="1" applyFill="1" applyBorder="1" applyAlignment="1">
      <alignment horizontal="center" vertical="center"/>
    </xf>
    <xf numFmtId="0" fontId="26" fillId="10" borderId="64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4" fillId="8" borderId="133" xfId="0" applyFont="1" applyFill="1" applyBorder="1" applyAlignment="1">
      <alignment horizontal="center" vertical="center"/>
    </xf>
    <xf numFmtId="0" fontId="4" fillId="8" borderId="105" xfId="0" applyFont="1" applyFill="1" applyBorder="1" applyAlignment="1">
      <alignment horizontal="center" vertical="center"/>
    </xf>
    <xf numFmtId="0" fontId="4" fillId="8" borderId="134" xfId="0" applyFont="1" applyFill="1" applyBorder="1" applyAlignment="1">
      <alignment horizontal="center" vertical="center"/>
    </xf>
    <xf numFmtId="0" fontId="6" fillId="38" borderId="32" xfId="0" applyFont="1" applyFill="1" applyBorder="1" applyAlignment="1">
      <alignment horizontal="center" vertical="center"/>
    </xf>
    <xf numFmtId="0" fontId="6" fillId="35" borderId="64" xfId="0" applyFont="1" applyFill="1" applyBorder="1" applyAlignment="1">
      <alignment horizontal="center" vertical="center"/>
    </xf>
    <xf numFmtId="0" fontId="6" fillId="35" borderId="5" xfId="0" applyFont="1" applyFill="1" applyBorder="1" applyAlignment="1">
      <alignment horizontal="center" vertical="center"/>
    </xf>
    <xf numFmtId="0" fontId="6" fillId="13" borderId="68" xfId="0" applyFont="1" applyFill="1" applyBorder="1" applyAlignment="1">
      <alignment horizontal="center" vertical="center"/>
    </xf>
    <xf numFmtId="0" fontId="6" fillId="13" borderId="57" xfId="0" applyFont="1" applyFill="1" applyBorder="1" applyAlignment="1">
      <alignment horizontal="center" vertical="center"/>
    </xf>
    <xf numFmtId="0" fontId="6" fillId="13" borderId="73" xfId="0" applyFont="1" applyFill="1" applyBorder="1" applyAlignment="1">
      <alignment horizontal="center" vertical="center"/>
    </xf>
    <xf numFmtId="0" fontId="24" fillId="24" borderId="108" xfId="0" applyFont="1" applyFill="1" applyBorder="1" applyAlignment="1">
      <alignment horizontal="center" vertical="center"/>
    </xf>
    <xf numFmtId="0" fontId="4" fillId="28" borderId="84" xfId="0" applyFont="1" applyFill="1" applyBorder="1" applyAlignment="1">
      <alignment horizontal="center" vertical="center"/>
    </xf>
    <xf numFmtId="0" fontId="6" fillId="21" borderId="60" xfId="0" applyFont="1" applyFill="1" applyBorder="1" applyAlignment="1">
      <alignment horizontal="center" vertical="center"/>
    </xf>
    <xf numFmtId="0" fontId="6" fillId="21" borderId="61" xfId="0" applyFont="1" applyFill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78" xfId="0" applyFont="1" applyBorder="1" applyAlignment="1">
      <alignment horizontal="center" vertical="center"/>
    </xf>
    <xf numFmtId="0" fontId="35" fillId="0" borderId="60" xfId="0" applyFont="1" applyBorder="1" applyAlignment="1">
      <alignment horizontal="center" vertical="center"/>
    </xf>
    <xf numFmtId="0" fontId="6" fillId="29" borderId="15" xfId="0" applyFont="1" applyFill="1" applyBorder="1" applyAlignment="1">
      <alignment horizontal="center" vertical="center"/>
    </xf>
    <xf numFmtId="0" fontId="6" fillId="29" borderId="5" xfId="0" applyFont="1" applyFill="1" applyBorder="1" applyAlignment="1">
      <alignment horizontal="center" vertical="center"/>
    </xf>
    <xf numFmtId="0" fontId="46" fillId="21" borderId="5" xfId="0" applyFont="1" applyFill="1" applyBorder="1" applyAlignment="1">
      <alignment horizontal="center" vertical="center"/>
    </xf>
    <xf numFmtId="0" fontId="46" fillId="21" borderId="62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7" fillId="0" borderId="180" xfId="0" applyFont="1" applyBorder="1" applyAlignment="1">
      <alignment horizontal="center" vertical="center" wrapText="1"/>
    </xf>
    <xf numFmtId="0" fontId="7" fillId="0" borderId="126" xfId="0" applyFont="1" applyBorder="1" applyAlignment="1">
      <alignment horizontal="center" vertical="center" wrapText="1"/>
    </xf>
    <xf numFmtId="0" fontId="7" fillId="0" borderId="182" xfId="0" applyFont="1" applyBorder="1" applyAlignment="1">
      <alignment horizontal="center" vertical="center" wrapText="1"/>
    </xf>
    <xf numFmtId="0" fontId="35" fillId="8" borderId="5" xfId="0" applyFont="1" applyFill="1" applyBorder="1" applyAlignment="1">
      <alignment horizontal="center" vertical="center"/>
    </xf>
    <xf numFmtId="0" fontId="35" fillId="8" borderId="62" xfId="0" applyFont="1" applyFill="1" applyBorder="1" applyAlignment="1">
      <alignment horizontal="center" vertical="center"/>
    </xf>
    <xf numFmtId="0" fontId="26" fillId="23" borderId="43" xfId="0" applyFont="1" applyFill="1" applyBorder="1" applyAlignment="1">
      <alignment horizontal="center" vertical="center"/>
    </xf>
    <xf numFmtId="0" fontId="4" fillId="8" borderId="179" xfId="0" applyFont="1" applyFill="1" applyBorder="1" applyAlignment="1">
      <alignment horizontal="center" vertical="center"/>
    </xf>
    <xf numFmtId="0" fontId="7" fillId="42" borderId="5" xfId="0" applyFont="1" applyFill="1" applyBorder="1" applyAlignment="1">
      <alignment horizontal="center"/>
    </xf>
    <xf numFmtId="0" fontId="26" fillId="7" borderId="5" xfId="0" applyFont="1" applyFill="1" applyBorder="1" applyAlignment="1">
      <alignment horizontal="center" vertical="center"/>
    </xf>
    <xf numFmtId="0" fontId="26" fillId="49" borderId="5" xfId="0" applyFont="1" applyFill="1" applyBorder="1" applyAlignment="1">
      <alignment horizontal="center" vertical="center"/>
    </xf>
    <xf numFmtId="0" fontId="78" fillId="21" borderId="84" xfId="0" applyFont="1" applyFill="1" applyBorder="1" applyAlignment="1">
      <alignment horizontal="center"/>
    </xf>
    <xf numFmtId="0" fontId="78" fillId="21" borderId="83" xfId="0" applyFont="1" applyFill="1" applyBorder="1" applyAlignment="1">
      <alignment horizontal="center"/>
    </xf>
    <xf numFmtId="0" fontId="78" fillId="21" borderId="85" xfId="0" applyFont="1" applyFill="1" applyBorder="1" applyAlignment="1">
      <alignment horizontal="center"/>
    </xf>
    <xf numFmtId="0" fontId="4" fillId="28" borderId="77" xfId="0" applyFont="1" applyFill="1" applyBorder="1" applyAlignment="1">
      <alignment horizontal="center" vertical="center"/>
    </xf>
    <xf numFmtId="0" fontId="4" fillId="28" borderId="157" xfId="0" applyFont="1" applyFill="1" applyBorder="1" applyAlignment="1">
      <alignment horizontal="center" vertical="center"/>
    </xf>
    <xf numFmtId="0" fontId="35" fillId="11" borderId="55" xfId="0" applyFont="1" applyFill="1" applyBorder="1" applyAlignment="1">
      <alignment horizontal="center" vertical="center"/>
    </xf>
    <xf numFmtId="0" fontId="35" fillId="11" borderId="37" xfId="0" applyFont="1" applyFill="1" applyBorder="1" applyAlignment="1">
      <alignment horizontal="center" vertical="center"/>
    </xf>
    <xf numFmtId="0" fontId="35" fillId="11" borderId="159" xfId="0" applyFont="1" applyFill="1" applyBorder="1" applyAlignment="1">
      <alignment horizontal="center" vertical="center"/>
    </xf>
    <xf numFmtId="0" fontId="6" fillId="21" borderId="14" xfId="0" applyFont="1" applyFill="1" applyBorder="1" applyAlignment="1">
      <alignment horizontal="center" vertical="center"/>
    </xf>
    <xf numFmtId="0" fontId="6" fillId="21" borderId="72" xfId="0" applyFont="1" applyFill="1" applyBorder="1" applyAlignment="1">
      <alignment horizontal="center" vertical="center"/>
    </xf>
    <xf numFmtId="0" fontId="4" fillId="7" borderId="32" xfId="0" applyFont="1" applyFill="1" applyBorder="1" applyAlignment="1">
      <alignment horizontal="center" vertical="center"/>
    </xf>
    <xf numFmtId="0" fontId="4" fillId="7" borderId="33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0" fontId="31" fillId="23" borderId="15" xfId="0" applyFont="1" applyFill="1" applyBorder="1" applyAlignment="1">
      <alignment horizontal="center" vertical="center"/>
    </xf>
    <xf numFmtId="0" fontId="4" fillId="42" borderId="5" xfId="0" applyFont="1" applyFill="1" applyBorder="1" applyAlignment="1">
      <alignment horizontal="center"/>
    </xf>
    <xf numFmtId="0" fontId="4" fillId="8" borderId="108" xfId="0" applyFont="1" applyFill="1" applyBorder="1" applyAlignment="1">
      <alignment horizontal="center" vertical="center"/>
    </xf>
    <xf numFmtId="0" fontId="35" fillId="8" borderId="70" xfId="0" applyFont="1" applyFill="1" applyBorder="1" applyAlignment="1">
      <alignment horizontal="center" vertical="center"/>
    </xf>
    <xf numFmtId="0" fontId="35" fillId="8" borderId="109" xfId="0" applyFont="1" applyFill="1" applyBorder="1" applyAlignment="1">
      <alignment horizontal="center" vertical="center"/>
    </xf>
    <xf numFmtId="0" fontId="4" fillId="8" borderId="138" xfId="0" applyFont="1" applyFill="1" applyBorder="1" applyAlignment="1">
      <alignment horizontal="center" vertical="center"/>
    </xf>
    <xf numFmtId="0" fontId="6" fillId="21" borderId="150" xfId="0" applyFont="1" applyFill="1" applyBorder="1" applyAlignment="1">
      <alignment horizontal="center" vertical="center"/>
    </xf>
    <xf numFmtId="0" fontId="6" fillId="21" borderId="35" xfId="0" applyFont="1" applyFill="1" applyBorder="1" applyAlignment="1">
      <alignment horizontal="center" vertical="center"/>
    </xf>
    <xf numFmtId="0" fontId="6" fillId="21" borderId="110" xfId="0" applyFont="1" applyFill="1" applyBorder="1" applyAlignment="1">
      <alignment horizontal="center" vertical="center"/>
    </xf>
    <xf numFmtId="0" fontId="6" fillId="21" borderId="75" xfId="0" applyFont="1" applyFill="1" applyBorder="1" applyAlignment="1">
      <alignment horizontal="center" vertical="center"/>
    </xf>
    <xf numFmtId="0" fontId="6" fillId="21" borderId="0" xfId="0" applyFont="1" applyFill="1" applyBorder="1" applyAlignment="1">
      <alignment horizontal="center" vertical="center"/>
    </xf>
    <xf numFmtId="0" fontId="6" fillId="21" borderId="130" xfId="0" applyFont="1" applyFill="1" applyBorder="1" applyAlignment="1">
      <alignment horizontal="center" vertical="center"/>
    </xf>
    <xf numFmtId="0" fontId="6" fillId="21" borderId="84" xfId="0" applyFont="1" applyFill="1" applyBorder="1" applyAlignment="1">
      <alignment horizontal="center" vertical="center"/>
    </xf>
    <xf numFmtId="0" fontId="6" fillId="21" borderId="83" xfId="0" applyFont="1" applyFill="1" applyBorder="1" applyAlignment="1">
      <alignment horizontal="center" vertical="center"/>
    </xf>
    <xf numFmtId="0" fontId="6" fillId="21" borderId="129" xfId="0" applyFont="1" applyFill="1" applyBorder="1" applyAlignment="1">
      <alignment horizontal="center" vertical="center"/>
    </xf>
    <xf numFmtId="0" fontId="90" fillId="57" borderId="55" xfId="0" applyFont="1" applyFill="1" applyBorder="1" applyAlignment="1">
      <alignment horizontal="center" vertical="center"/>
    </xf>
    <xf numFmtId="0" fontId="90" fillId="57" borderId="37" xfId="0" applyFont="1" applyFill="1" applyBorder="1" applyAlignment="1">
      <alignment horizontal="center" vertical="center"/>
    </xf>
    <xf numFmtId="0" fontId="90" fillId="57" borderId="90" xfId="0" applyFont="1" applyFill="1" applyBorder="1" applyAlignment="1">
      <alignment horizontal="center" vertical="center"/>
    </xf>
    <xf numFmtId="0" fontId="78" fillId="21" borderId="55" xfId="0" applyFont="1" applyFill="1" applyBorder="1" applyAlignment="1">
      <alignment horizontal="center"/>
    </xf>
    <xf numFmtId="0" fontId="78" fillId="21" borderId="37" xfId="0" applyFont="1" applyFill="1" applyBorder="1" applyAlignment="1">
      <alignment horizontal="center"/>
    </xf>
    <xf numFmtId="0" fontId="78" fillId="21" borderId="90" xfId="0" applyFont="1" applyFill="1" applyBorder="1" applyAlignment="1">
      <alignment horizontal="center"/>
    </xf>
    <xf numFmtId="0" fontId="35" fillId="8" borderId="32" xfId="0" applyFont="1" applyFill="1" applyBorder="1" applyAlignment="1">
      <alignment horizontal="center" vertical="center"/>
    </xf>
    <xf numFmtId="0" fontId="4" fillId="29" borderId="33" xfId="0" applyFont="1" applyFill="1" applyBorder="1" applyAlignment="1">
      <alignment horizontal="center" vertical="center"/>
    </xf>
    <xf numFmtId="0" fontId="4" fillId="29" borderId="37" xfId="0" applyFont="1" applyFill="1" applyBorder="1" applyAlignment="1">
      <alignment horizontal="center" vertical="center"/>
    </xf>
    <xf numFmtId="0" fontId="4" fillId="29" borderId="90" xfId="0" applyFont="1" applyFill="1" applyBorder="1" applyAlignment="1">
      <alignment horizontal="center" vertical="center"/>
    </xf>
    <xf numFmtId="0" fontId="4" fillId="29" borderId="32" xfId="0" applyFont="1" applyFill="1" applyBorder="1" applyAlignment="1">
      <alignment horizontal="center" vertical="center"/>
    </xf>
    <xf numFmtId="0" fontId="4" fillId="29" borderId="34" xfId="0" applyFont="1" applyFill="1" applyBorder="1" applyAlignment="1">
      <alignment horizontal="center" vertical="center"/>
    </xf>
    <xf numFmtId="0" fontId="7" fillId="8" borderId="15" xfId="0" applyFont="1" applyFill="1" applyBorder="1" applyAlignment="1">
      <alignment horizontal="center" vertical="center"/>
    </xf>
    <xf numFmtId="0" fontId="63" fillId="26" borderId="14" xfId="0" applyFont="1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7" fillId="8" borderId="34" xfId="0" applyFont="1" applyFill="1" applyBorder="1" applyAlignment="1">
      <alignment horizontal="center" vertical="center"/>
    </xf>
    <xf numFmtId="0" fontId="6" fillId="21" borderId="112" xfId="0" applyFont="1" applyFill="1" applyBorder="1" applyAlignment="1">
      <alignment horizontal="center" vertical="center"/>
    </xf>
    <xf numFmtId="0" fontId="6" fillId="21" borderId="103" xfId="0" applyFont="1" applyFill="1" applyBorder="1" applyAlignment="1">
      <alignment horizontal="center" vertical="center"/>
    </xf>
    <xf numFmtId="0" fontId="6" fillId="40" borderId="55" xfId="0" applyFont="1" applyFill="1" applyBorder="1" applyAlignment="1">
      <alignment horizontal="center" vertical="center"/>
    </xf>
    <xf numFmtId="0" fontId="6" fillId="40" borderId="90" xfId="0" applyFont="1" applyFill="1" applyBorder="1" applyAlignment="1">
      <alignment horizontal="center" vertical="center"/>
    </xf>
    <xf numFmtId="0" fontId="6" fillId="21" borderId="33" xfId="0" applyFont="1" applyFill="1" applyBorder="1" applyAlignment="1">
      <alignment horizontal="center" vertical="center"/>
    </xf>
    <xf numFmtId="0" fontId="4" fillId="43" borderId="4" xfId="0" applyFont="1" applyFill="1" applyBorder="1" applyAlignment="1">
      <alignment horizontal="center" vertical="center"/>
    </xf>
    <xf numFmtId="0" fontId="4" fillId="43" borderId="136" xfId="0" applyFont="1" applyFill="1" applyBorder="1" applyAlignment="1">
      <alignment horizontal="center" vertical="center"/>
    </xf>
    <xf numFmtId="0" fontId="6" fillId="35" borderId="148" xfId="0" applyFont="1" applyFill="1" applyBorder="1" applyAlignment="1">
      <alignment horizontal="center" vertical="center"/>
    </xf>
    <xf numFmtId="0" fontId="6" fillId="25" borderId="32" xfId="0" applyFont="1" applyFill="1" applyBorder="1" applyAlignment="1">
      <alignment horizontal="center" vertical="center"/>
    </xf>
    <xf numFmtId="0" fontId="6" fillId="5" borderId="55" xfId="0" applyFont="1" applyFill="1" applyBorder="1" applyAlignment="1">
      <alignment horizontal="center" vertical="center"/>
    </xf>
    <xf numFmtId="0" fontId="35" fillId="0" borderId="84" xfId="0" applyFont="1" applyFill="1" applyBorder="1" applyAlignment="1">
      <alignment horizontal="center" vertical="center"/>
    </xf>
    <xf numFmtId="0" fontId="35" fillId="0" borderId="83" xfId="0" applyFont="1" applyFill="1" applyBorder="1" applyAlignment="1">
      <alignment horizontal="center" vertical="center"/>
    </xf>
    <xf numFmtId="0" fontId="35" fillId="0" borderId="85" xfId="0" applyFont="1" applyFill="1" applyBorder="1" applyAlignment="1">
      <alignment horizontal="center" vertical="center"/>
    </xf>
    <xf numFmtId="0" fontId="6" fillId="21" borderId="34" xfId="0" applyFont="1" applyFill="1" applyBorder="1" applyAlignment="1">
      <alignment horizontal="center" vertical="center"/>
    </xf>
    <xf numFmtId="0" fontId="6" fillId="40" borderId="118" xfId="0" applyFont="1" applyFill="1" applyBorder="1" applyAlignment="1">
      <alignment horizontal="center" vertical="center"/>
    </xf>
    <xf numFmtId="0" fontId="6" fillId="40" borderId="110" xfId="0" applyFont="1" applyFill="1" applyBorder="1" applyAlignment="1">
      <alignment horizontal="center" vertical="center"/>
    </xf>
    <xf numFmtId="0" fontId="6" fillId="21" borderId="109" xfId="0" applyFont="1" applyFill="1" applyBorder="1" applyAlignment="1">
      <alignment horizontal="center" vertical="center"/>
    </xf>
    <xf numFmtId="0" fontId="6" fillId="40" borderId="43" xfId="0" applyFont="1" applyFill="1" applyBorder="1" applyAlignment="1">
      <alignment horizontal="center" vertical="center"/>
    </xf>
    <xf numFmtId="0" fontId="35" fillId="0" borderId="111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0" fontId="35" fillId="0" borderId="72" xfId="0" applyFont="1" applyBorder="1" applyAlignment="1">
      <alignment horizontal="center" vertical="center"/>
    </xf>
    <xf numFmtId="0" fontId="61" fillId="26" borderId="118" xfId="0" applyFont="1" applyFill="1" applyBorder="1" applyAlignment="1">
      <alignment horizontal="center" vertical="center"/>
    </xf>
    <xf numFmtId="0" fontId="61" fillId="26" borderId="35" xfId="0" applyFont="1" applyFill="1" applyBorder="1" applyAlignment="1">
      <alignment horizontal="center" vertical="center"/>
    </xf>
    <xf numFmtId="0" fontId="61" fillId="26" borderId="110" xfId="0" applyFont="1" applyFill="1" applyBorder="1" applyAlignment="1">
      <alignment horizontal="center" vertical="center"/>
    </xf>
    <xf numFmtId="0" fontId="6" fillId="40" borderId="32" xfId="0" applyFont="1" applyFill="1" applyBorder="1" applyAlignment="1">
      <alignment horizontal="center" vertical="center"/>
    </xf>
    <xf numFmtId="0" fontId="6" fillId="40" borderId="34" xfId="0" applyFont="1" applyFill="1" applyBorder="1" applyAlignment="1">
      <alignment horizontal="center" vertical="center"/>
    </xf>
    <xf numFmtId="0" fontId="6" fillId="35" borderId="55" xfId="0" applyFont="1" applyFill="1" applyBorder="1" applyAlignment="1">
      <alignment horizontal="center" vertical="center"/>
    </xf>
    <xf numFmtId="0" fontId="6" fillId="35" borderId="90" xfId="0" applyFont="1" applyFill="1" applyBorder="1" applyAlignment="1">
      <alignment horizontal="center" vertical="center"/>
    </xf>
    <xf numFmtId="0" fontId="6" fillId="35" borderId="32" xfId="0" applyFont="1" applyFill="1" applyBorder="1" applyAlignment="1">
      <alignment horizontal="center" vertical="center"/>
    </xf>
    <xf numFmtId="0" fontId="6" fillId="35" borderId="34" xfId="0" applyFont="1" applyFill="1" applyBorder="1" applyAlignment="1">
      <alignment horizontal="center" vertical="center"/>
    </xf>
    <xf numFmtId="0" fontId="63" fillId="26" borderId="118" xfId="0" applyFont="1" applyFill="1" applyBorder="1" applyAlignment="1">
      <alignment horizontal="center" vertical="center"/>
    </xf>
    <xf numFmtId="0" fontId="63" fillId="26" borderId="35" xfId="0" applyFont="1" applyFill="1" applyBorder="1" applyAlignment="1">
      <alignment horizontal="center" vertical="center"/>
    </xf>
    <xf numFmtId="0" fontId="63" fillId="26" borderId="110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76" fillId="0" borderId="118" xfId="0" applyFont="1" applyFill="1" applyBorder="1" applyAlignment="1">
      <alignment horizontal="center" vertical="center"/>
    </xf>
    <xf numFmtId="0" fontId="76" fillId="0" borderId="35" xfId="0" applyFont="1" applyFill="1" applyBorder="1" applyAlignment="1">
      <alignment horizontal="center" vertical="center"/>
    </xf>
    <xf numFmtId="0" fontId="76" fillId="0" borderId="110" xfId="0" applyFont="1" applyFill="1" applyBorder="1" applyAlignment="1">
      <alignment horizontal="center" vertical="center"/>
    </xf>
    <xf numFmtId="0" fontId="6" fillId="21" borderId="98" xfId="0" applyFont="1" applyFill="1" applyBorder="1" applyAlignment="1">
      <alignment horizontal="center" vertical="center"/>
    </xf>
    <xf numFmtId="0" fontId="4" fillId="29" borderId="35" xfId="0" applyFont="1" applyFill="1" applyBorder="1" applyAlignment="1">
      <alignment horizontal="center" vertical="center"/>
    </xf>
    <xf numFmtId="0" fontId="4" fillId="29" borderId="110" xfId="0" applyFont="1" applyFill="1" applyBorder="1" applyAlignment="1">
      <alignment horizontal="center" vertical="center"/>
    </xf>
    <xf numFmtId="0" fontId="6" fillId="35" borderId="96" xfId="0" applyFont="1" applyFill="1" applyBorder="1" applyAlignment="1">
      <alignment horizontal="center" vertical="center"/>
    </xf>
    <xf numFmtId="0" fontId="6" fillId="21" borderId="42" xfId="0" applyFont="1" applyFill="1" applyBorder="1" applyAlignment="1">
      <alignment horizontal="center" vertical="center"/>
    </xf>
    <xf numFmtId="0" fontId="6" fillId="21" borderId="77" xfId="0" applyFont="1" applyFill="1" applyBorder="1" applyAlignment="1">
      <alignment horizontal="center" vertical="center"/>
    </xf>
    <xf numFmtId="0" fontId="6" fillId="21" borderId="157" xfId="0" applyFont="1" applyFill="1" applyBorder="1" applyAlignment="1">
      <alignment horizontal="center" vertical="center"/>
    </xf>
    <xf numFmtId="0" fontId="6" fillId="21" borderId="69" xfId="0" applyFont="1" applyFill="1" applyBorder="1" applyAlignment="1">
      <alignment horizontal="center" vertical="center"/>
    </xf>
    <xf numFmtId="0" fontId="6" fillId="14" borderId="32" xfId="0" applyFont="1" applyFill="1" applyBorder="1" applyAlignment="1">
      <alignment horizontal="center" vertical="center"/>
    </xf>
    <xf numFmtId="0" fontId="6" fillId="14" borderId="33" xfId="0" applyFont="1" applyFill="1" applyBorder="1" applyAlignment="1">
      <alignment horizontal="center" vertical="center"/>
    </xf>
    <xf numFmtId="0" fontId="4" fillId="8" borderId="82" xfId="0" applyFont="1" applyFill="1" applyBorder="1" applyAlignment="1">
      <alignment horizontal="center" vertical="center"/>
    </xf>
    <xf numFmtId="0" fontId="26" fillId="30" borderId="60" xfId="0" applyFont="1" applyFill="1" applyBorder="1" applyAlignment="1">
      <alignment horizontal="center" vertical="center"/>
    </xf>
    <xf numFmtId="0" fontId="8" fillId="21" borderId="60" xfId="0" applyFont="1" applyFill="1" applyBorder="1" applyAlignment="1">
      <alignment horizontal="center" vertical="center"/>
    </xf>
    <xf numFmtId="0" fontId="8" fillId="21" borderId="118" xfId="0" applyFont="1" applyFill="1" applyBorder="1" applyAlignment="1">
      <alignment horizontal="center" vertical="center"/>
    </xf>
    <xf numFmtId="0" fontId="8" fillId="21" borderId="35" xfId="0" applyFont="1" applyFill="1" applyBorder="1" applyAlignment="1">
      <alignment horizontal="center" vertical="center"/>
    </xf>
    <xf numFmtId="0" fontId="8" fillId="21" borderId="110" xfId="0" applyFont="1" applyFill="1" applyBorder="1" applyAlignment="1">
      <alignment horizontal="center" vertical="center"/>
    </xf>
    <xf numFmtId="0" fontId="6" fillId="40" borderId="112" xfId="0" applyFont="1" applyFill="1" applyBorder="1" applyAlignment="1">
      <alignment horizontal="center" vertical="center"/>
    </xf>
    <xf numFmtId="0" fontId="6" fillId="40" borderId="35" xfId="0" applyFont="1" applyFill="1" applyBorder="1" applyAlignment="1">
      <alignment horizontal="center" vertical="center"/>
    </xf>
    <xf numFmtId="0" fontId="26" fillId="8" borderId="198" xfId="0" applyFont="1" applyFill="1" applyBorder="1" applyAlignment="1">
      <alignment horizontal="center" vertical="center"/>
    </xf>
    <xf numFmtId="0" fontId="26" fillId="8" borderId="111" xfId="0" applyFont="1" applyFill="1" applyBorder="1" applyAlignment="1">
      <alignment horizontal="center" vertical="center"/>
    </xf>
    <xf numFmtId="0" fontId="39" fillId="11" borderId="65" xfId="0" applyFont="1" applyFill="1" applyBorder="1" applyAlignment="1">
      <alignment horizontal="center" vertical="center"/>
    </xf>
    <xf numFmtId="0" fontId="39" fillId="11" borderId="33" xfId="0" applyFont="1" applyFill="1" applyBorder="1" applyAlignment="1">
      <alignment horizontal="center" vertical="center"/>
    </xf>
    <xf numFmtId="0" fontId="39" fillId="11" borderId="34" xfId="0" applyFont="1" applyFill="1" applyBorder="1" applyAlignment="1">
      <alignment horizontal="center" vertical="center"/>
    </xf>
    <xf numFmtId="0" fontId="7" fillId="8" borderId="37" xfId="0" applyFont="1" applyFill="1" applyBorder="1" applyAlignment="1">
      <alignment horizontal="center" vertical="center"/>
    </xf>
    <xf numFmtId="0" fontId="7" fillId="8" borderId="90" xfId="0" applyFont="1" applyFill="1" applyBorder="1" applyAlignment="1">
      <alignment horizontal="center" vertical="center"/>
    </xf>
    <xf numFmtId="0" fontId="91" fillId="29" borderId="43" xfId="0" applyFont="1" applyFill="1" applyBorder="1" applyAlignment="1">
      <alignment horizontal="center" vertical="center"/>
    </xf>
    <xf numFmtId="0" fontId="4" fillId="28" borderId="64" xfId="0" applyFont="1" applyFill="1" applyBorder="1" applyAlignment="1">
      <alignment horizontal="center" vertical="center"/>
    </xf>
    <xf numFmtId="0" fontId="4" fillId="56" borderId="5" xfId="0" applyFont="1" applyFill="1" applyBorder="1" applyAlignment="1">
      <alignment horizontal="center" vertical="center"/>
    </xf>
    <xf numFmtId="0" fontId="26" fillId="30" borderId="118" xfId="0" applyFont="1" applyFill="1" applyBorder="1" applyAlignment="1">
      <alignment horizontal="center" vertical="center"/>
    </xf>
    <xf numFmtId="0" fontId="26" fillId="30" borderId="110" xfId="0" applyFont="1" applyFill="1" applyBorder="1" applyAlignment="1">
      <alignment horizontal="center" vertical="center"/>
    </xf>
    <xf numFmtId="0" fontId="4" fillId="8" borderId="72" xfId="0" applyFont="1" applyFill="1" applyBorder="1" applyAlignment="1">
      <alignment horizontal="center" vertical="center"/>
    </xf>
    <xf numFmtId="0" fontId="4" fillId="8" borderId="156" xfId="0" applyFont="1" applyFill="1" applyBorder="1" applyAlignment="1">
      <alignment horizontal="center" vertical="center"/>
    </xf>
    <xf numFmtId="0" fontId="4" fillId="44" borderId="50" xfId="0" applyFont="1" applyFill="1" applyBorder="1" applyAlignment="1">
      <alignment horizontal="center" vertical="center"/>
    </xf>
    <xf numFmtId="0" fontId="6" fillId="5" borderId="80" xfId="0" applyFont="1" applyFill="1" applyBorder="1" applyAlignment="1">
      <alignment horizontal="center" vertical="center"/>
    </xf>
    <xf numFmtId="0" fontId="7" fillId="0" borderId="180" xfId="0" applyFont="1" applyBorder="1" applyAlignment="1">
      <alignment horizontal="center" vertical="center"/>
    </xf>
    <xf numFmtId="0" fontId="7" fillId="0" borderId="182" xfId="0" applyFont="1" applyBorder="1" applyAlignment="1">
      <alignment horizontal="center" vertical="center"/>
    </xf>
    <xf numFmtId="0" fontId="24" fillId="24" borderId="104" xfId="0" applyFont="1" applyFill="1" applyBorder="1" applyAlignment="1">
      <alignment horizontal="center" vertical="center"/>
    </xf>
    <xf numFmtId="0" fontId="4" fillId="43" borderId="191" xfId="0" applyFont="1" applyFill="1" applyBorder="1" applyAlignment="1">
      <alignment horizontal="center" vertical="center"/>
    </xf>
    <xf numFmtId="0" fontId="31" fillId="10" borderId="32" xfId="0" applyFont="1" applyFill="1" applyBorder="1" applyAlignment="1">
      <alignment horizontal="center" vertical="center"/>
    </xf>
    <xf numFmtId="0" fontId="31" fillId="10" borderId="33" xfId="0" applyFont="1" applyFill="1" applyBorder="1" applyAlignment="1">
      <alignment horizontal="center" vertical="center"/>
    </xf>
    <xf numFmtId="0" fontId="31" fillId="23" borderId="37" xfId="0" applyFont="1" applyFill="1" applyBorder="1" applyAlignment="1">
      <alignment horizontal="center" vertical="center"/>
    </xf>
    <xf numFmtId="0" fontId="4" fillId="58" borderId="32" xfId="0" applyFont="1" applyFill="1" applyBorder="1" applyAlignment="1">
      <alignment horizontal="center" vertical="center"/>
    </xf>
    <xf numFmtId="0" fontId="4" fillId="58" borderId="34" xfId="0" applyFont="1" applyFill="1" applyBorder="1" applyAlignment="1">
      <alignment horizontal="center" vertical="center"/>
    </xf>
    <xf numFmtId="0" fontId="35" fillId="37" borderId="35" xfId="0" applyFont="1" applyFill="1" applyBorder="1" applyAlignment="1">
      <alignment horizontal="center" vertical="center"/>
    </xf>
    <xf numFmtId="0" fontId="35" fillId="37" borderId="110" xfId="0" applyFont="1" applyFill="1" applyBorder="1" applyAlignment="1">
      <alignment horizontal="center" vertical="center"/>
    </xf>
    <xf numFmtId="0" fontId="31" fillId="10" borderId="34" xfId="0" applyFont="1" applyFill="1" applyBorder="1" applyAlignment="1">
      <alignment horizontal="center" vertical="center"/>
    </xf>
    <xf numFmtId="0" fontId="6" fillId="14" borderId="111" xfId="0" applyFont="1" applyFill="1" applyBorder="1" applyAlignment="1">
      <alignment horizontal="center" vertical="center"/>
    </xf>
    <xf numFmtId="0" fontId="6" fillId="40" borderId="65" xfId="0" applyFont="1" applyFill="1" applyBorder="1" applyAlignment="1">
      <alignment horizontal="center" vertical="center"/>
    </xf>
    <xf numFmtId="0" fontId="6" fillId="40" borderId="33" xfId="0" applyFont="1" applyFill="1" applyBorder="1" applyAlignment="1">
      <alignment horizontal="center" vertical="center"/>
    </xf>
    <xf numFmtId="0" fontId="4" fillId="8" borderId="112" xfId="0" applyFont="1" applyFill="1" applyBorder="1" applyAlignment="1">
      <alignment horizontal="center" vertical="center"/>
    </xf>
    <xf numFmtId="0" fontId="6" fillId="48" borderId="68" xfId="0" applyFont="1" applyFill="1" applyBorder="1" applyAlignment="1">
      <alignment horizontal="center" vertical="center"/>
    </xf>
    <xf numFmtId="0" fontId="6" fillId="16" borderId="71" xfId="0" applyFont="1" applyFill="1" applyBorder="1" applyAlignment="1">
      <alignment horizontal="center" vertical="center"/>
    </xf>
    <xf numFmtId="0" fontId="26" fillId="8" borderId="131" xfId="0" applyFont="1" applyFill="1" applyBorder="1" applyAlignment="1">
      <alignment horizontal="center" vertical="center"/>
    </xf>
    <xf numFmtId="0" fontId="26" fillId="8" borderId="77" xfId="0" applyFont="1" applyFill="1" applyBorder="1" applyAlignment="1">
      <alignment horizontal="center" vertical="center"/>
    </xf>
    <xf numFmtId="0" fontId="26" fillId="8" borderId="144" xfId="0" applyFont="1" applyFill="1" applyBorder="1" applyAlignment="1">
      <alignment horizontal="center" vertical="center"/>
    </xf>
    <xf numFmtId="0" fontId="31" fillId="10" borderId="5" xfId="0" applyFont="1" applyFill="1" applyBorder="1" applyAlignment="1">
      <alignment horizontal="center" vertical="center"/>
    </xf>
    <xf numFmtId="0" fontId="31" fillId="10" borderId="75" xfId="0" applyFont="1" applyFill="1" applyBorder="1" applyAlignment="1">
      <alignment horizontal="center" vertical="center"/>
    </xf>
    <xf numFmtId="0" fontId="31" fillId="10" borderId="0" xfId="0" applyFont="1" applyFill="1" applyBorder="1" applyAlignment="1">
      <alignment horizontal="center" vertical="center"/>
    </xf>
    <xf numFmtId="0" fontId="4" fillId="8" borderId="75" xfId="0" applyFont="1" applyFill="1" applyBorder="1" applyAlignment="1">
      <alignment horizontal="center" vertical="center"/>
    </xf>
    <xf numFmtId="0" fontId="39" fillId="8" borderId="0" xfId="0" applyFont="1" applyFill="1" applyBorder="1" applyAlignment="1">
      <alignment horizontal="center" vertical="center"/>
    </xf>
    <xf numFmtId="0" fontId="39" fillId="8" borderId="103" xfId="0" applyFont="1" applyFill="1" applyBorder="1" applyAlignment="1">
      <alignment horizontal="center" vertical="center"/>
    </xf>
    <xf numFmtId="0" fontId="31" fillId="10" borderId="55" xfId="0" applyFont="1" applyFill="1" applyBorder="1" applyAlignment="1">
      <alignment horizontal="center" vertical="center"/>
    </xf>
    <xf numFmtId="0" fontId="31" fillId="10" borderId="37" xfId="0" applyFont="1" applyFill="1" applyBorder="1" applyAlignment="1">
      <alignment horizontal="center" vertical="center"/>
    </xf>
    <xf numFmtId="0" fontId="6" fillId="40" borderId="56" xfId="0" applyFont="1" applyFill="1" applyBorder="1" applyAlignment="1">
      <alignment horizontal="center" vertical="center"/>
    </xf>
    <xf numFmtId="0" fontId="6" fillId="40" borderId="57" xfId="0" applyFont="1" applyFill="1" applyBorder="1" applyAlignment="1">
      <alignment horizontal="center" vertical="center"/>
    </xf>
    <xf numFmtId="0" fontId="6" fillId="40" borderId="73" xfId="0" applyFont="1" applyFill="1" applyBorder="1" applyAlignment="1">
      <alignment horizontal="center" vertical="center"/>
    </xf>
    <xf numFmtId="0" fontId="26" fillId="30" borderId="84" xfId="0" applyFont="1" applyFill="1" applyBorder="1" applyAlignment="1">
      <alignment horizontal="center" vertical="center"/>
    </xf>
    <xf numFmtId="0" fontId="26" fillId="30" borderId="85" xfId="0" applyFont="1" applyFill="1" applyBorder="1" applyAlignment="1">
      <alignment horizontal="center" vertical="center"/>
    </xf>
    <xf numFmtId="0" fontId="8" fillId="21" borderId="84" xfId="0" applyFont="1" applyFill="1" applyBorder="1" applyAlignment="1">
      <alignment horizontal="center" vertical="center"/>
    </xf>
    <xf numFmtId="0" fontId="8" fillId="21" borderId="83" xfId="0" applyFont="1" applyFill="1" applyBorder="1" applyAlignment="1">
      <alignment horizontal="center" vertical="center"/>
    </xf>
    <xf numFmtId="0" fontId="8" fillId="21" borderId="85" xfId="0" applyFont="1" applyFill="1" applyBorder="1" applyAlignment="1">
      <alignment horizontal="center" vertical="center"/>
    </xf>
    <xf numFmtId="0" fontId="39" fillId="11" borderId="32" xfId="0" applyFont="1" applyFill="1" applyBorder="1" applyAlignment="1">
      <alignment horizontal="center" vertical="center"/>
    </xf>
    <xf numFmtId="0" fontId="39" fillId="11" borderId="111" xfId="0" applyFont="1" applyFill="1" applyBorder="1" applyAlignment="1">
      <alignment horizontal="center" vertical="center"/>
    </xf>
    <xf numFmtId="0" fontId="0" fillId="32" borderId="143" xfId="0" applyFill="1" applyBorder="1" applyAlignment="1">
      <alignment horizontal="center" vertical="center"/>
    </xf>
    <xf numFmtId="0" fontId="0" fillId="32" borderId="146" xfId="0" applyFill="1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3" borderId="143" xfId="0" applyFill="1" applyBorder="1" applyAlignment="1">
      <alignment horizontal="center" vertical="center"/>
    </xf>
    <xf numFmtId="0" fontId="0" fillId="13" borderId="146" xfId="0" applyFill="1" applyBorder="1" applyAlignment="1">
      <alignment horizontal="center" vertical="center"/>
    </xf>
    <xf numFmtId="0" fontId="0" fillId="13" borderId="145" xfId="0" applyFill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9" fillId="29" borderId="15" xfId="0" applyFont="1" applyFill="1" applyBorder="1" applyAlignment="1">
      <alignment horizontal="center" vertical="center"/>
    </xf>
    <xf numFmtId="0" fontId="9" fillId="29" borderId="31" xfId="0" applyFont="1" applyFill="1" applyBorder="1" applyAlignment="1">
      <alignment horizontal="center" vertical="center"/>
    </xf>
    <xf numFmtId="0" fontId="9" fillId="29" borderId="14" xfId="0" applyFont="1" applyFill="1" applyBorder="1" applyAlignment="1">
      <alignment horizontal="center" vertical="center"/>
    </xf>
    <xf numFmtId="0" fontId="0" fillId="14" borderId="14" xfId="0" applyFill="1" applyBorder="1" applyAlignment="1">
      <alignment horizontal="center"/>
    </xf>
    <xf numFmtId="0" fontId="0" fillId="14" borderId="118" xfId="0" applyFill="1" applyBorder="1" applyAlignment="1">
      <alignment horizontal="center"/>
    </xf>
    <xf numFmtId="0" fontId="9" fillId="29" borderId="5" xfId="0" applyFont="1" applyFill="1" applyBorder="1" applyAlignment="1">
      <alignment horizontal="center" vertical="center"/>
    </xf>
    <xf numFmtId="0" fontId="0" fillId="13" borderId="32" xfId="0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0" fontId="0" fillId="32" borderId="70" xfId="0" applyFill="1" applyBorder="1" applyAlignment="1">
      <alignment horizontal="center" vertical="center"/>
    </xf>
    <xf numFmtId="0" fontId="0" fillId="32" borderId="0" xfId="0" applyFill="1" applyBorder="1" applyAlignment="1">
      <alignment horizontal="center" vertical="center"/>
    </xf>
    <xf numFmtId="0" fontId="0" fillId="32" borderId="77" xfId="0" applyFill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9" fillId="56" borderId="32" xfId="0" applyFont="1" applyFill="1" applyBorder="1" applyAlignment="1">
      <alignment horizontal="center" vertical="center"/>
    </xf>
    <xf numFmtId="0" fontId="49" fillId="56" borderId="33" xfId="0" applyFont="1" applyFill="1" applyBorder="1" applyAlignment="1">
      <alignment horizontal="center" vertical="center"/>
    </xf>
    <xf numFmtId="0" fontId="49" fillId="56" borderId="111" xfId="0" applyFont="1" applyFill="1" applyBorder="1" applyAlignment="1">
      <alignment horizontal="center" vertical="center"/>
    </xf>
    <xf numFmtId="0" fontId="52" fillId="5" borderId="5" xfId="0" applyFont="1" applyFill="1" applyBorder="1" applyAlignment="1">
      <alignment horizontal="center" vertical="center"/>
    </xf>
    <xf numFmtId="0" fontId="52" fillId="5" borderId="32" xfId="0" applyFont="1" applyFill="1" applyBorder="1" applyAlignment="1">
      <alignment horizontal="center" vertical="center"/>
    </xf>
    <xf numFmtId="0" fontId="49" fillId="8" borderId="5" xfId="0" applyFont="1" applyFill="1" applyBorder="1" applyAlignment="1">
      <alignment horizontal="center" vertical="center"/>
    </xf>
    <xf numFmtId="0" fontId="49" fillId="8" borderId="43" xfId="0" applyFont="1" applyFill="1" applyBorder="1" applyAlignment="1">
      <alignment horizontal="center" vertical="center"/>
    </xf>
    <xf numFmtId="0" fontId="49" fillId="56" borderId="5" xfId="0" applyFont="1" applyFill="1" applyBorder="1" applyAlignment="1">
      <alignment horizontal="center" vertical="center"/>
    </xf>
    <xf numFmtId="0" fontId="49" fillId="56" borderId="62" xfId="0" applyFont="1" applyFill="1" applyBorder="1" applyAlignment="1">
      <alignment horizontal="center" vertical="center"/>
    </xf>
    <xf numFmtId="0" fontId="53" fillId="11" borderId="84" xfId="0" applyFont="1" applyFill="1" applyBorder="1" applyAlignment="1">
      <alignment horizontal="left" vertical="center"/>
    </xf>
    <xf numFmtId="0" fontId="53" fillId="11" borderId="83" xfId="0" applyFont="1" applyFill="1" applyBorder="1" applyAlignment="1">
      <alignment horizontal="left" vertical="center"/>
    </xf>
    <xf numFmtId="0" fontId="53" fillId="11" borderId="129" xfId="0" applyFont="1" applyFill="1" applyBorder="1" applyAlignment="1">
      <alignment horizontal="left" vertical="center"/>
    </xf>
    <xf numFmtId="0" fontId="53" fillId="5" borderId="15" xfId="0" applyFont="1" applyFill="1" applyBorder="1" applyAlignment="1">
      <alignment horizontal="center" vertical="center"/>
    </xf>
    <xf numFmtId="0" fontId="53" fillId="5" borderId="55" xfId="0" applyFont="1" applyFill="1" applyBorder="1" applyAlignment="1">
      <alignment horizontal="center" vertical="center"/>
    </xf>
    <xf numFmtId="0" fontId="31" fillId="8" borderId="108" xfId="0" applyFont="1" applyFill="1" applyBorder="1" applyAlignment="1">
      <alignment horizontal="center"/>
    </xf>
    <xf numFmtId="0" fontId="31" fillId="8" borderId="70" xfId="0" applyFont="1" applyFill="1" applyBorder="1" applyAlignment="1">
      <alignment horizontal="center"/>
    </xf>
    <xf numFmtId="0" fontId="31" fillId="8" borderId="139" xfId="0" applyFont="1" applyFill="1" applyBorder="1" applyAlignment="1">
      <alignment horizontal="center"/>
    </xf>
    <xf numFmtId="0" fontId="77" fillId="8" borderId="32" xfId="0" applyFont="1" applyFill="1" applyBorder="1" applyAlignment="1">
      <alignment horizontal="center" vertical="center"/>
    </xf>
    <xf numFmtId="0" fontId="77" fillId="8" borderId="33" xfId="0" applyFont="1" applyFill="1" applyBorder="1" applyAlignment="1">
      <alignment horizontal="center" vertical="center"/>
    </xf>
    <xf numFmtId="0" fontId="77" fillId="8" borderId="34" xfId="0" applyFont="1" applyFill="1" applyBorder="1" applyAlignment="1">
      <alignment horizontal="center" vertical="center"/>
    </xf>
    <xf numFmtId="0" fontId="49" fillId="8" borderId="32" xfId="0" applyFont="1" applyFill="1" applyBorder="1" applyAlignment="1">
      <alignment horizontal="center" vertical="center"/>
    </xf>
    <xf numFmtId="0" fontId="49" fillId="8" borderId="111" xfId="0" applyFont="1" applyFill="1" applyBorder="1" applyAlignment="1">
      <alignment horizontal="center" vertical="center"/>
    </xf>
    <xf numFmtId="0" fontId="53" fillId="7" borderId="65" xfId="0" applyFont="1" applyFill="1" applyBorder="1" applyAlignment="1">
      <alignment horizontal="center" vertical="center"/>
    </xf>
    <xf numFmtId="0" fontId="53" fillId="7" borderId="33" xfId="0" applyFont="1" applyFill="1" applyBorder="1" applyAlignment="1">
      <alignment horizontal="center" vertical="center"/>
    </xf>
    <xf numFmtId="0" fontId="53" fillId="7" borderId="34" xfId="0" applyFont="1" applyFill="1" applyBorder="1" applyAlignment="1">
      <alignment horizontal="center" vertical="center"/>
    </xf>
    <xf numFmtId="0" fontId="49" fillId="8" borderId="56" xfId="0" applyFont="1" applyFill="1" applyBorder="1" applyAlignment="1">
      <alignment horizontal="center" vertical="center"/>
    </xf>
    <xf numFmtId="0" fontId="49" fillId="8" borderId="57" xfId="0" applyFont="1" applyFill="1" applyBorder="1" applyAlignment="1">
      <alignment horizontal="center" vertical="center"/>
    </xf>
    <xf numFmtId="0" fontId="49" fillId="8" borderId="73" xfId="0" applyFont="1" applyFill="1" applyBorder="1" applyAlignment="1">
      <alignment horizontal="center" vertical="center"/>
    </xf>
    <xf numFmtId="0" fontId="77" fillId="11" borderId="32" xfId="0" applyFont="1" applyFill="1" applyBorder="1" applyAlignment="1">
      <alignment horizontal="left" vertical="center"/>
    </xf>
    <xf numFmtId="0" fontId="77" fillId="11" borderId="33" xfId="0" applyFont="1" applyFill="1" applyBorder="1" applyAlignment="1">
      <alignment horizontal="left" vertical="center"/>
    </xf>
    <xf numFmtId="0" fontId="77" fillId="11" borderId="111" xfId="0" applyFont="1" applyFill="1" applyBorder="1" applyAlignment="1">
      <alignment horizontal="left" vertical="center"/>
    </xf>
    <xf numFmtId="0" fontId="49" fillId="8" borderId="68" xfId="0" applyFont="1" applyFill="1" applyBorder="1" applyAlignment="1">
      <alignment horizontal="center" vertical="center"/>
    </xf>
    <xf numFmtId="0" fontId="49" fillId="8" borderId="64" xfId="0" applyFont="1" applyFill="1" applyBorder="1" applyAlignment="1">
      <alignment horizontal="center" vertical="center"/>
    </xf>
    <xf numFmtId="0" fontId="31" fillId="8" borderId="5" xfId="0" applyFont="1" applyFill="1" applyBorder="1" applyAlignment="1">
      <alignment horizontal="center" vertical="center" wrapText="1"/>
    </xf>
    <xf numFmtId="0" fontId="49" fillId="8" borderId="33" xfId="0" applyFont="1" applyFill="1" applyBorder="1" applyAlignment="1">
      <alignment horizontal="center" vertical="center"/>
    </xf>
    <xf numFmtId="0" fontId="49" fillId="8" borderId="34" xfId="0" applyFont="1" applyFill="1" applyBorder="1" applyAlignment="1">
      <alignment horizontal="center" vertical="center"/>
    </xf>
    <xf numFmtId="0" fontId="49" fillId="8" borderId="150" xfId="0" applyFont="1" applyFill="1" applyBorder="1" applyAlignment="1">
      <alignment horizontal="center" vertical="center"/>
    </xf>
    <xf numFmtId="0" fontId="77" fillId="8" borderId="35" xfId="0" applyFont="1" applyFill="1" applyBorder="1" applyAlignment="1">
      <alignment horizontal="center" vertical="center"/>
    </xf>
    <xf numFmtId="0" fontId="77" fillId="8" borderId="110" xfId="0" applyFont="1" applyFill="1" applyBorder="1" applyAlignment="1">
      <alignment horizontal="center" vertical="center"/>
    </xf>
    <xf numFmtId="0" fontId="26" fillId="23" borderId="52" xfId="0" applyFont="1" applyFill="1" applyBorder="1" applyAlignment="1">
      <alignment horizontal="center" vertical="center"/>
    </xf>
    <xf numFmtId="0" fontId="26" fillId="23" borderId="57" xfId="0" applyFont="1" applyFill="1" applyBorder="1" applyAlignment="1">
      <alignment horizontal="center" vertical="center"/>
    </xf>
    <xf numFmtId="0" fontId="26" fillId="23" borderId="53" xfId="0" applyFont="1" applyFill="1" applyBorder="1" applyAlignment="1">
      <alignment horizontal="center" vertical="center"/>
    </xf>
    <xf numFmtId="0" fontId="26" fillId="23" borderId="32" xfId="0" applyFont="1" applyFill="1" applyBorder="1" applyAlignment="1">
      <alignment horizontal="center"/>
    </xf>
    <xf numFmtId="0" fontId="26" fillId="23" borderId="33" xfId="0" applyFont="1" applyFill="1" applyBorder="1" applyAlignment="1">
      <alignment horizontal="center"/>
    </xf>
    <xf numFmtId="0" fontId="49" fillId="8" borderId="52" xfId="0" applyFont="1" applyFill="1" applyBorder="1" applyAlignment="1">
      <alignment horizontal="center" vertical="center"/>
    </xf>
    <xf numFmtId="0" fontId="53" fillId="5" borderId="32" xfId="0" applyFont="1" applyFill="1" applyBorder="1" applyAlignment="1">
      <alignment horizontal="center" vertical="center"/>
    </xf>
    <xf numFmtId="0" fontId="53" fillId="5" borderId="33" xfId="0" applyFont="1" applyFill="1" applyBorder="1" applyAlignment="1">
      <alignment horizontal="center" vertical="center"/>
    </xf>
    <xf numFmtId="0" fontId="53" fillId="5" borderId="34" xfId="0" applyFont="1" applyFill="1" applyBorder="1" applyAlignment="1">
      <alignment horizontal="center" vertical="center"/>
    </xf>
    <xf numFmtId="0" fontId="50" fillId="0" borderId="180" xfId="0" applyFont="1" applyBorder="1" applyAlignment="1">
      <alignment horizontal="center" wrapText="1"/>
    </xf>
    <xf numFmtId="0" fontId="50" fillId="0" borderId="126" xfId="0" applyFont="1" applyBorder="1" applyAlignment="1">
      <alignment horizontal="center" wrapText="1"/>
    </xf>
    <xf numFmtId="0" fontId="50" fillId="0" borderId="193" xfId="0" applyFont="1" applyBorder="1" applyAlignment="1">
      <alignment horizontal="center" wrapText="1"/>
    </xf>
    <xf numFmtId="0" fontId="53" fillId="5" borderId="79" xfId="0" applyFont="1" applyFill="1" applyBorder="1" applyAlignment="1">
      <alignment horizontal="center" vertical="center"/>
    </xf>
    <xf numFmtId="0" fontId="50" fillId="0" borderId="48" xfId="0" applyFont="1" applyBorder="1" applyAlignment="1">
      <alignment horizontal="center" vertical="center"/>
    </xf>
    <xf numFmtId="0" fontId="92" fillId="8" borderId="35" xfId="0" applyFont="1" applyFill="1" applyBorder="1" applyAlignment="1">
      <alignment horizontal="center" vertical="center"/>
    </xf>
    <xf numFmtId="0" fontId="50" fillId="8" borderId="35" xfId="0" applyFont="1" applyFill="1" applyBorder="1" applyAlignment="1">
      <alignment horizontal="center" vertical="center"/>
    </xf>
    <xf numFmtId="0" fontId="50" fillId="8" borderId="110" xfId="0" applyFont="1" applyFill="1" applyBorder="1" applyAlignment="1">
      <alignment horizontal="center" vertical="center"/>
    </xf>
    <xf numFmtId="0" fontId="50" fillId="0" borderId="28" xfId="0" applyFont="1" applyBorder="1" applyAlignment="1">
      <alignment horizontal="center" vertical="center"/>
    </xf>
    <xf numFmtId="0" fontId="50" fillId="0" borderId="25" xfId="0" applyFont="1" applyBorder="1" applyAlignment="1">
      <alignment horizontal="center" vertical="center"/>
    </xf>
    <xf numFmtId="0" fontId="26" fillId="23" borderId="75" xfId="0" applyFont="1" applyFill="1" applyBorder="1" applyAlignment="1">
      <alignment horizontal="center" vertical="center"/>
    </xf>
    <xf numFmtId="0" fontId="26" fillId="23" borderId="0" xfId="0" applyFont="1" applyFill="1" applyBorder="1" applyAlignment="1">
      <alignment horizontal="center" vertical="center"/>
    </xf>
    <xf numFmtId="0" fontId="50" fillId="0" borderId="104" xfId="0" applyFont="1" applyBorder="1" applyAlignment="1">
      <alignment horizontal="center" vertical="center"/>
    </xf>
    <xf numFmtId="0" fontId="26" fillId="23" borderId="5" xfId="0" applyFont="1" applyFill="1" applyBorder="1" applyAlignment="1">
      <alignment horizontal="center" vertical="center"/>
    </xf>
    <xf numFmtId="0" fontId="50" fillId="0" borderId="121" xfId="0" applyFont="1" applyBorder="1" applyAlignment="1">
      <alignment horizontal="center" vertical="center"/>
    </xf>
    <xf numFmtId="0" fontId="49" fillId="8" borderId="91" xfId="0" applyFont="1" applyFill="1" applyBorder="1" applyAlignment="1">
      <alignment horizontal="center" vertical="center"/>
    </xf>
    <xf numFmtId="0" fontId="49" fillId="8" borderId="14" xfId="0" applyFont="1" applyFill="1" applyBorder="1" applyAlignment="1">
      <alignment horizontal="center" vertical="center"/>
    </xf>
    <xf numFmtId="0" fontId="26" fillId="23" borderId="32" xfId="0" applyFont="1" applyFill="1" applyBorder="1" applyAlignment="1">
      <alignment horizontal="center" vertical="center"/>
    </xf>
    <xf numFmtId="0" fontId="26" fillId="23" borderId="33" xfId="0" applyFont="1" applyFill="1" applyBorder="1" applyAlignment="1">
      <alignment horizontal="center" vertical="center"/>
    </xf>
    <xf numFmtId="0" fontId="26" fillId="23" borderId="34" xfId="0" applyFont="1" applyFill="1" applyBorder="1" applyAlignment="1">
      <alignment horizontal="center" vertical="center"/>
    </xf>
    <xf numFmtId="0" fontId="50" fillId="0" borderId="97" xfId="0" applyFont="1" applyBorder="1" applyAlignment="1">
      <alignment horizontal="center" vertical="center"/>
    </xf>
    <xf numFmtId="0" fontId="49" fillId="8" borderId="98" xfId="0" applyFont="1" applyFill="1" applyBorder="1" applyAlignment="1">
      <alignment horizontal="center" vertical="center"/>
    </xf>
    <xf numFmtId="0" fontId="49" fillId="8" borderId="83" xfId="0" applyFont="1" applyFill="1" applyBorder="1" applyAlignment="1">
      <alignment horizontal="center" vertical="center"/>
    </xf>
    <xf numFmtId="0" fontId="50" fillId="0" borderId="94" xfId="0" applyFont="1" applyBorder="1" applyAlignment="1">
      <alignment horizontal="center" vertical="center"/>
    </xf>
    <xf numFmtId="0" fontId="30" fillId="24" borderId="133" xfId="0" applyFont="1" applyFill="1" applyBorder="1" applyAlignment="1">
      <alignment horizontal="center" vertical="center"/>
    </xf>
    <xf numFmtId="0" fontId="49" fillId="28" borderId="64" xfId="0" applyFont="1" applyFill="1" applyBorder="1" applyAlignment="1">
      <alignment horizontal="center" vertical="center"/>
    </xf>
    <xf numFmtId="0" fontId="49" fillId="28" borderId="5" xfId="0" applyFont="1" applyFill="1" applyBorder="1" applyAlignment="1">
      <alignment horizontal="center" vertical="center"/>
    </xf>
    <xf numFmtId="0" fontId="49" fillId="28" borderId="32" xfId="0" applyFont="1" applyFill="1" applyBorder="1" applyAlignment="1">
      <alignment horizontal="center" vertical="center"/>
    </xf>
    <xf numFmtId="0" fontId="53" fillId="37" borderId="112" xfId="0" applyFont="1" applyFill="1" applyBorder="1" applyAlignment="1">
      <alignment horizontal="center" vertical="center"/>
    </xf>
    <xf numFmtId="0" fontId="53" fillId="21" borderId="64" xfId="0" applyFont="1" applyFill="1" applyBorder="1" applyAlignment="1">
      <alignment horizontal="center" vertical="center"/>
    </xf>
    <xf numFmtId="0" fontId="53" fillId="21" borderId="5" xfId="0" applyFont="1" applyFill="1" applyBorder="1" applyAlignment="1">
      <alignment horizontal="center" vertical="center"/>
    </xf>
    <xf numFmtId="0" fontId="53" fillId="21" borderId="32" xfId="0" applyFont="1" applyFill="1" applyBorder="1" applyAlignment="1">
      <alignment horizontal="center" vertical="center"/>
    </xf>
    <xf numFmtId="0" fontId="49" fillId="25" borderId="32" xfId="0" applyFont="1" applyFill="1" applyBorder="1" applyAlignment="1">
      <alignment horizontal="center" vertical="center"/>
    </xf>
    <xf numFmtId="0" fontId="49" fillId="35" borderId="148" xfId="0" applyFont="1" applyFill="1" applyBorder="1" applyAlignment="1">
      <alignment horizontal="center" vertical="center"/>
    </xf>
    <xf numFmtId="0" fontId="49" fillId="42" borderId="4" xfId="0" applyFont="1" applyFill="1" applyBorder="1" applyAlignment="1">
      <alignment horizontal="center" vertical="center"/>
    </xf>
    <xf numFmtId="0" fontId="49" fillId="26" borderId="50" xfId="0" applyFont="1" applyFill="1" applyBorder="1" applyAlignment="1">
      <alignment horizontal="center" vertical="center"/>
    </xf>
    <xf numFmtId="0" fontId="49" fillId="43" borderId="4" xfId="0" applyFont="1" applyFill="1" applyBorder="1" applyAlignment="1">
      <alignment horizontal="center" vertical="center"/>
    </xf>
    <xf numFmtId="0" fontId="49" fillId="43" borderId="136" xfId="0" applyFont="1" applyFill="1" applyBorder="1" applyAlignment="1">
      <alignment horizontal="center" vertical="center"/>
    </xf>
    <xf numFmtId="0" fontId="53" fillId="38" borderId="65" xfId="0" applyFont="1" applyFill="1" applyBorder="1" applyAlignment="1">
      <alignment horizontal="center" vertical="center"/>
    </xf>
    <xf numFmtId="0" fontId="53" fillId="38" borderId="33" xfId="0" applyFont="1" applyFill="1" applyBorder="1" applyAlignment="1">
      <alignment horizontal="center" vertical="center"/>
    </xf>
    <xf numFmtId="0" fontId="53" fillId="16" borderId="58" xfId="0" applyFont="1" applyFill="1" applyBorder="1" applyAlignment="1">
      <alignment horizontal="center" vertical="center"/>
    </xf>
    <xf numFmtId="0" fontId="49" fillId="40" borderId="50" xfId="0" applyFont="1" applyFill="1" applyBorder="1" applyAlignment="1">
      <alignment horizontal="center" vertical="center"/>
    </xf>
    <xf numFmtId="0" fontId="49" fillId="40" borderId="4" xfId="0" applyFont="1" applyFill="1" applyBorder="1" applyAlignment="1">
      <alignment horizontal="center" vertical="center"/>
    </xf>
    <xf numFmtId="0" fontId="53" fillId="17" borderId="50" xfId="0" applyFont="1" applyFill="1" applyBorder="1" applyAlignment="1">
      <alignment horizontal="center" vertical="center"/>
    </xf>
    <xf numFmtId="0" fontId="49" fillId="22" borderId="78" xfId="0" applyFont="1" applyFill="1" applyBorder="1" applyAlignment="1">
      <alignment horizontal="center" vertical="center"/>
    </xf>
    <xf numFmtId="0" fontId="49" fillId="22" borderId="60" xfId="0" applyFont="1" applyFill="1" applyBorder="1" applyAlignment="1">
      <alignment horizontal="center" vertical="center"/>
    </xf>
    <xf numFmtId="0" fontId="49" fillId="22" borderId="84" xfId="0" applyFont="1" applyFill="1" applyBorder="1" applyAlignment="1">
      <alignment horizontal="center" vertical="center"/>
    </xf>
    <xf numFmtId="0" fontId="53" fillId="13" borderId="65" xfId="0" applyFont="1" applyFill="1" applyBorder="1" applyAlignment="1">
      <alignment horizontal="center" vertical="center"/>
    </xf>
    <xf numFmtId="0" fontId="49" fillId="14" borderId="65" xfId="0" applyFont="1" applyFill="1" applyBorder="1" applyAlignment="1">
      <alignment horizontal="center" vertical="center"/>
    </xf>
    <xf numFmtId="0" fontId="49" fillId="14" borderId="33" xfId="0" applyFont="1" applyFill="1" applyBorder="1" applyAlignment="1">
      <alignment horizontal="center" vertical="center"/>
    </xf>
    <xf numFmtId="0" fontId="49" fillId="14" borderId="34" xfId="0" applyFont="1" applyFill="1" applyBorder="1" applyAlignment="1">
      <alignment horizontal="center" vertical="center"/>
    </xf>
    <xf numFmtId="0" fontId="96" fillId="18" borderId="84" xfId="0" applyFont="1" applyFill="1" applyBorder="1" applyAlignment="1">
      <alignment horizontal="center" vertical="center"/>
    </xf>
    <xf numFmtId="0" fontId="96" fillId="18" borderId="83" xfId="0" applyFont="1" applyFill="1" applyBorder="1" applyAlignment="1">
      <alignment horizontal="center" vertical="center"/>
    </xf>
    <xf numFmtId="0" fontId="96" fillId="18" borderId="85" xfId="0" applyFont="1" applyFill="1" applyBorder="1" applyAlignment="1">
      <alignment horizontal="center" vertical="center"/>
    </xf>
    <xf numFmtId="0" fontId="26" fillId="23" borderId="90" xfId="0" applyFont="1" applyFill="1" applyBorder="1" applyAlignment="1">
      <alignment horizontal="center" vertical="center"/>
    </xf>
    <xf numFmtId="0" fontId="31" fillId="23" borderId="32" xfId="0" applyFont="1" applyFill="1" applyBorder="1" applyAlignment="1">
      <alignment horizontal="center" vertical="center"/>
    </xf>
    <xf numFmtId="0" fontId="31" fillId="23" borderId="33" xfId="0" applyFont="1" applyFill="1" applyBorder="1" applyAlignment="1">
      <alignment horizontal="center" vertical="center"/>
    </xf>
    <xf numFmtId="0" fontId="53" fillId="38" borderId="90" xfId="0" applyFont="1" applyFill="1" applyBorder="1" applyAlignment="1">
      <alignment horizontal="center" vertical="center"/>
    </xf>
    <xf numFmtId="0" fontId="50" fillId="8" borderId="118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/>
    </xf>
    <xf numFmtId="0" fontId="10" fillId="8" borderId="33" xfId="0" applyFont="1" applyFill="1" applyBorder="1" applyAlignment="1">
      <alignment horizontal="center"/>
    </xf>
    <xf numFmtId="0" fontId="10" fillId="8" borderId="37" xfId="0" applyFont="1" applyFill="1" applyBorder="1" applyAlignment="1">
      <alignment horizontal="center"/>
    </xf>
    <xf numFmtId="0" fontId="10" fillId="8" borderId="90" xfId="0" applyFont="1" applyFill="1" applyBorder="1" applyAlignment="1">
      <alignment horizontal="center"/>
    </xf>
    <xf numFmtId="0" fontId="53" fillId="13" borderId="32" xfId="0" applyFont="1" applyFill="1" applyBorder="1" applyAlignment="1">
      <alignment horizontal="center" vertical="center"/>
    </xf>
    <xf numFmtId="0" fontId="53" fillId="13" borderId="33" xfId="0" applyFont="1" applyFill="1" applyBorder="1" applyAlignment="1">
      <alignment horizontal="center" vertical="center"/>
    </xf>
    <xf numFmtId="0" fontId="53" fillId="13" borderId="34" xfId="0" applyFont="1" applyFill="1" applyBorder="1" applyAlignment="1">
      <alignment horizontal="center" vertical="center"/>
    </xf>
    <xf numFmtId="0" fontId="53" fillId="37" borderId="118" xfId="0" applyFont="1" applyFill="1" applyBorder="1" applyAlignment="1">
      <alignment horizontal="center" vertical="center"/>
    </xf>
    <xf numFmtId="0" fontId="53" fillId="37" borderId="35" xfId="0" applyFont="1" applyFill="1" applyBorder="1" applyAlignment="1">
      <alignment horizontal="center" vertical="center"/>
    </xf>
    <xf numFmtId="0" fontId="53" fillId="37" borderId="110" xfId="0" applyFont="1" applyFill="1" applyBorder="1" applyAlignment="1">
      <alignment horizontal="center" vertical="center"/>
    </xf>
    <xf numFmtId="0" fontId="4" fillId="0" borderId="7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8" borderId="56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38" xfId="0" applyFill="1" applyBorder="1" applyAlignment="1">
      <alignment horizontal="center"/>
    </xf>
    <xf numFmtId="0" fontId="116" fillId="67" borderId="32" xfId="0" applyFont="1" applyFill="1" applyBorder="1" applyAlignment="1">
      <alignment horizontal="center" vertical="center"/>
    </xf>
    <xf numFmtId="0" fontId="116" fillId="67" borderId="33" xfId="0" applyFont="1" applyFill="1" applyBorder="1" applyAlignment="1">
      <alignment horizontal="center" vertical="center"/>
    </xf>
    <xf numFmtId="0" fontId="116" fillId="67" borderId="34" xfId="0" applyFont="1" applyFill="1" applyBorder="1" applyAlignment="1">
      <alignment horizontal="center" vertical="center"/>
    </xf>
    <xf numFmtId="0" fontId="4" fillId="62" borderId="5" xfId="0" applyFont="1" applyFill="1" applyBorder="1" applyAlignment="1">
      <alignment horizontal="center" vertical="center"/>
    </xf>
    <xf numFmtId="0" fontId="39" fillId="62" borderId="62" xfId="0" applyFont="1" applyFill="1" applyBorder="1" applyAlignment="1">
      <alignment horizontal="center" vertical="center"/>
    </xf>
    <xf numFmtId="0" fontId="7" fillId="8" borderId="60" xfId="0" applyFont="1" applyFill="1" applyBorder="1" applyAlignment="1">
      <alignment horizontal="center" vertical="center"/>
    </xf>
    <xf numFmtId="0" fontId="7" fillId="8" borderId="61" xfId="0" applyFont="1" applyFill="1" applyBorder="1" applyAlignment="1">
      <alignment horizontal="center" vertical="center"/>
    </xf>
    <xf numFmtId="0" fontId="7" fillId="7" borderId="78" xfId="0" applyFont="1" applyFill="1" applyBorder="1" applyAlignment="1">
      <alignment horizontal="center" vertical="center"/>
    </xf>
    <xf numFmtId="0" fontId="7" fillId="7" borderId="60" xfId="0" applyFont="1" applyFill="1" applyBorder="1" applyAlignment="1">
      <alignment horizontal="center" vertical="center"/>
    </xf>
    <xf numFmtId="0" fontId="7" fillId="7" borderId="61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43" xfId="0" applyFont="1" applyFill="1" applyBorder="1" applyAlignment="1">
      <alignment horizontal="center" vertical="center"/>
    </xf>
    <xf numFmtId="0" fontId="39" fillId="8" borderId="55" xfId="0" applyFont="1" applyFill="1" applyBorder="1" applyAlignment="1">
      <alignment horizontal="center" vertical="center"/>
    </xf>
    <xf numFmtId="0" fontId="4" fillId="0" borderId="69" xfId="0" applyFont="1" applyBorder="1" applyAlignment="1">
      <alignment horizontal="center" vertical="center"/>
    </xf>
    <xf numFmtId="0" fontId="4" fillId="0" borderId="117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104" xfId="0" applyFont="1" applyBorder="1" applyAlignment="1">
      <alignment horizontal="center" vertical="center"/>
    </xf>
    <xf numFmtId="0" fontId="4" fillId="42" borderId="50" xfId="0" applyFont="1" applyFill="1" applyBorder="1" applyAlignment="1">
      <alignment horizontal="center" vertical="center"/>
    </xf>
    <xf numFmtId="0" fontId="4" fillId="42" borderId="136" xfId="0" applyFont="1" applyFill="1" applyBorder="1" applyAlignment="1">
      <alignment horizontal="center" vertical="center"/>
    </xf>
    <xf numFmtId="0" fontId="4" fillId="7" borderId="50" xfId="0" applyFont="1" applyFill="1" applyBorder="1" applyAlignment="1">
      <alignment horizontal="center" vertical="center"/>
    </xf>
    <xf numFmtId="0" fontId="4" fillId="7" borderId="153" xfId="0" applyFont="1" applyFill="1" applyBorder="1" applyAlignment="1">
      <alignment horizontal="center" vertical="center"/>
    </xf>
    <xf numFmtId="0" fontId="4" fillId="22" borderId="61" xfId="0" applyFont="1" applyFill="1" applyBorder="1" applyAlignment="1">
      <alignment horizontal="center" vertical="center"/>
    </xf>
    <xf numFmtId="0" fontId="4" fillId="44" borderId="65" xfId="0" applyFont="1" applyFill="1" applyBorder="1" applyAlignment="1">
      <alignment horizontal="center" vertical="center"/>
    </xf>
    <xf numFmtId="0" fontId="4" fillId="44" borderId="33" xfId="0" applyFont="1" applyFill="1" applyBorder="1" applyAlignment="1">
      <alignment horizontal="center" vertical="center"/>
    </xf>
    <xf numFmtId="0" fontId="4" fillId="44" borderId="111" xfId="0" applyFont="1" applyFill="1" applyBorder="1" applyAlignment="1">
      <alignment horizontal="center" vertical="center"/>
    </xf>
    <xf numFmtId="0" fontId="4" fillId="43" borderId="50" xfId="0" applyFont="1" applyFill="1" applyBorder="1" applyAlignment="1">
      <alignment horizontal="center" vertical="center"/>
    </xf>
    <xf numFmtId="0" fontId="6" fillId="5" borderId="67" xfId="0" applyFont="1" applyFill="1" applyBorder="1" applyAlignment="1">
      <alignment horizontal="center" vertical="center"/>
    </xf>
    <xf numFmtId="0" fontId="7" fillId="8" borderId="31" xfId="0" applyFont="1" applyFill="1" applyBorder="1" applyAlignment="1">
      <alignment horizontal="center" vertical="center"/>
    </xf>
    <xf numFmtId="0" fontId="39" fillId="8" borderId="60" xfId="0" applyFont="1" applyFill="1" applyBorder="1" applyAlignment="1">
      <alignment horizontal="center" vertical="center"/>
    </xf>
    <xf numFmtId="0" fontId="6" fillId="37" borderId="122" xfId="0" applyFont="1" applyFill="1" applyBorder="1" applyAlignment="1">
      <alignment horizontal="center" vertical="center"/>
    </xf>
    <xf numFmtId="0" fontId="6" fillId="38" borderId="111" xfId="0" applyFont="1" applyFill="1" applyBorder="1" applyAlignment="1">
      <alignment horizontal="center" vertical="center"/>
    </xf>
    <xf numFmtId="0" fontId="6" fillId="40" borderId="136" xfId="0" applyFont="1" applyFill="1" applyBorder="1" applyAlignment="1">
      <alignment horizontal="center" vertical="center"/>
    </xf>
    <xf numFmtId="0" fontId="6" fillId="13" borderId="65" xfId="0" applyFont="1" applyFill="1" applyBorder="1" applyAlignment="1">
      <alignment horizontal="center" vertical="center"/>
    </xf>
    <xf numFmtId="0" fontId="6" fillId="13" borderId="119" xfId="0" applyFont="1" applyFill="1" applyBorder="1" applyAlignment="1">
      <alignment horizontal="center" vertical="center"/>
    </xf>
    <xf numFmtId="0" fontId="31" fillId="10" borderId="65" xfId="0" applyFont="1" applyFill="1" applyBorder="1" applyAlignment="1">
      <alignment horizontal="center" vertical="center"/>
    </xf>
    <xf numFmtId="0" fontId="31" fillId="10" borderId="111" xfId="0" applyFont="1" applyFill="1" applyBorder="1" applyAlignment="1">
      <alignment horizontal="center" vertical="center"/>
    </xf>
    <xf numFmtId="0" fontId="31" fillId="23" borderId="66" xfId="0" applyFont="1" applyFill="1" applyBorder="1" applyAlignment="1">
      <alignment horizontal="center" vertical="center"/>
    </xf>
    <xf numFmtId="0" fontId="31" fillId="23" borderId="159" xfId="0" applyFont="1" applyFill="1" applyBorder="1" applyAlignment="1">
      <alignment horizontal="center" vertical="center"/>
    </xf>
    <xf numFmtId="0" fontId="6" fillId="25" borderId="62" xfId="0" applyFont="1" applyFill="1" applyBorder="1" applyAlignment="1">
      <alignment horizontal="center" vertical="center"/>
    </xf>
    <xf numFmtId="0" fontId="6" fillId="35" borderId="163" xfId="0" applyFont="1" applyFill="1" applyBorder="1" applyAlignment="1">
      <alignment horizontal="center" vertical="center"/>
    </xf>
    <xf numFmtId="0" fontId="6" fillId="35" borderId="205" xfId="0" applyFont="1" applyFill="1" applyBorder="1" applyAlignment="1">
      <alignment horizontal="center" vertical="center"/>
    </xf>
    <xf numFmtId="0" fontId="6" fillId="16" borderId="152" xfId="0" applyFont="1" applyFill="1" applyBorder="1" applyAlignment="1">
      <alignment horizontal="center" vertical="center"/>
    </xf>
    <xf numFmtId="0" fontId="6" fillId="17" borderId="153" xfId="0" applyFont="1" applyFill="1" applyBorder="1" applyAlignment="1">
      <alignment horizontal="center" vertical="center"/>
    </xf>
    <xf numFmtId="0" fontId="4" fillId="22" borderId="91" xfId="0" applyFont="1" applyFill="1" applyBorder="1" applyAlignment="1">
      <alignment horizontal="center" vertical="center"/>
    </xf>
    <xf numFmtId="0" fontId="7" fillId="14" borderId="32" xfId="0" applyFont="1" applyFill="1" applyBorder="1" applyAlignment="1">
      <alignment horizontal="center" vertical="center"/>
    </xf>
    <xf numFmtId="0" fontId="7" fillId="14" borderId="33" xfId="0" applyFont="1" applyFill="1" applyBorder="1" applyAlignment="1">
      <alignment horizontal="center" vertical="center"/>
    </xf>
    <xf numFmtId="0" fontId="7" fillId="14" borderId="34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03" xfId="0" applyFont="1" applyFill="1" applyBorder="1" applyAlignment="1">
      <alignment horizontal="center" vertical="center"/>
    </xf>
    <xf numFmtId="0" fontId="13" fillId="2" borderId="58" xfId="0" applyFont="1" applyFill="1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13" fillId="2" borderId="203" xfId="0" applyFont="1" applyFill="1" applyBorder="1" applyAlignment="1">
      <alignment horizontal="center" vertical="center"/>
    </xf>
    <xf numFmtId="0" fontId="13" fillId="2" borderId="50" xfId="0" applyFont="1" applyFill="1" applyBorder="1" applyAlignment="1">
      <alignment horizontal="center" vertical="center"/>
    </xf>
    <xf numFmtId="0" fontId="13" fillId="2" borderId="204" xfId="0" applyFont="1" applyFill="1" applyBorder="1" applyAlignment="1">
      <alignment horizontal="center" vertical="center"/>
    </xf>
    <xf numFmtId="0" fontId="13" fillId="2" borderId="63" xfId="0" applyFont="1" applyFill="1" applyBorder="1" applyAlignment="1">
      <alignment horizontal="center" vertical="center"/>
    </xf>
    <xf numFmtId="0" fontId="13" fillId="2" borderId="197" xfId="0" applyFont="1" applyFill="1" applyBorder="1" applyAlignment="1">
      <alignment horizontal="center" vertical="center"/>
    </xf>
    <xf numFmtId="0" fontId="24" fillId="24" borderId="115" xfId="0" applyFont="1" applyFill="1" applyBorder="1" applyAlignment="1">
      <alignment horizontal="center" vertical="center"/>
    </xf>
    <xf numFmtId="49" fontId="13" fillId="2" borderId="83" xfId="0" applyNumberFormat="1" applyFont="1" applyFill="1" applyBorder="1" applyAlignment="1">
      <alignment horizontal="center" vertical="center"/>
    </xf>
    <xf numFmtId="49" fontId="13" fillId="2" borderId="129" xfId="0" applyNumberFormat="1" applyFont="1" applyFill="1" applyBorder="1" applyAlignment="1">
      <alignment horizontal="center" vertical="center"/>
    </xf>
    <xf numFmtId="0" fontId="4" fillId="36" borderId="84" xfId="0" applyFont="1" applyFill="1" applyBorder="1" applyAlignment="1">
      <alignment horizontal="center" vertical="center"/>
    </xf>
    <xf numFmtId="0" fontId="4" fillId="36" borderId="83" xfId="0" applyFont="1" applyFill="1" applyBorder="1" applyAlignment="1">
      <alignment horizontal="center" vertical="center"/>
    </xf>
    <xf numFmtId="0" fontId="4" fillId="36" borderId="129" xfId="0" applyFont="1" applyFill="1" applyBorder="1" applyAlignment="1">
      <alignment horizontal="center" vertical="center"/>
    </xf>
    <xf numFmtId="0" fontId="6" fillId="36" borderId="32" xfId="0" applyFont="1" applyFill="1" applyBorder="1" applyAlignment="1">
      <alignment horizontal="center" vertical="center"/>
    </xf>
    <xf numFmtId="0" fontId="6" fillId="36" borderId="33" xfId="0" applyFont="1" applyFill="1" applyBorder="1" applyAlignment="1">
      <alignment horizontal="center" vertical="center"/>
    </xf>
    <xf numFmtId="0" fontId="6" fillId="36" borderId="111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7" fillId="8" borderId="55" xfId="0" applyFont="1" applyFill="1" applyBorder="1" applyAlignment="1">
      <alignment horizontal="center" vertical="center"/>
    </xf>
    <xf numFmtId="0" fontId="7" fillId="8" borderId="159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15" xfId="0" applyFont="1" applyFill="1" applyBorder="1" applyAlignment="1">
      <alignment horizontal="center" vertical="center"/>
    </xf>
    <xf numFmtId="0" fontId="4" fillId="8" borderId="44" xfId="0" applyFont="1" applyFill="1" applyBorder="1" applyAlignment="1">
      <alignment horizontal="center" vertical="center"/>
    </xf>
    <xf numFmtId="0" fontId="7" fillId="7" borderId="64" xfId="0" applyFont="1" applyFill="1" applyBorder="1" applyAlignment="1">
      <alignment horizontal="center" vertical="center"/>
    </xf>
    <xf numFmtId="0" fontId="7" fillId="7" borderId="62" xfId="0" applyFont="1" applyFill="1" applyBorder="1" applyAlignment="1">
      <alignment horizontal="center" vertical="center"/>
    </xf>
    <xf numFmtId="0" fontId="7" fillId="7" borderId="79" xfId="0" applyFont="1" applyFill="1" applyBorder="1" applyAlignment="1">
      <alignment horizontal="center" vertical="center"/>
    </xf>
    <xf numFmtId="0" fontId="7" fillId="7" borderId="43" xfId="0" applyFont="1" applyFill="1" applyBorder="1" applyAlignment="1">
      <alignment horizontal="center" vertical="center"/>
    </xf>
    <xf numFmtId="0" fontId="7" fillId="7" borderId="44" xfId="0" applyFont="1" applyFill="1" applyBorder="1" applyAlignment="1">
      <alignment horizontal="center" vertical="center"/>
    </xf>
    <xf numFmtId="0" fontId="8" fillId="5" borderId="33" xfId="0" applyFont="1" applyFill="1" applyBorder="1" applyAlignment="1">
      <alignment horizontal="center" vertical="center"/>
    </xf>
    <xf numFmtId="0" fontId="8" fillId="5" borderId="34" xfId="0" applyFont="1" applyFill="1" applyBorder="1" applyAlignment="1">
      <alignment horizontal="center" vertical="center"/>
    </xf>
    <xf numFmtId="0" fontId="4" fillId="8" borderId="31" xfId="0" applyFont="1" applyFill="1" applyBorder="1" applyAlignment="1">
      <alignment horizontal="center" vertical="center"/>
    </xf>
    <xf numFmtId="0" fontId="4" fillId="8" borderId="67" xfId="0" applyFont="1" applyFill="1" applyBorder="1" applyAlignment="1">
      <alignment horizontal="center" vertical="center"/>
    </xf>
    <xf numFmtId="0" fontId="4" fillId="56" borderId="118" xfId="0" applyFont="1" applyFill="1" applyBorder="1" applyAlignment="1">
      <alignment horizontal="center" vertical="center"/>
    </xf>
    <xf numFmtId="0" fontId="4" fillId="56" borderId="35" xfId="0" applyFont="1" applyFill="1" applyBorder="1" applyAlignment="1">
      <alignment horizontal="center" vertical="center"/>
    </xf>
    <xf numFmtId="0" fontId="4" fillId="56" borderId="110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4" fillId="56" borderId="37" xfId="0" applyFont="1" applyFill="1" applyBorder="1" applyAlignment="1">
      <alignment horizontal="center" vertical="center"/>
    </xf>
    <xf numFmtId="0" fontId="4" fillId="56" borderId="90" xfId="0" applyFont="1" applyFill="1" applyBorder="1" applyAlignment="1">
      <alignment horizontal="center" vertical="center"/>
    </xf>
    <xf numFmtId="0" fontId="8" fillId="5" borderId="35" xfId="0" applyFont="1" applyFill="1" applyBorder="1" applyAlignment="1">
      <alignment horizontal="center" vertical="center"/>
    </xf>
    <xf numFmtId="0" fontId="4" fillId="8" borderId="110" xfId="0" applyFont="1" applyFill="1" applyBorder="1" applyAlignment="1">
      <alignment horizontal="center" vertical="center"/>
    </xf>
    <xf numFmtId="0" fontId="106" fillId="56" borderId="32" xfId="0" applyFont="1" applyFill="1" applyBorder="1" applyAlignment="1">
      <alignment horizontal="center" vertical="center"/>
    </xf>
    <xf numFmtId="0" fontId="106" fillId="56" borderId="33" xfId="0" applyFont="1" applyFill="1" applyBorder="1" applyAlignment="1">
      <alignment horizontal="center" vertical="center"/>
    </xf>
    <xf numFmtId="0" fontId="106" fillId="56" borderId="111" xfId="0" applyFont="1" applyFill="1" applyBorder="1" applyAlignment="1">
      <alignment horizontal="center" vertical="center"/>
    </xf>
    <xf numFmtId="0" fontId="104" fillId="10" borderId="65" xfId="0" applyFont="1" applyFill="1" applyBorder="1" applyAlignment="1">
      <alignment horizontal="center" vertical="center"/>
    </xf>
    <xf numFmtId="0" fontId="104" fillId="10" borderId="33" xfId="0" applyFont="1" applyFill="1" applyBorder="1" applyAlignment="1">
      <alignment horizontal="center" vertical="center"/>
    </xf>
    <xf numFmtId="0" fontId="104" fillId="8" borderId="5" xfId="0" applyFont="1" applyFill="1" applyBorder="1" applyAlignment="1">
      <alignment horizontal="center" vertical="center"/>
    </xf>
    <xf numFmtId="0" fontId="104" fillId="8" borderId="32" xfId="0" applyFont="1" applyFill="1" applyBorder="1" applyAlignment="1">
      <alignment horizontal="center" vertical="center"/>
    </xf>
    <xf numFmtId="0" fontId="104" fillId="8" borderId="111" xfId="0" applyFont="1" applyFill="1" applyBorder="1" applyAlignment="1">
      <alignment horizontal="center" vertical="center"/>
    </xf>
    <xf numFmtId="0" fontId="109" fillId="11" borderId="32" xfId="0" applyFont="1" applyFill="1" applyBorder="1" applyAlignment="1">
      <alignment horizontal="left" vertical="center"/>
    </xf>
    <xf numFmtId="0" fontId="109" fillId="11" borderId="33" xfId="0" applyFont="1" applyFill="1" applyBorder="1" applyAlignment="1">
      <alignment horizontal="left" vertical="center"/>
    </xf>
    <xf numFmtId="0" fontId="109" fillId="11" borderId="35" xfId="0" applyFont="1" applyFill="1" applyBorder="1" applyAlignment="1">
      <alignment horizontal="left" vertical="center"/>
    </xf>
    <xf numFmtId="0" fontId="109" fillId="11" borderId="111" xfId="0" applyFont="1" applyFill="1" applyBorder="1" applyAlignment="1">
      <alignment horizontal="left" vertical="center"/>
    </xf>
    <xf numFmtId="0" fontId="104" fillId="8" borderId="55" xfId="0" applyFont="1" applyFill="1" applyBorder="1" applyAlignment="1">
      <alignment horizontal="center" vertical="center"/>
    </xf>
    <xf numFmtId="0" fontId="114" fillId="8" borderId="37" xfId="0" applyFont="1" applyFill="1" applyBorder="1" applyAlignment="1">
      <alignment horizontal="center" vertical="center"/>
    </xf>
    <xf numFmtId="0" fontId="114" fillId="8" borderId="90" xfId="0" applyFont="1" applyFill="1" applyBorder="1" applyAlignment="1">
      <alignment horizontal="center" vertical="center"/>
    </xf>
    <xf numFmtId="0" fontId="106" fillId="7" borderId="32" xfId="0" applyFont="1" applyFill="1" applyBorder="1" applyAlignment="1">
      <alignment horizontal="center" vertical="center"/>
    </xf>
    <xf numFmtId="0" fontId="106" fillId="7" borderId="33" xfId="0" applyFont="1" applyFill="1" applyBorder="1" applyAlignment="1">
      <alignment horizontal="center" vertical="center"/>
    </xf>
    <xf numFmtId="0" fontId="106" fillId="7" borderId="111" xfId="0" applyFont="1" applyFill="1" applyBorder="1" applyAlignment="1">
      <alignment horizontal="center" vertical="center"/>
    </xf>
    <xf numFmtId="0" fontId="104" fillId="8" borderId="64" xfId="0" applyFont="1" applyFill="1" applyBorder="1" applyAlignment="1">
      <alignment horizontal="center" vertical="center"/>
    </xf>
    <xf numFmtId="0" fontId="104" fillId="8" borderId="31" xfId="0" applyFont="1" applyFill="1" applyBorder="1" applyAlignment="1">
      <alignment horizontal="center" vertical="center"/>
    </xf>
    <xf numFmtId="0" fontId="104" fillId="8" borderId="15" xfId="0" applyFont="1" applyFill="1" applyBorder="1" applyAlignment="1">
      <alignment horizontal="center" vertical="center"/>
    </xf>
    <xf numFmtId="0" fontId="105" fillId="5" borderId="5" xfId="0" applyFont="1" applyFill="1" applyBorder="1" applyAlignment="1">
      <alignment horizontal="center" vertical="center"/>
    </xf>
    <xf numFmtId="0" fontId="105" fillId="5" borderId="14" xfId="0" applyFont="1" applyFill="1" applyBorder="1" applyAlignment="1">
      <alignment horizontal="center" vertical="center"/>
    </xf>
    <xf numFmtId="0" fontId="105" fillId="5" borderId="72" xfId="0" applyFont="1" applyFill="1" applyBorder="1" applyAlignment="1">
      <alignment horizontal="center" vertical="center"/>
    </xf>
    <xf numFmtId="0" fontId="104" fillId="8" borderId="33" xfId="0" applyFont="1" applyFill="1" applyBorder="1" applyAlignment="1">
      <alignment horizontal="center" vertical="center"/>
    </xf>
    <xf numFmtId="0" fontId="104" fillId="8" borderId="34" xfId="0" applyFont="1" applyFill="1" applyBorder="1" applyAlignment="1">
      <alignment horizontal="center" vertical="center"/>
    </xf>
    <xf numFmtId="0" fontId="106" fillId="0" borderId="121" xfId="0" applyFont="1" applyBorder="1" applyAlignment="1">
      <alignment horizontal="center" vertical="center"/>
    </xf>
    <xf numFmtId="0" fontId="106" fillId="0" borderId="180" xfId="0" applyFont="1" applyBorder="1" applyAlignment="1">
      <alignment horizontal="center" vertical="center"/>
    </xf>
    <xf numFmtId="0" fontId="106" fillId="0" borderId="126" xfId="0" applyFont="1" applyBorder="1" applyAlignment="1">
      <alignment horizontal="center" vertical="center"/>
    </xf>
    <xf numFmtId="0" fontId="106" fillId="0" borderId="182" xfId="0" applyFont="1" applyBorder="1" applyAlignment="1">
      <alignment horizontal="center" vertical="center"/>
    </xf>
    <xf numFmtId="0" fontId="106" fillId="0" borderId="28" xfId="0" applyFont="1" applyBorder="1" applyAlignment="1">
      <alignment horizontal="center" vertical="center"/>
    </xf>
    <xf numFmtId="0" fontId="104" fillId="14" borderId="32" xfId="0" applyFont="1" applyFill="1" applyBorder="1" applyAlignment="1">
      <alignment horizontal="center" vertical="center"/>
    </xf>
    <xf numFmtId="0" fontId="104" fillId="14" borderId="34" xfId="0" applyFont="1" applyFill="1" applyBorder="1" applyAlignment="1">
      <alignment horizontal="center" vertical="center"/>
    </xf>
    <xf numFmtId="0" fontId="114" fillId="8" borderId="33" xfId="0" applyFont="1" applyFill="1" applyBorder="1" applyAlignment="1">
      <alignment horizontal="center" vertical="center"/>
    </xf>
    <xf numFmtId="0" fontId="114" fillId="8" borderId="34" xfId="0" applyFont="1" applyFill="1" applyBorder="1" applyAlignment="1">
      <alignment horizontal="center" vertical="center"/>
    </xf>
    <xf numFmtId="0" fontId="104" fillId="56" borderId="80" xfId="0" applyFont="1" applyFill="1" applyBorder="1" applyAlignment="1">
      <alignment horizontal="center" vertical="center"/>
    </xf>
    <xf numFmtId="0" fontId="104" fillId="56" borderId="15" xfId="0" applyFont="1" applyFill="1" applyBorder="1" applyAlignment="1">
      <alignment horizontal="center" vertical="center"/>
    </xf>
    <xf numFmtId="0" fontId="104" fillId="56" borderId="31" xfId="0" applyFont="1" applyFill="1" applyBorder="1" applyAlignment="1">
      <alignment horizontal="center" vertical="center"/>
    </xf>
    <xf numFmtId="0" fontId="104" fillId="56" borderId="64" xfId="0" applyFont="1" applyFill="1" applyBorder="1" applyAlignment="1">
      <alignment horizontal="center" vertical="center"/>
    </xf>
    <xf numFmtId="0" fontId="104" fillId="56" borderId="5" xfId="0" applyFont="1" applyFill="1" applyBorder="1" applyAlignment="1">
      <alignment horizontal="center" vertical="center"/>
    </xf>
    <xf numFmtId="0" fontId="104" fillId="56" borderId="14" xfId="0" applyFont="1" applyFill="1" applyBorder="1" applyAlignment="1">
      <alignment horizontal="center" vertical="center"/>
    </xf>
    <xf numFmtId="0" fontId="104" fillId="8" borderId="14" xfId="0" applyFont="1" applyFill="1" applyBorder="1" applyAlignment="1">
      <alignment horizontal="center" vertical="center"/>
    </xf>
    <xf numFmtId="0" fontId="104" fillId="8" borderId="72" xfId="0" applyFont="1" applyFill="1" applyBorder="1" applyAlignment="1">
      <alignment horizontal="center" vertical="center"/>
    </xf>
    <xf numFmtId="0" fontId="105" fillId="5" borderId="37" xfId="0" applyFont="1" applyFill="1" applyBorder="1" applyAlignment="1">
      <alignment horizontal="center" vertical="center"/>
    </xf>
    <xf numFmtId="0" fontId="105" fillId="5" borderId="159" xfId="0" applyFont="1" applyFill="1" applyBorder="1" applyAlignment="1">
      <alignment horizontal="center" vertical="center"/>
    </xf>
    <xf numFmtId="0" fontId="104" fillId="28" borderId="55" xfId="0" applyFont="1" applyFill="1" applyBorder="1" applyAlignment="1">
      <alignment horizontal="center" vertical="center"/>
    </xf>
    <xf numFmtId="0" fontId="104" fillId="28" borderId="37" xfId="0" applyFont="1" applyFill="1" applyBorder="1" applyAlignment="1">
      <alignment horizontal="center" vertical="center"/>
    </xf>
    <xf numFmtId="0" fontId="104" fillId="28" borderId="0" xfId="0" applyFont="1" applyFill="1" applyBorder="1" applyAlignment="1">
      <alignment horizontal="center" vertical="center"/>
    </xf>
    <xf numFmtId="0" fontId="105" fillId="5" borderId="32" xfId="0" applyFont="1" applyFill="1" applyBorder="1" applyAlignment="1">
      <alignment horizontal="center" vertical="center"/>
    </xf>
    <xf numFmtId="0" fontId="105" fillId="5" borderId="111" xfId="0" applyFont="1" applyFill="1" applyBorder="1" applyAlignment="1">
      <alignment horizontal="center" vertical="center"/>
    </xf>
    <xf numFmtId="0" fontId="110" fillId="5" borderId="32" xfId="0" applyFont="1" applyFill="1" applyBorder="1" applyAlignment="1">
      <alignment horizontal="center" vertical="center"/>
    </xf>
    <xf numFmtId="0" fontId="110" fillId="5" borderId="33" xfId="0" applyFont="1" applyFill="1" applyBorder="1" applyAlignment="1">
      <alignment horizontal="center" vertical="center"/>
    </xf>
    <xf numFmtId="0" fontId="110" fillId="5" borderId="111" xfId="0" applyFont="1" applyFill="1" applyBorder="1" applyAlignment="1">
      <alignment horizontal="center" vertical="center"/>
    </xf>
    <xf numFmtId="0" fontId="104" fillId="8" borderId="60" xfId="0" applyFont="1" applyFill="1" applyBorder="1" applyAlignment="1">
      <alignment horizontal="center" vertical="center"/>
    </xf>
    <xf numFmtId="0" fontId="106" fillId="0" borderId="94" xfId="0" applyFont="1" applyBorder="1" applyAlignment="1">
      <alignment horizontal="center" vertical="center"/>
    </xf>
    <xf numFmtId="0" fontId="108" fillId="2" borderId="17" xfId="0" applyFont="1" applyFill="1" applyBorder="1" applyAlignment="1">
      <alignment horizontal="center" vertical="center"/>
    </xf>
    <xf numFmtId="49" fontId="108" fillId="2" borderId="98" xfId="0" applyNumberFormat="1" applyFont="1" applyFill="1" applyBorder="1" applyAlignment="1">
      <alignment horizontal="center" vertical="center"/>
    </xf>
    <xf numFmtId="49" fontId="108" fillId="2" borderId="83" xfId="0" applyNumberFormat="1" applyFont="1" applyFill="1" applyBorder="1" applyAlignment="1">
      <alignment horizontal="center" vertical="center"/>
    </xf>
    <xf numFmtId="49" fontId="108" fillId="2" borderId="129" xfId="0" applyNumberFormat="1" applyFont="1" applyFill="1" applyBorder="1" applyAlignment="1">
      <alignment horizontal="center" vertical="center"/>
    </xf>
    <xf numFmtId="0" fontId="108" fillId="2" borderId="18" xfId="0" applyFont="1" applyFill="1" applyBorder="1" applyAlignment="1">
      <alignment horizontal="center" vertical="center"/>
    </xf>
    <xf numFmtId="0" fontId="108" fillId="2" borderId="19" xfId="0" applyFont="1" applyFill="1" applyBorder="1" applyAlignment="1">
      <alignment horizontal="center" vertical="center"/>
    </xf>
    <xf numFmtId="0" fontId="105" fillId="24" borderId="133" xfId="0" applyFont="1" applyFill="1" applyBorder="1" applyAlignment="1">
      <alignment horizontal="center" vertical="center"/>
    </xf>
    <xf numFmtId="0" fontId="105" fillId="24" borderId="116" xfId="0" applyFont="1" applyFill="1" applyBorder="1" applyAlignment="1">
      <alignment horizontal="center" vertical="center"/>
    </xf>
    <xf numFmtId="0" fontId="105" fillId="24" borderId="74" xfId="0" applyFont="1" applyFill="1" applyBorder="1" applyAlignment="1">
      <alignment horizontal="center" vertical="center"/>
    </xf>
    <xf numFmtId="0" fontId="106" fillId="56" borderId="65" xfId="0" applyFont="1" applyFill="1" applyBorder="1" applyAlignment="1">
      <alignment horizontal="center" vertical="center"/>
    </xf>
    <xf numFmtId="0" fontId="109" fillId="37" borderId="32" xfId="0" applyFont="1" applyFill="1" applyBorder="1" applyAlignment="1">
      <alignment horizontal="center" vertical="center"/>
    </xf>
    <xf numFmtId="0" fontId="109" fillId="37" borderId="33" xfId="0" applyFont="1" applyFill="1" applyBorder="1" applyAlignment="1">
      <alignment horizontal="center" vertical="center"/>
    </xf>
    <xf numFmtId="0" fontId="104" fillId="10" borderId="98" xfId="0" applyFont="1" applyFill="1" applyBorder="1" applyAlignment="1">
      <alignment horizontal="center" vertical="center"/>
    </xf>
    <xf numFmtId="0" fontId="104" fillId="10" borderId="85" xfId="0" applyFont="1" applyFill="1" applyBorder="1" applyAlignment="1">
      <alignment horizontal="center" vertical="center"/>
    </xf>
    <xf numFmtId="0" fontId="106" fillId="10" borderId="112" xfId="0" applyFont="1" applyFill="1" applyBorder="1" applyAlignment="1">
      <alignment horizontal="center" vertical="center"/>
    </xf>
    <xf numFmtId="0" fontId="106" fillId="10" borderId="35" xfId="0" applyFont="1" applyFill="1" applyBorder="1" applyAlignment="1">
      <alignment horizontal="center" vertical="center"/>
    </xf>
    <xf numFmtId="0" fontId="106" fillId="10" borderId="178" xfId="0" applyFont="1" applyFill="1" applyBorder="1" applyAlignment="1">
      <alignment horizontal="center" vertical="center"/>
    </xf>
    <xf numFmtId="0" fontId="104" fillId="8" borderId="108" xfId="0" applyFont="1" applyFill="1" applyBorder="1" applyAlignment="1">
      <alignment horizontal="center" vertical="center"/>
    </xf>
    <xf numFmtId="0" fontId="104" fillId="8" borderId="70" xfId="0" applyFont="1" applyFill="1" applyBorder="1" applyAlignment="1">
      <alignment horizontal="center" vertical="center"/>
    </xf>
    <xf numFmtId="0" fontId="104" fillId="8" borderId="109" xfId="0" applyFont="1" applyFill="1" applyBorder="1" applyAlignment="1">
      <alignment horizontal="center" vertical="center"/>
    </xf>
    <xf numFmtId="0" fontId="105" fillId="5" borderId="118" xfId="0" applyFont="1" applyFill="1" applyBorder="1" applyAlignment="1">
      <alignment horizontal="center" vertical="center"/>
    </xf>
    <xf numFmtId="0" fontId="105" fillId="5" borderId="156" xfId="0" applyFont="1" applyFill="1" applyBorder="1" applyAlignment="1">
      <alignment horizontal="center" vertical="center"/>
    </xf>
    <xf numFmtId="0" fontId="104" fillId="7" borderId="118" xfId="0" applyFont="1" applyFill="1" applyBorder="1" applyAlignment="1">
      <alignment horizontal="center" vertical="center"/>
    </xf>
    <xf numFmtId="0" fontId="104" fillId="7" borderId="35" xfId="0" applyFont="1" applyFill="1" applyBorder="1" applyAlignment="1">
      <alignment horizontal="center" vertical="center"/>
    </xf>
    <xf numFmtId="0" fontId="104" fillId="7" borderId="156" xfId="0" applyFont="1" applyFill="1" applyBorder="1" applyAlignment="1">
      <alignment horizontal="center" vertical="center"/>
    </xf>
    <xf numFmtId="0" fontId="105" fillId="5" borderId="55" xfId="0" applyFont="1" applyFill="1" applyBorder="1" applyAlignment="1">
      <alignment horizontal="center" vertical="center"/>
    </xf>
    <xf numFmtId="0" fontId="105" fillId="5" borderId="33" xfId="0" applyFont="1" applyFill="1" applyBorder="1" applyAlignment="1">
      <alignment horizontal="center" vertical="center"/>
    </xf>
    <xf numFmtId="0" fontId="106" fillId="42" borderId="4" xfId="0" applyFont="1" applyFill="1" applyBorder="1" applyAlignment="1">
      <alignment horizontal="center" vertical="center"/>
    </xf>
    <xf numFmtId="0" fontId="106" fillId="22" borderId="78" xfId="0" applyFont="1" applyFill="1" applyBorder="1" applyAlignment="1">
      <alignment horizontal="center" vertical="center"/>
    </xf>
    <xf numFmtId="0" fontId="106" fillId="22" borderId="60" xfId="0" applyFont="1" applyFill="1" applyBorder="1" applyAlignment="1">
      <alignment horizontal="center" vertical="center"/>
    </xf>
    <xf numFmtId="0" fontId="106" fillId="22" borderId="84" xfId="0" applyFont="1" applyFill="1" applyBorder="1" applyAlignment="1">
      <alignment horizontal="center" vertical="center"/>
    </xf>
    <xf numFmtId="0" fontId="109" fillId="21" borderId="64" xfId="0" applyFont="1" applyFill="1" applyBorder="1" applyAlignment="1">
      <alignment horizontal="center" vertical="center"/>
    </xf>
    <xf numFmtId="0" fontId="109" fillId="21" borderId="5" xfId="0" applyFont="1" applyFill="1" applyBorder="1" applyAlignment="1">
      <alignment horizontal="center" vertical="center"/>
    </xf>
    <xf numFmtId="0" fontId="109" fillId="21" borderId="32" xfId="0" applyFont="1" applyFill="1" applyBorder="1" applyAlignment="1">
      <alignment horizontal="center" vertical="center"/>
    </xf>
    <xf numFmtId="0" fontId="106" fillId="23" borderId="37" xfId="0" applyFont="1" applyFill="1" applyBorder="1" applyAlignment="1">
      <alignment horizontal="center" vertical="center"/>
    </xf>
    <xf numFmtId="0" fontId="106" fillId="0" borderId="104" xfId="0" applyFont="1" applyBorder="1" applyAlignment="1">
      <alignment horizontal="center" vertical="center"/>
    </xf>
    <xf numFmtId="0" fontId="106" fillId="0" borderId="69" xfId="0" applyFont="1" applyBorder="1" applyAlignment="1">
      <alignment horizontal="center" vertical="center"/>
    </xf>
    <xf numFmtId="0" fontId="106" fillId="0" borderId="117" xfId="0" applyFont="1" applyBorder="1" applyAlignment="1">
      <alignment horizontal="center" vertical="center"/>
    </xf>
    <xf numFmtId="0" fontId="106" fillId="0" borderId="127" xfId="0" applyFont="1" applyBorder="1" applyAlignment="1">
      <alignment horizontal="center" vertical="center"/>
    </xf>
    <xf numFmtId="0" fontId="109" fillId="7" borderId="65" xfId="0" applyFont="1" applyFill="1" applyBorder="1" applyAlignment="1">
      <alignment horizontal="center" vertical="center"/>
    </xf>
    <xf numFmtId="0" fontId="109" fillId="7" borderId="33" xfId="0" applyFont="1" applyFill="1" applyBorder="1" applyAlignment="1">
      <alignment horizontal="center" vertical="center"/>
    </xf>
    <xf numFmtId="0" fontId="109" fillId="35" borderId="148" xfId="0" applyFont="1" applyFill="1" applyBorder="1" applyAlignment="1">
      <alignment horizontal="center" vertical="center"/>
    </xf>
    <xf numFmtId="0" fontId="104" fillId="8" borderId="84" xfId="0" applyFont="1" applyFill="1" applyBorder="1" applyAlignment="1">
      <alignment horizontal="center" vertical="center"/>
    </xf>
    <xf numFmtId="0" fontId="104" fillId="8" borderId="83" xfId="0" applyFont="1" applyFill="1" applyBorder="1" applyAlignment="1">
      <alignment horizontal="center" vertical="center"/>
    </xf>
    <xf numFmtId="0" fontId="104" fillId="8" borderId="85" xfId="0" applyFont="1" applyFill="1" applyBorder="1" applyAlignment="1">
      <alignment horizontal="center" vertical="center"/>
    </xf>
    <xf numFmtId="0" fontId="104" fillId="59" borderId="32" xfId="0" applyFont="1" applyFill="1" applyBorder="1" applyAlignment="1">
      <alignment horizontal="center" vertical="center"/>
    </xf>
    <xf numFmtId="0" fontId="114" fillId="59" borderId="33" xfId="0" applyFont="1" applyFill="1" applyBorder="1" applyAlignment="1">
      <alignment horizontal="center" vertical="center"/>
    </xf>
    <xf numFmtId="0" fontId="114" fillId="59" borderId="34" xfId="0" applyFont="1" applyFill="1" applyBorder="1" applyAlignment="1">
      <alignment horizontal="center" vertical="center"/>
    </xf>
    <xf numFmtId="0" fontId="104" fillId="8" borderId="198" xfId="0" applyFont="1" applyFill="1" applyBorder="1" applyAlignment="1">
      <alignment horizontal="center" vertical="center"/>
    </xf>
    <xf numFmtId="0" fontId="104" fillId="10" borderId="83" xfId="0" applyFont="1" applyFill="1" applyBorder="1" applyAlignment="1">
      <alignment horizontal="center" vertical="center"/>
    </xf>
    <xf numFmtId="0" fontId="114" fillId="8" borderId="111" xfId="0" applyFont="1" applyFill="1" applyBorder="1" applyAlignment="1">
      <alignment horizontal="center" vertical="center"/>
    </xf>
    <xf numFmtId="0" fontId="107" fillId="44" borderId="84" xfId="0" applyFont="1" applyFill="1" applyBorder="1" applyAlignment="1">
      <alignment horizontal="center" vertical="center"/>
    </xf>
    <xf numFmtId="0" fontId="107" fillId="44" borderId="83" xfId="0" applyFont="1" applyFill="1" applyBorder="1" applyAlignment="1">
      <alignment horizontal="center" vertical="center"/>
    </xf>
    <xf numFmtId="0" fontId="104" fillId="43" borderId="32" xfId="0" applyFont="1" applyFill="1" applyBorder="1" applyAlignment="1">
      <alignment horizontal="center" vertical="center"/>
    </xf>
    <xf numFmtId="0" fontId="104" fillId="43" borderId="33" xfId="0" applyFont="1" applyFill="1" applyBorder="1" applyAlignment="1">
      <alignment horizontal="center" vertical="center"/>
    </xf>
    <xf numFmtId="0" fontId="104" fillId="43" borderId="56" xfId="0" applyFont="1" applyFill="1" applyBorder="1" applyAlignment="1">
      <alignment horizontal="center" vertical="center"/>
    </xf>
    <xf numFmtId="0" fontId="104" fillId="43" borderId="57" xfId="0" applyFont="1" applyFill="1" applyBorder="1" applyAlignment="1">
      <alignment horizontal="center" vertical="center"/>
    </xf>
    <xf numFmtId="0" fontId="106" fillId="43" borderId="32" xfId="0" applyFont="1" applyFill="1" applyBorder="1" applyAlignment="1">
      <alignment horizontal="center" vertical="center"/>
    </xf>
    <xf numFmtId="0" fontId="106" fillId="43" borderId="33" xfId="0" applyFont="1" applyFill="1" applyBorder="1" applyAlignment="1">
      <alignment horizontal="center" vertical="center"/>
    </xf>
    <xf numFmtId="0" fontId="106" fillId="28" borderId="5" xfId="0" applyFont="1" applyFill="1" applyBorder="1" applyAlignment="1">
      <alignment horizontal="center" vertical="center"/>
    </xf>
    <xf numFmtId="0" fontId="106" fillId="28" borderId="32" xfId="0" applyFont="1" applyFill="1" applyBorder="1" applyAlignment="1">
      <alignment horizontal="center" vertical="center"/>
    </xf>
    <xf numFmtId="0" fontId="106" fillId="54" borderId="4" xfId="0" applyFont="1" applyFill="1" applyBorder="1" applyAlignment="1">
      <alignment horizontal="center" vertical="center"/>
    </xf>
    <xf numFmtId="0" fontId="106" fillId="7" borderId="4" xfId="0" applyFont="1" applyFill="1" applyBorder="1" applyAlignment="1">
      <alignment horizontal="center" vertical="center"/>
    </xf>
    <xf numFmtId="0" fontId="109" fillId="37" borderId="112" xfId="0" applyFont="1" applyFill="1" applyBorder="1" applyAlignment="1">
      <alignment horizontal="center" vertical="center"/>
    </xf>
    <xf numFmtId="0" fontId="109" fillId="13" borderId="65" xfId="0" applyFont="1" applyFill="1" applyBorder="1" applyAlignment="1">
      <alignment horizontal="center" vertical="center"/>
    </xf>
    <xf numFmtId="0" fontId="109" fillId="16" borderId="58" xfId="0" applyFont="1" applyFill="1" applyBorder="1" applyAlignment="1">
      <alignment horizontal="center" vertical="center"/>
    </xf>
    <xf numFmtId="0" fontId="106" fillId="43" borderId="4" xfId="0" applyFont="1" applyFill="1" applyBorder="1" applyAlignment="1">
      <alignment horizontal="center" vertical="center"/>
    </xf>
    <xf numFmtId="0" fontId="109" fillId="40" borderId="50" xfId="0" applyFont="1" applyFill="1" applyBorder="1" applyAlignment="1">
      <alignment horizontal="center" vertical="center"/>
    </xf>
    <xf numFmtId="0" fontId="109" fillId="40" borderId="4" xfId="0" applyFont="1" applyFill="1" applyBorder="1" applyAlignment="1">
      <alignment horizontal="center" vertical="center"/>
    </xf>
    <xf numFmtId="0" fontId="109" fillId="38" borderId="65" xfId="0" applyFont="1" applyFill="1" applyBorder="1" applyAlignment="1">
      <alignment horizontal="center" vertical="center"/>
    </xf>
    <xf numFmtId="0" fontId="109" fillId="38" borderId="33" xfId="0" applyFont="1" applyFill="1" applyBorder="1" applyAlignment="1">
      <alignment horizontal="center" vertical="center"/>
    </xf>
    <xf numFmtId="0" fontId="109" fillId="17" borderId="50" xfId="0" applyFont="1" applyFill="1" applyBorder="1" applyAlignment="1">
      <alignment horizontal="center" vertical="center"/>
    </xf>
    <xf numFmtId="0" fontId="106" fillId="10" borderId="32" xfId="0" applyFont="1" applyFill="1" applyBorder="1" applyAlignment="1">
      <alignment horizontal="center" vertical="center"/>
    </xf>
    <xf numFmtId="0" fontId="106" fillId="10" borderId="33" xfId="0" applyFont="1" applyFill="1" applyBorder="1" applyAlignment="1">
      <alignment horizontal="center" vertical="center"/>
    </xf>
    <xf numFmtId="0" fontId="106" fillId="25" borderId="5" xfId="0" applyFont="1" applyFill="1" applyBorder="1" applyAlignment="1">
      <alignment horizontal="center" vertical="center"/>
    </xf>
    <xf numFmtId="0" fontId="106" fillId="25" borderId="32" xfId="0" applyFont="1" applyFill="1" applyBorder="1" applyAlignment="1">
      <alignment horizontal="center" vertical="center"/>
    </xf>
    <xf numFmtId="0" fontId="116" fillId="25" borderId="32" xfId="0" applyFont="1" applyFill="1" applyBorder="1" applyAlignment="1">
      <alignment horizontal="center" vertical="center"/>
    </xf>
    <xf numFmtId="0" fontId="116" fillId="25" borderId="111" xfId="0" applyFont="1" applyFill="1" applyBorder="1" applyAlignment="1">
      <alignment horizontal="center" vertical="center"/>
    </xf>
    <xf numFmtId="0" fontId="45" fillId="7" borderId="56" xfId="0" applyFont="1" applyFill="1" applyBorder="1" applyAlignment="1">
      <alignment horizontal="center" vertical="center"/>
    </xf>
    <xf numFmtId="0" fontId="45" fillId="7" borderId="57" xfId="0" applyFont="1" applyFill="1" applyBorder="1" applyAlignment="1">
      <alignment horizontal="center" vertical="center"/>
    </xf>
    <xf numFmtId="0" fontId="45" fillId="7" borderId="73" xfId="0" applyFont="1" applyFill="1" applyBorder="1" applyAlignment="1">
      <alignment horizontal="center" vertical="center"/>
    </xf>
    <xf numFmtId="0" fontId="4" fillId="23" borderId="118" xfId="0" applyFont="1" applyFill="1" applyBorder="1" applyAlignment="1">
      <alignment horizontal="center" vertical="center"/>
    </xf>
    <xf numFmtId="0" fontId="4" fillId="23" borderId="110" xfId="0" applyFont="1" applyFill="1" applyBorder="1" applyAlignment="1">
      <alignment horizontal="center" vertical="center"/>
    </xf>
    <xf numFmtId="0" fontId="35" fillId="8" borderId="65" xfId="0" applyFont="1" applyFill="1" applyBorder="1" applyAlignment="1">
      <alignment horizontal="center" vertical="center"/>
    </xf>
    <xf numFmtId="0" fontId="35" fillId="8" borderId="34" xfId="0" applyFont="1" applyFill="1" applyBorder="1" applyAlignment="1">
      <alignment horizontal="center" vertical="center"/>
    </xf>
    <xf numFmtId="49" fontId="13" fillId="2" borderId="117" xfId="0" applyNumberFormat="1" applyFont="1" applyFill="1" applyBorder="1" applyAlignment="1">
      <alignment horizontal="center" vertical="center"/>
    </xf>
    <xf numFmtId="0" fontId="13" fillId="6" borderId="84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0" fontId="35" fillId="8" borderId="117" xfId="0" applyFont="1" applyFill="1" applyBorder="1" applyAlignment="1">
      <alignment horizontal="center" vertical="center"/>
    </xf>
    <xf numFmtId="0" fontId="35" fillId="8" borderId="0" xfId="0" applyFont="1" applyFill="1" applyBorder="1" applyAlignment="1">
      <alignment horizontal="center" vertical="center"/>
    </xf>
    <xf numFmtId="0" fontId="35" fillId="8" borderId="103" xfId="0" applyFont="1" applyFill="1" applyBorder="1" applyAlignment="1">
      <alignment horizontal="center" vertical="center"/>
    </xf>
    <xf numFmtId="0" fontId="4" fillId="43" borderId="32" xfId="0" applyFont="1" applyFill="1" applyBorder="1" applyAlignment="1">
      <alignment horizontal="center" vertical="center"/>
    </xf>
    <xf numFmtId="0" fontId="4" fillId="43" borderId="34" xfId="0" applyFont="1" applyFill="1" applyBorder="1" applyAlignment="1">
      <alignment horizontal="center" vertical="center"/>
    </xf>
    <xf numFmtId="0" fontId="4" fillId="43" borderId="33" xfId="0" applyFont="1" applyFill="1" applyBorder="1" applyAlignment="1">
      <alignment horizontal="center" vertical="center"/>
    </xf>
    <xf numFmtId="0" fontId="35" fillId="82" borderId="5" xfId="0" applyFont="1" applyFill="1" applyBorder="1" applyAlignment="1">
      <alignment horizontal="center" vertical="center"/>
    </xf>
    <xf numFmtId="0" fontId="35" fillId="83" borderId="84" xfId="0" applyFont="1" applyFill="1" applyBorder="1" applyAlignment="1">
      <alignment horizontal="center" vertical="center"/>
    </xf>
    <xf numFmtId="0" fontId="35" fillId="83" borderId="83" xfId="0" applyFont="1" applyFill="1" applyBorder="1" applyAlignment="1">
      <alignment horizontal="center" vertical="center"/>
    </xf>
    <xf numFmtId="0" fontId="35" fillId="83" borderId="85" xfId="0" applyFont="1" applyFill="1" applyBorder="1" applyAlignment="1">
      <alignment horizontal="center" vertical="center"/>
    </xf>
    <xf numFmtId="0" fontId="4" fillId="23" borderId="55" xfId="0" applyFont="1" applyFill="1" applyBorder="1" applyAlignment="1">
      <alignment horizontal="center" vertical="center"/>
    </xf>
    <xf numFmtId="0" fontId="4" fillId="23" borderId="90" xfId="0" applyFont="1" applyFill="1" applyBorder="1" applyAlignment="1">
      <alignment horizontal="center" vertical="center"/>
    </xf>
    <xf numFmtId="0" fontId="35" fillId="15" borderId="84" xfId="0" applyFont="1" applyFill="1" applyBorder="1" applyAlignment="1">
      <alignment horizontal="center" vertical="center"/>
    </xf>
    <xf numFmtId="0" fontId="35" fillId="15" borderId="83" xfId="0" applyFont="1" applyFill="1" applyBorder="1" applyAlignment="1">
      <alignment horizontal="center" vertical="center"/>
    </xf>
    <xf numFmtId="0" fontId="35" fillId="15" borderId="85" xfId="0" applyFont="1" applyFill="1" applyBorder="1" applyAlignment="1">
      <alignment horizontal="center" vertical="center"/>
    </xf>
    <xf numFmtId="0" fontId="4" fillId="43" borderId="118" xfId="0" applyFont="1" applyFill="1" applyBorder="1" applyAlignment="1">
      <alignment horizontal="center" vertical="center"/>
    </xf>
    <xf numFmtId="0" fontId="4" fillId="43" borderId="110" xfId="0" applyFont="1" applyFill="1" applyBorder="1" applyAlignment="1">
      <alignment horizontal="center" vertical="center"/>
    </xf>
    <xf numFmtId="0" fontId="4" fillId="23" borderId="85" xfId="0" applyFont="1" applyFill="1" applyBorder="1" applyAlignment="1">
      <alignment horizontal="center" vertical="center"/>
    </xf>
    <xf numFmtId="0" fontId="54" fillId="8" borderId="65" xfId="0" applyFont="1" applyFill="1" applyBorder="1" applyAlignment="1">
      <alignment horizontal="center"/>
    </xf>
    <xf numFmtId="0" fontId="54" fillId="8" borderId="33" xfId="0" applyFont="1" applyFill="1" applyBorder="1" applyAlignment="1">
      <alignment horizontal="center"/>
    </xf>
    <xf numFmtId="0" fontId="125" fillId="8" borderId="65" xfId="0" applyFont="1" applyFill="1" applyBorder="1" applyAlignment="1">
      <alignment horizontal="center"/>
    </xf>
    <xf numFmtId="0" fontId="125" fillId="8" borderId="34" xfId="0" applyFont="1" applyFill="1" applyBorder="1" applyAlignment="1">
      <alignment horizontal="center"/>
    </xf>
    <xf numFmtId="0" fontId="39" fillId="8" borderId="5" xfId="0" applyFont="1" applyFill="1" applyBorder="1" applyAlignment="1">
      <alignment horizontal="center" vertical="center"/>
    </xf>
    <xf numFmtId="0" fontId="39" fillId="8" borderId="14" xfId="0" applyFont="1" applyFill="1" applyBorder="1" applyAlignment="1">
      <alignment horizontal="center" vertical="center"/>
    </xf>
    <xf numFmtId="0" fontId="39" fillId="8" borderId="15" xfId="0" applyFont="1" applyFill="1" applyBorder="1" applyAlignment="1">
      <alignment horizontal="center" vertical="center"/>
    </xf>
    <xf numFmtId="0" fontId="39" fillId="8" borderId="62" xfId="0" applyFont="1" applyFill="1" applyBorder="1" applyAlignment="1">
      <alignment horizontal="center" vertical="center"/>
    </xf>
    <xf numFmtId="0" fontId="4" fillId="8" borderId="159" xfId="0" applyFont="1" applyFill="1" applyBorder="1" applyAlignment="1">
      <alignment horizontal="center" vertical="center"/>
    </xf>
    <xf numFmtId="0" fontId="116" fillId="8" borderId="84" xfId="0" applyFont="1" applyFill="1" applyBorder="1" applyAlignment="1">
      <alignment horizontal="center" vertical="center"/>
    </xf>
    <xf numFmtId="0" fontId="116" fillId="8" borderId="83" xfId="0" applyFont="1" applyFill="1" applyBorder="1" applyAlignment="1">
      <alignment horizontal="center" vertical="center"/>
    </xf>
    <xf numFmtId="0" fontId="116" fillId="8" borderId="85" xfId="0" applyFont="1" applyFill="1" applyBorder="1" applyAlignment="1">
      <alignment horizontal="center" vertical="center"/>
    </xf>
    <xf numFmtId="0" fontId="4" fillId="25" borderId="33" xfId="0" applyFont="1" applyFill="1" applyBorder="1" applyAlignment="1">
      <alignment horizontal="center" vertical="center"/>
    </xf>
    <xf numFmtId="0" fontId="4" fillId="25" borderId="156" xfId="0" applyFont="1" applyFill="1" applyBorder="1" applyAlignment="1">
      <alignment horizontal="center" vertical="center"/>
    </xf>
    <xf numFmtId="0" fontId="45" fillId="7" borderId="32" xfId="0" applyFont="1" applyFill="1" applyBorder="1" applyAlignment="1">
      <alignment horizontal="center" vertical="center"/>
    </xf>
    <xf numFmtId="0" fontId="45" fillId="7" borderId="33" xfId="0" applyFont="1" applyFill="1" applyBorder="1" applyAlignment="1">
      <alignment horizontal="center" vertical="center"/>
    </xf>
    <xf numFmtId="0" fontId="45" fillId="7" borderId="34" xfId="0" applyFont="1" applyFill="1" applyBorder="1" applyAlignment="1">
      <alignment horizontal="center" vertical="center"/>
    </xf>
    <xf numFmtId="0" fontId="13" fillId="81" borderId="105" xfId="0" applyFont="1" applyFill="1" applyBorder="1" applyAlignment="1">
      <alignment horizontal="center" vertical="center"/>
    </xf>
    <xf numFmtId="0" fontId="13" fillId="81" borderId="107" xfId="0" applyFont="1" applyFill="1" applyBorder="1" applyAlignment="1">
      <alignment horizontal="center" vertical="center"/>
    </xf>
    <xf numFmtId="0" fontId="75" fillId="24" borderId="104" xfId="0" applyFont="1" applyFill="1" applyBorder="1" applyAlignment="1">
      <alignment horizontal="center" vertical="center"/>
    </xf>
    <xf numFmtId="0" fontId="61" fillId="10" borderId="65" xfId="0" applyFont="1" applyFill="1" applyBorder="1" applyAlignment="1">
      <alignment horizontal="center" vertical="center"/>
    </xf>
    <xf numFmtId="0" fontId="4" fillId="25" borderId="64" xfId="0" applyFont="1" applyFill="1" applyBorder="1" applyAlignment="1">
      <alignment horizontal="center" vertical="center"/>
    </xf>
    <xf numFmtId="0" fontId="4" fillId="35" borderId="163" xfId="0" applyFont="1" applyFill="1" applyBorder="1" applyAlignment="1">
      <alignment horizontal="center" vertical="center"/>
    </xf>
    <xf numFmtId="0" fontId="39" fillId="18" borderId="42" xfId="0" applyFont="1" applyFill="1" applyBorder="1" applyAlignment="1">
      <alignment horizontal="center" vertical="center"/>
    </xf>
    <xf numFmtId="0" fontId="39" fillId="18" borderId="77" xfId="0" applyFont="1" applyFill="1" applyBorder="1" applyAlignment="1">
      <alignment horizontal="center" vertical="center"/>
    </xf>
    <xf numFmtId="0" fontId="39" fillId="18" borderId="144" xfId="0" applyFont="1" applyFill="1" applyBorder="1" applyAlignment="1">
      <alignment horizontal="center" vertical="center"/>
    </xf>
    <xf numFmtId="0" fontId="61" fillId="26" borderId="50" xfId="0" applyFont="1" applyFill="1" applyBorder="1" applyAlignment="1">
      <alignment horizontal="center" vertical="center"/>
    </xf>
    <xf numFmtId="0" fontId="45" fillId="7" borderId="84" xfId="0" applyFont="1" applyFill="1" applyBorder="1" applyAlignment="1">
      <alignment horizontal="center" vertical="center"/>
    </xf>
    <xf numFmtId="0" fontId="45" fillId="7" borderId="83" xfId="0" applyFont="1" applyFill="1" applyBorder="1" applyAlignment="1">
      <alignment horizontal="center" vertical="center"/>
    </xf>
    <xf numFmtId="0" fontId="45" fillId="7" borderId="70" xfId="0" applyFont="1" applyFill="1" applyBorder="1" applyAlignment="1">
      <alignment horizontal="center" vertical="center"/>
    </xf>
    <xf numFmtId="0" fontId="45" fillId="7" borderId="85" xfId="0" applyFont="1" applyFill="1" applyBorder="1" applyAlignment="1">
      <alignment horizontal="center" vertical="center"/>
    </xf>
    <xf numFmtId="0" fontId="45" fillId="7" borderId="118" xfId="0" applyFont="1" applyFill="1" applyBorder="1" applyAlignment="1">
      <alignment horizontal="center" vertical="center"/>
    </xf>
    <xf numFmtId="0" fontId="45" fillId="7" borderId="35" xfId="0" applyFont="1" applyFill="1" applyBorder="1" applyAlignment="1">
      <alignment horizontal="center" vertical="center"/>
    </xf>
    <xf numFmtId="0" fontId="45" fillId="7" borderId="110" xfId="0" applyFont="1" applyFill="1" applyBorder="1" applyAlignment="1">
      <alignment horizontal="center" vertical="center"/>
    </xf>
    <xf numFmtId="0" fontId="116" fillId="7" borderId="65" xfId="0" applyFont="1" applyFill="1" applyBorder="1" applyAlignment="1">
      <alignment horizontal="center" vertical="center"/>
    </xf>
    <xf numFmtId="0" fontId="4" fillId="8" borderId="68" xfId="0" applyFont="1" applyFill="1" applyBorder="1" applyAlignment="1">
      <alignment horizontal="center" vertical="center"/>
    </xf>
    <xf numFmtId="0" fontId="45" fillId="7" borderId="5" xfId="0" applyFont="1" applyFill="1" applyBorder="1" applyAlignment="1">
      <alignment horizontal="center" vertical="center"/>
    </xf>
    <xf numFmtId="0" fontId="13" fillId="53" borderId="84" xfId="0" applyFont="1" applyFill="1" applyBorder="1" applyAlignment="1">
      <alignment horizontal="center" vertical="center"/>
    </xf>
    <xf numFmtId="0" fontId="13" fillId="53" borderId="83" xfId="0" applyFont="1" applyFill="1" applyBorder="1" applyAlignment="1">
      <alignment horizontal="center" vertical="center"/>
    </xf>
    <xf numFmtId="0" fontId="13" fillId="53" borderId="85" xfId="0" applyFont="1" applyFill="1" applyBorder="1" applyAlignment="1">
      <alignment horizontal="center" vertical="center"/>
    </xf>
    <xf numFmtId="0" fontId="4" fillId="23" borderId="84" xfId="0" applyFont="1" applyFill="1" applyBorder="1" applyAlignment="1">
      <alignment horizontal="center" vertical="center"/>
    </xf>
    <xf numFmtId="0" fontId="45" fillId="7" borderId="55" xfId="0" applyFont="1" applyFill="1" applyBorder="1" applyAlignment="1">
      <alignment horizontal="center" vertical="center"/>
    </xf>
    <xf numFmtId="0" fontId="45" fillId="7" borderId="90" xfId="0" applyFont="1" applyFill="1" applyBorder="1" applyAlignment="1">
      <alignment horizontal="center" vertical="center"/>
    </xf>
    <xf numFmtId="0" fontId="39" fillId="8" borderId="56" xfId="0" applyFont="1" applyFill="1" applyBorder="1" applyAlignment="1">
      <alignment horizontal="center" vertical="center"/>
    </xf>
    <xf numFmtId="0" fontId="39" fillId="8" borderId="57" xfId="0" applyFont="1" applyFill="1" applyBorder="1" applyAlignment="1">
      <alignment horizontal="center" vertical="center"/>
    </xf>
    <xf numFmtId="0" fontId="39" fillId="8" borderId="138" xfId="0" applyFont="1" applyFill="1" applyBorder="1" applyAlignment="1">
      <alignment horizontal="center" vertical="center"/>
    </xf>
    <xf numFmtId="0" fontId="4" fillId="0" borderId="146" xfId="0" applyFont="1" applyBorder="1" applyAlignment="1">
      <alignment horizontal="center" vertical="center" wrapText="1"/>
    </xf>
    <xf numFmtId="0" fontId="4" fillId="0" borderId="145" xfId="0" applyFont="1" applyBorder="1" applyAlignment="1">
      <alignment horizontal="center" vertical="center" wrapText="1"/>
    </xf>
    <xf numFmtId="0" fontId="4" fillId="0" borderId="143" xfId="0" applyFont="1" applyBorder="1" applyAlignment="1">
      <alignment horizontal="center" vertical="center" wrapText="1"/>
    </xf>
    <xf numFmtId="0" fontId="7" fillId="0" borderId="146" xfId="0" applyFont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128" fillId="63" borderId="56" xfId="0" applyFont="1" applyFill="1" applyBorder="1" applyAlignment="1">
      <alignment horizontal="center" vertical="center"/>
    </xf>
    <xf numFmtId="0" fontId="128" fillId="63" borderId="57" xfId="0" applyFont="1" applyFill="1" applyBorder="1" applyAlignment="1">
      <alignment horizontal="center" vertical="center"/>
    </xf>
    <xf numFmtId="0" fontId="128" fillId="63" borderId="73" xfId="0" applyFont="1" applyFill="1" applyBorder="1" applyAlignment="1">
      <alignment horizontal="center" vertical="center"/>
    </xf>
    <xf numFmtId="0" fontId="4" fillId="0" borderId="200" xfId="0" applyFont="1" applyBorder="1" applyAlignment="1">
      <alignment horizontal="center" vertical="center"/>
    </xf>
    <xf numFmtId="0" fontId="4" fillId="0" borderId="202" xfId="0" applyFont="1" applyBorder="1" applyAlignment="1">
      <alignment horizontal="center" vertical="center"/>
    </xf>
    <xf numFmtId="0" fontId="116" fillId="8" borderId="98" xfId="0" applyFont="1" applyFill="1" applyBorder="1" applyAlignment="1">
      <alignment horizontal="center" vertical="center"/>
    </xf>
    <xf numFmtId="0" fontId="35" fillId="8" borderId="35" xfId="0" applyFont="1" applyFill="1" applyBorder="1" applyAlignment="1">
      <alignment horizontal="center" vertical="center"/>
    </xf>
    <xf numFmtId="0" fontId="35" fillId="8" borderId="129" xfId="0" applyFont="1" applyFill="1" applyBorder="1" applyAlignment="1">
      <alignment horizontal="center" vertical="center"/>
    </xf>
    <xf numFmtId="0" fontId="4" fillId="43" borderId="55" xfId="0" applyFont="1" applyFill="1" applyBorder="1" applyAlignment="1">
      <alignment horizontal="center" vertical="center"/>
    </xf>
    <xf numFmtId="0" fontId="4" fillId="43" borderId="37" xfId="0" applyFont="1" applyFill="1" applyBorder="1" applyAlignment="1">
      <alignment horizontal="center" vertical="center"/>
    </xf>
    <xf numFmtId="0" fontId="4" fillId="43" borderId="90" xfId="0" applyFont="1" applyFill="1" applyBorder="1" applyAlignment="1">
      <alignment horizontal="center" vertical="center"/>
    </xf>
    <xf numFmtId="0" fontId="4" fillId="43" borderId="35" xfId="0" applyFont="1" applyFill="1" applyBorder="1" applyAlignment="1">
      <alignment horizontal="center" vertical="center"/>
    </xf>
    <xf numFmtId="0" fontId="83" fillId="8" borderId="32" xfId="0" applyFont="1" applyFill="1" applyBorder="1" applyAlignment="1">
      <alignment horizontal="center"/>
    </xf>
    <xf numFmtId="0" fontId="83" fillId="8" borderId="111" xfId="0" applyFont="1" applyFill="1" applyBorder="1" applyAlignment="1">
      <alignment horizontal="center"/>
    </xf>
    <xf numFmtId="0" fontId="35" fillId="8" borderId="56" xfId="0" applyFont="1" applyFill="1" applyBorder="1" applyAlignment="1">
      <alignment horizontal="center" vertical="center"/>
    </xf>
    <xf numFmtId="0" fontId="35" fillId="8" borderId="57" xfId="0" applyFont="1" applyFill="1" applyBorder="1" applyAlignment="1">
      <alignment horizontal="center" vertical="center"/>
    </xf>
    <xf numFmtId="0" fontId="35" fillId="8" borderId="73" xfId="0" applyFont="1" applyFill="1" applyBorder="1" applyAlignment="1">
      <alignment horizontal="center" vertical="center"/>
    </xf>
    <xf numFmtId="0" fontId="4" fillId="23" borderId="133" xfId="0" applyFont="1" applyFill="1" applyBorder="1" applyAlignment="1">
      <alignment horizontal="center" vertical="center"/>
    </xf>
    <xf numFmtId="0" fontId="4" fillId="23" borderId="134" xfId="0" applyFont="1" applyFill="1" applyBorder="1" applyAlignment="1">
      <alignment horizontal="center" vertical="center"/>
    </xf>
    <xf numFmtId="0" fontId="17" fillId="17" borderId="32" xfId="1" applyFont="1" applyFill="1" applyBorder="1" applyAlignment="1">
      <alignment horizontal="center" vertical="center" wrapText="1"/>
    </xf>
    <xf numFmtId="0" fontId="17" fillId="17" borderId="34" xfId="1" applyFont="1" applyFill="1" applyBorder="1" applyAlignment="1">
      <alignment horizontal="center" vertical="center" wrapText="1"/>
    </xf>
    <xf numFmtId="0" fontId="7" fillId="0" borderId="26" xfId="0" applyFont="1" applyBorder="1" applyAlignment="1"/>
    <xf numFmtId="0" fontId="4" fillId="16" borderId="32" xfId="0" applyFont="1" applyFill="1" applyBorder="1" applyAlignment="1">
      <alignment horizontal="center" wrapText="1"/>
    </xf>
    <xf numFmtId="0" fontId="4" fillId="16" borderId="34" xfId="0" applyFont="1" applyFill="1" applyBorder="1" applyAlignment="1">
      <alignment horizontal="center" wrapText="1"/>
    </xf>
    <xf numFmtId="0" fontId="7" fillId="8" borderId="62" xfId="0" applyFont="1" applyFill="1" applyBorder="1" applyAlignment="1">
      <alignment horizontal="center" vertical="center"/>
    </xf>
    <xf numFmtId="0" fontId="22" fillId="10" borderId="32" xfId="1" applyFont="1" applyFill="1" applyBorder="1" applyAlignment="1">
      <alignment horizontal="center" vertical="center" wrapText="1"/>
    </xf>
    <xf numFmtId="0" fontId="22" fillId="10" borderId="34" xfId="1" applyFont="1" applyFill="1" applyBorder="1" applyAlignment="1">
      <alignment horizontal="center" vertical="center" wrapText="1"/>
    </xf>
    <xf numFmtId="0" fontId="22" fillId="10" borderId="56" xfId="1" applyFont="1" applyFill="1" applyBorder="1" applyAlignment="1">
      <alignment horizontal="center" vertical="center" wrapText="1"/>
    </xf>
    <xf numFmtId="0" fontId="22" fillId="10" borderId="73" xfId="1" applyFont="1" applyFill="1" applyBorder="1" applyAlignment="1">
      <alignment horizontal="center" vertical="center" wrapText="1"/>
    </xf>
    <xf numFmtId="0" fontId="13" fillId="15" borderId="32" xfId="0" applyFont="1" applyFill="1" applyBorder="1" applyAlignment="1">
      <alignment horizontal="center" vertical="center"/>
    </xf>
    <xf numFmtId="0" fontId="13" fillId="15" borderId="34" xfId="0" applyFont="1" applyFill="1" applyBorder="1" applyAlignment="1">
      <alignment horizontal="center" vertical="center"/>
    </xf>
    <xf numFmtId="0" fontId="0" fillId="13" borderId="34" xfId="0" applyFill="1" applyBorder="1" applyAlignment="1">
      <alignment horizontal="center"/>
    </xf>
    <xf numFmtId="0" fontId="14" fillId="21" borderId="32" xfId="0" applyFont="1" applyFill="1" applyBorder="1" applyAlignment="1">
      <alignment horizontal="center" vertical="center"/>
    </xf>
    <xf numFmtId="0" fontId="14" fillId="21" borderId="33" xfId="0" applyFont="1" applyFill="1" applyBorder="1" applyAlignment="1">
      <alignment horizontal="center" vertical="center"/>
    </xf>
    <xf numFmtId="0" fontId="14" fillId="21" borderId="111" xfId="0" applyFont="1" applyFill="1" applyBorder="1" applyAlignment="1">
      <alignment horizontal="center" vertical="center"/>
    </xf>
    <xf numFmtId="0" fontId="7" fillId="8" borderId="32" xfId="0" applyFont="1" applyFill="1" applyBorder="1" applyAlignment="1">
      <alignment horizontal="center"/>
    </xf>
    <xf numFmtId="0" fontId="7" fillId="8" borderId="33" xfId="0" applyFont="1" applyFill="1" applyBorder="1" applyAlignment="1">
      <alignment horizontal="center"/>
    </xf>
    <xf numFmtId="0" fontId="7" fillId="8" borderId="34" xfId="0" applyFont="1" applyFill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7" fillId="0" borderId="49" xfId="0" applyFont="1" applyBorder="1" applyAlignment="1">
      <alignment horizontal="center"/>
    </xf>
    <xf numFmtId="0" fontId="6" fillId="5" borderId="90" xfId="0" applyFont="1" applyFill="1" applyBorder="1" applyAlignment="1">
      <alignment horizontal="center" vertical="center"/>
    </xf>
    <xf numFmtId="0" fontId="6" fillId="5" borderId="77" xfId="0" applyFont="1" applyFill="1" applyBorder="1" applyAlignment="1">
      <alignment horizontal="center" vertical="center"/>
    </xf>
    <xf numFmtId="0" fontId="5" fillId="40" borderId="14" xfId="0" applyFont="1" applyFill="1" applyBorder="1" applyAlignment="1">
      <alignment horizontal="center" vertical="center"/>
    </xf>
    <xf numFmtId="0" fontId="4" fillId="16" borderId="118" xfId="0" applyFont="1" applyFill="1" applyBorder="1" applyAlignment="1">
      <alignment horizontal="center" wrapText="1"/>
    </xf>
    <xf numFmtId="0" fontId="4" fillId="16" borderId="110" xfId="0" applyFont="1" applyFill="1" applyBorder="1" applyAlignment="1">
      <alignment horizontal="center" wrapText="1"/>
    </xf>
    <xf numFmtId="0" fontId="7" fillId="8" borderId="75" xfId="0" applyFont="1" applyFill="1" applyBorder="1" applyAlignment="1">
      <alignment horizontal="center" wrapText="1"/>
    </xf>
    <xf numFmtId="0" fontId="7" fillId="8" borderId="0" xfId="0" applyFont="1" applyFill="1" applyAlignment="1">
      <alignment horizontal="center" wrapText="1"/>
    </xf>
    <xf numFmtId="0" fontId="7" fillId="8" borderId="130" xfId="0" applyFont="1" applyFill="1" applyBorder="1" applyAlignment="1">
      <alignment horizontal="center" wrapText="1"/>
    </xf>
    <xf numFmtId="0" fontId="4" fillId="26" borderId="15" xfId="0" applyFont="1" applyFill="1" applyBorder="1" applyAlignment="1">
      <alignment horizontal="center" vertical="center"/>
    </xf>
    <xf numFmtId="0" fontId="4" fillId="26" borderId="55" xfId="0" applyFont="1" applyFill="1" applyBorder="1" applyAlignment="1">
      <alignment horizontal="center" vertical="center"/>
    </xf>
    <xf numFmtId="0" fontId="6" fillId="16" borderId="59" xfId="0" applyFont="1" applyFill="1" applyBorder="1" applyAlignment="1">
      <alignment horizontal="center" vertical="center"/>
    </xf>
    <xf numFmtId="0" fontId="43" fillId="17" borderId="32" xfId="1" applyFont="1" applyFill="1" applyBorder="1" applyAlignment="1">
      <alignment horizontal="center" vertical="center" wrapText="1"/>
    </xf>
    <xf numFmtId="0" fontId="43" fillId="17" borderId="34" xfId="1" applyFont="1" applyFill="1" applyBorder="1" applyAlignment="1">
      <alignment horizontal="center" vertical="center" wrapText="1"/>
    </xf>
    <xf numFmtId="0" fontId="4" fillId="18" borderId="108" xfId="0" applyFont="1" applyFill="1" applyBorder="1" applyAlignment="1">
      <alignment horizontal="center" vertical="center"/>
    </xf>
    <xf numFmtId="0" fontId="4" fillId="18" borderId="70" xfId="0" applyFont="1" applyFill="1" applyBorder="1" applyAlignment="1">
      <alignment horizontal="center" vertical="center"/>
    </xf>
    <xf numFmtId="0" fontId="4" fillId="18" borderId="109" xfId="0" applyFont="1" applyFill="1" applyBorder="1" applyAlignment="1">
      <alignment horizontal="center" vertical="center"/>
    </xf>
    <xf numFmtId="0" fontId="26" fillId="10" borderId="34" xfId="0" applyFont="1" applyFill="1" applyBorder="1" applyAlignment="1">
      <alignment horizontal="center" vertical="center"/>
    </xf>
    <xf numFmtId="0" fontId="22" fillId="10" borderId="118" xfId="1" applyFont="1" applyFill="1" applyBorder="1" applyAlignment="1">
      <alignment horizontal="center" vertical="center" wrapText="1"/>
    </xf>
    <xf numFmtId="0" fontId="22" fillId="10" borderId="110" xfId="1" applyFont="1" applyFill="1" applyBorder="1" applyAlignment="1">
      <alignment horizontal="center" vertical="center" wrapText="1"/>
    </xf>
    <xf numFmtId="0" fontId="4" fillId="16" borderId="32" xfId="0" applyFont="1" applyFill="1" applyBorder="1" applyAlignment="1">
      <alignment horizontal="center" vertical="center"/>
    </xf>
    <xf numFmtId="0" fontId="4" fillId="16" borderId="33" xfId="0" applyFont="1" applyFill="1" applyBorder="1" applyAlignment="1">
      <alignment horizontal="center" vertical="center"/>
    </xf>
    <xf numFmtId="0" fontId="4" fillId="16" borderId="111" xfId="0" applyFont="1" applyFill="1" applyBorder="1" applyAlignment="1">
      <alignment horizontal="center" vertical="center"/>
    </xf>
    <xf numFmtId="0" fontId="35" fillId="0" borderId="55" xfId="0" applyFont="1" applyBorder="1" applyAlignment="1">
      <alignment horizontal="center" vertical="center"/>
    </xf>
    <xf numFmtId="0" fontId="35" fillId="0" borderId="37" xfId="0" applyFont="1" applyBorder="1" applyAlignment="1">
      <alignment horizontal="center" vertical="center"/>
    </xf>
    <xf numFmtId="0" fontId="35" fillId="0" borderId="90" xfId="0" applyFont="1" applyBorder="1" applyAlignment="1">
      <alignment horizontal="center" vertical="center"/>
    </xf>
    <xf numFmtId="0" fontId="54" fillId="13" borderId="32" xfId="0" applyFont="1" applyFill="1" applyBorder="1" applyAlignment="1">
      <alignment horizontal="center"/>
    </xf>
    <xf numFmtId="0" fontId="54" fillId="13" borderId="33" xfId="0" applyFont="1" applyFill="1" applyBorder="1" applyAlignment="1">
      <alignment horizontal="center"/>
    </xf>
    <xf numFmtId="0" fontId="54" fillId="13" borderId="34" xfId="0" applyFont="1" applyFill="1" applyBorder="1" applyAlignment="1">
      <alignment horizontal="center"/>
    </xf>
    <xf numFmtId="0" fontId="4" fillId="43" borderId="111" xfId="0" applyFont="1" applyFill="1" applyBorder="1" applyAlignment="1">
      <alignment horizontal="center" vertical="center"/>
    </xf>
    <xf numFmtId="0" fontId="4" fillId="23" borderId="66" xfId="0" applyFont="1" applyFill="1" applyBorder="1" applyAlignment="1">
      <alignment horizontal="center" vertical="center"/>
    </xf>
    <xf numFmtId="0" fontId="4" fillId="65" borderId="84" xfId="0" applyFont="1" applyFill="1" applyBorder="1" applyAlignment="1">
      <alignment horizontal="center" vertical="center"/>
    </xf>
    <xf numFmtId="0" fontId="4" fillId="65" borderId="83" xfId="0" applyFont="1" applyFill="1" applyBorder="1" applyAlignment="1">
      <alignment horizontal="center" vertical="center"/>
    </xf>
    <xf numFmtId="0" fontId="4" fillId="65" borderId="85" xfId="0" applyFont="1" applyFill="1" applyBorder="1" applyAlignment="1">
      <alignment horizontal="center" vertical="center"/>
    </xf>
    <xf numFmtId="0" fontId="4" fillId="68" borderId="84" xfId="0" applyFont="1" applyFill="1" applyBorder="1" applyAlignment="1">
      <alignment horizontal="center" vertical="center"/>
    </xf>
    <xf numFmtId="0" fontId="4" fillId="68" borderId="85" xfId="0" applyFont="1" applyFill="1" applyBorder="1" applyAlignment="1">
      <alignment horizontal="center" vertical="center"/>
    </xf>
    <xf numFmtId="0" fontId="61" fillId="29" borderId="5" xfId="0" applyFont="1" applyFill="1" applyBorder="1" applyAlignment="1">
      <alignment horizontal="center" vertical="center"/>
    </xf>
    <xf numFmtId="0" fontId="61" fillId="29" borderId="62" xfId="0" applyFont="1" applyFill="1" applyBorder="1" applyAlignment="1">
      <alignment horizontal="center" vertical="center"/>
    </xf>
    <xf numFmtId="0" fontId="121" fillId="63" borderId="42" xfId="0" applyFont="1" applyFill="1" applyBorder="1" applyAlignment="1">
      <alignment horizontal="center" vertical="center"/>
    </xf>
    <xf numFmtId="0" fontId="39" fillId="63" borderId="77" xfId="0" applyFont="1" applyFill="1" applyBorder="1" applyAlignment="1">
      <alignment horizontal="center" vertical="center"/>
    </xf>
    <xf numFmtId="0" fontId="39" fillId="63" borderId="144" xfId="0" applyFont="1" applyFill="1" applyBorder="1" applyAlignment="1">
      <alignment horizontal="center" vertical="center"/>
    </xf>
    <xf numFmtId="0" fontId="4" fillId="8" borderId="32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37" xfId="0" applyFont="1" applyFill="1" applyBorder="1" applyAlignment="1">
      <alignment horizontal="center" vertical="center" wrapText="1"/>
    </xf>
    <xf numFmtId="0" fontId="6" fillId="8" borderId="34" xfId="0" applyFont="1" applyFill="1" applyBorder="1" applyAlignment="1">
      <alignment horizontal="center" vertical="center" wrapText="1"/>
    </xf>
    <xf numFmtId="0" fontId="4" fillId="7" borderId="65" xfId="0" applyFont="1" applyFill="1" applyBorder="1" applyAlignment="1">
      <alignment horizontal="center" vertical="center"/>
    </xf>
    <xf numFmtId="0" fontId="4" fillId="0" borderId="146" xfId="0" applyFont="1" applyBorder="1" applyAlignment="1">
      <alignment horizontal="center" vertical="center"/>
    </xf>
    <xf numFmtId="0" fontId="7" fillId="56" borderId="65" xfId="0" applyFont="1" applyFill="1" applyBorder="1" applyAlignment="1">
      <alignment horizontal="center" vertical="center"/>
    </xf>
    <xf numFmtId="0" fontId="7" fillId="56" borderId="33" xfId="0" applyFont="1" applyFill="1" applyBorder="1" applyAlignment="1">
      <alignment horizontal="center" vertical="center"/>
    </xf>
    <xf numFmtId="0" fontId="7" fillId="56" borderId="32" xfId="0" applyFont="1" applyFill="1" applyBorder="1" applyAlignment="1">
      <alignment horizontal="center" vertical="center"/>
    </xf>
    <xf numFmtId="0" fontId="7" fillId="56" borderId="34" xfId="0" applyFont="1" applyFill="1" applyBorder="1" applyAlignment="1">
      <alignment horizontal="center" vertical="center"/>
    </xf>
    <xf numFmtId="0" fontId="121" fillId="63" borderId="5" xfId="0" applyFont="1" applyFill="1" applyBorder="1" applyAlignment="1">
      <alignment horizontal="center" vertical="center"/>
    </xf>
    <xf numFmtId="0" fontId="4" fillId="7" borderId="118" xfId="0" applyFont="1" applyFill="1" applyBorder="1" applyAlignment="1">
      <alignment horizontal="center" vertical="center"/>
    </xf>
    <xf numFmtId="0" fontId="4" fillId="7" borderId="35" xfId="0" applyFont="1" applyFill="1" applyBorder="1" applyAlignment="1">
      <alignment horizontal="center" vertical="center"/>
    </xf>
    <xf numFmtId="0" fontId="6" fillId="53" borderId="131" xfId="0" applyFont="1" applyFill="1" applyBorder="1" applyAlignment="1">
      <alignment horizontal="left" vertical="center"/>
    </xf>
    <xf numFmtId="0" fontId="6" fillId="53" borderId="77" xfId="0" applyFont="1" applyFill="1" applyBorder="1" applyAlignment="1">
      <alignment horizontal="left" vertical="center"/>
    </xf>
    <xf numFmtId="0" fontId="6" fillId="53" borderId="144" xfId="0" applyFont="1" applyFill="1" applyBorder="1" applyAlignment="1">
      <alignment horizontal="left" vertical="center"/>
    </xf>
    <xf numFmtId="0" fontId="4" fillId="7" borderId="75" xfId="0" applyFont="1" applyFill="1" applyBorder="1" applyAlignment="1">
      <alignment horizontal="center" vertical="center"/>
    </xf>
    <xf numFmtId="0" fontId="4" fillId="7" borderId="110" xfId="0" applyFont="1" applyFill="1" applyBorder="1" applyAlignment="1">
      <alignment horizontal="center" vertical="center"/>
    </xf>
    <xf numFmtId="0" fontId="7" fillId="56" borderId="111" xfId="0" applyFont="1" applyFill="1" applyBorder="1" applyAlignment="1">
      <alignment horizontal="center" vertical="center"/>
    </xf>
    <xf numFmtId="0" fontId="7" fillId="56" borderId="5" xfId="0" applyFont="1" applyFill="1" applyBorder="1" applyAlignment="1">
      <alignment horizontal="center" vertical="center"/>
    </xf>
    <xf numFmtId="0" fontId="7" fillId="56" borderId="62" xfId="0" applyFont="1" applyFill="1" applyBorder="1" applyAlignment="1">
      <alignment horizontal="center" vertical="center"/>
    </xf>
    <xf numFmtId="0" fontId="116" fillId="8" borderId="35" xfId="0" applyFont="1" applyFill="1" applyBorder="1" applyAlignment="1">
      <alignment horizontal="center" vertical="center"/>
    </xf>
    <xf numFmtId="0" fontId="7" fillId="56" borderId="37" xfId="0" applyFont="1" applyFill="1" applyBorder="1" applyAlignment="1">
      <alignment horizontal="center" vertical="center"/>
    </xf>
    <xf numFmtId="0" fontId="7" fillId="56" borderId="130" xfId="0" applyFont="1" applyFill="1" applyBorder="1" applyAlignment="1">
      <alignment horizontal="center" vertical="center"/>
    </xf>
    <xf numFmtId="0" fontId="35" fillId="8" borderId="37" xfId="0" applyFont="1" applyFill="1" applyBorder="1" applyAlignment="1">
      <alignment horizontal="center" vertical="center"/>
    </xf>
    <xf numFmtId="0" fontId="35" fillId="8" borderId="90" xfId="0" applyFont="1" applyFill="1" applyBorder="1" applyAlignment="1">
      <alignment horizontal="center" vertical="center"/>
    </xf>
    <xf numFmtId="0" fontId="6" fillId="36" borderId="65" xfId="0" applyFont="1" applyFill="1" applyBorder="1" applyAlignment="1">
      <alignment horizontal="center" vertical="center"/>
    </xf>
    <xf numFmtId="0" fontId="4" fillId="56" borderId="62" xfId="0" applyFont="1" applyFill="1" applyBorder="1" applyAlignment="1">
      <alignment horizontal="center" vertical="center"/>
    </xf>
    <xf numFmtId="0" fontId="4" fillId="56" borderId="32" xfId="0" applyFont="1" applyFill="1" applyBorder="1" applyAlignment="1">
      <alignment horizontal="center" vertical="center"/>
    </xf>
    <xf numFmtId="0" fontId="4" fillId="56" borderId="33" xfId="0" applyFont="1" applyFill="1" applyBorder="1" applyAlignment="1">
      <alignment horizontal="center" vertical="center"/>
    </xf>
    <xf numFmtId="0" fontId="4" fillId="56" borderId="34" xfId="0" applyFont="1" applyFill="1" applyBorder="1" applyAlignment="1">
      <alignment horizontal="center" vertical="center"/>
    </xf>
    <xf numFmtId="0" fontId="4" fillId="10" borderId="65" xfId="0" applyFont="1" applyFill="1" applyBorder="1" applyAlignment="1">
      <alignment horizontal="center" vertical="center"/>
    </xf>
    <xf numFmtId="49" fontId="13" fillId="2" borderId="98" xfId="0" applyNumberFormat="1" applyFont="1" applyFill="1" applyBorder="1" applyAlignment="1">
      <alignment horizontal="center" vertical="center"/>
    </xf>
    <xf numFmtId="0" fontId="6" fillId="24" borderId="104" xfId="0" applyFont="1" applyFill="1" applyBorder="1" applyAlignment="1">
      <alignment horizontal="center" vertical="center"/>
    </xf>
    <xf numFmtId="0" fontId="6" fillId="24" borderId="105" xfId="0" applyFont="1" applyFill="1" applyBorder="1" applyAlignment="1">
      <alignment horizontal="center" vertical="center"/>
    </xf>
    <xf numFmtId="0" fontId="13" fillId="18" borderId="104" xfId="0" applyFont="1" applyFill="1" applyBorder="1" applyAlignment="1">
      <alignment horizontal="center" vertical="center"/>
    </xf>
    <xf numFmtId="0" fontId="13" fillId="18" borderId="134" xfId="0" applyFont="1" applyFill="1" applyBorder="1" applyAlignment="1">
      <alignment horizontal="center" vertical="center"/>
    </xf>
    <xf numFmtId="0" fontId="13" fillId="6" borderId="133" xfId="0" applyFont="1" applyFill="1" applyBorder="1" applyAlignment="1">
      <alignment horizontal="center" vertical="center"/>
    </xf>
    <xf numFmtId="0" fontId="13" fillId="6" borderId="105" xfId="0" applyFont="1" applyFill="1" applyBorder="1" applyAlignment="1">
      <alignment horizontal="center" vertical="center"/>
    </xf>
    <xf numFmtId="0" fontId="13" fillId="6" borderId="134" xfId="0" applyFont="1" applyFill="1" applyBorder="1" applyAlignment="1">
      <alignment horizontal="center" vertical="center"/>
    </xf>
    <xf numFmtId="0" fontId="4" fillId="5" borderId="55" xfId="0" applyFont="1" applyFill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/>
    </xf>
    <xf numFmtId="0" fontId="4" fillId="5" borderId="111" xfId="0" applyFont="1" applyFill="1" applyBorder="1" applyAlignment="1">
      <alignment horizontal="center" vertical="center"/>
    </xf>
    <xf numFmtId="0" fontId="35" fillId="25" borderId="32" xfId="0" applyFont="1" applyFill="1" applyBorder="1" applyAlignment="1">
      <alignment horizontal="center" vertical="center"/>
    </xf>
    <xf numFmtId="0" fontId="35" fillId="25" borderId="111" xfId="0" applyFont="1" applyFill="1" applyBorder="1" applyAlignment="1">
      <alignment horizontal="center" vertical="center"/>
    </xf>
    <xf numFmtId="0" fontId="4" fillId="67" borderId="32" xfId="0" applyFont="1" applyFill="1" applyBorder="1" applyAlignment="1">
      <alignment horizontal="center" vertical="center"/>
    </xf>
    <xf numFmtId="0" fontId="4" fillId="67" borderId="34" xfId="0" applyFont="1" applyFill="1" applyBorder="1" applyAlignment="1">
      <alignment horizontal="center" vertical="center"/>
    </xf>
    <xf numFmtId="0" fontId="123" fillId="66" borderId="5" xfId="0" applyFont="1" applyFill="1" applyBorder="1" applyAlignment="1">
      <alignment horizontal="center"/>
    </xf>
    <xf numFmtId="0" fontId="123" fillId="66" borderId="32" xfId="0" applyFont="1" applyFill="1" applyBorder="1" applyAlignment="1">
      <alignment horizontal="center"/>
    </xf>
    <xf numFmtId="0" fontId="18" fillId="5" borderId="5" xfId="0" applyFont="1" applyFill="1" applyBorder="1" applyAlignment="1">
      <alignment horizontal="center"/>
    </xf>
    <xf numFmtId="0" fontId="18" fillId="5" borderId="62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0" fontId="18" fillId="5" borderId="67" xfId="0" applyFont="1" applyFill="1" applyBorder="1" applyAlignment="1">
      <alignment horizontal="center"/>
    </xf>
    <xf numFmtId="0" fontId="4" fillId="0" borderId="69" xfId="0" applyFont="1" applyBorder="1" applyAlignment="1">
      <alignment horizontal="center" vertical="center" wrapText="1"/>
    </xf>
    <xf numFmtId="0" fontId="4" fillId="0" borderId="117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21" xfId="0" applyFont="1" applyBorder="1" applyAlignment="1">
      <alignment horizontal="center" vertical="center"/>
    </xf>
    <xf numFmtId="0" fontId="35" fillId="8" borderId="98" xfId="0" applyFont="1" applyFill="1" applyBorder="1" applyAlignment="1">
      <alignment horizontal="center" vertical="center"/>
    </xf>
    <xf numFmtId="0" fontId="4" fillId="8" borderId="80" xfId="0" applyFont="1" applyFill="1" applyBorder="1" applyAlignment="1">
      <alignment horizontal="center" vertical="center"/>
    </xf>
    <xf numFmtId="0" fontId="4" fillId="8" borderId="91" xfId="0" applyFont="1" applyFill="1" applyBorder="1" applyAlignment="1">
      <alignment horizontal="center" vertical="center"/>
    </xf>
    <xf numFmtId="0" fontId="7" fillId="29" borderId="43" xfId="0" applyFont="1" applyFill="1" applyBorder="1" applyAlignment="1">
      <alignment horizontal="center" vertical="center"/>
    </xf>
    <xf numFmtId="0" fontId="4" fillId="53" borderId="32" xfId="0" applyFont="1" applyFill="1" applyBorder="1" applyAlignment="1">
      <alignment horizontal="center" vertical="center"/>
    </xf>
    <xf numFmtId="0" fontId="4" fillId="53" borderId="33" xfId="0" applyFont="1" applyFill="1" applyBorder="1" applyAlignment="1">
      <alignment horizontal="center" vertical="center"/>
    </xf>
    <xf numFmtId="0" fontId="4" fillId="53" borderId="35" xfId="0" applyFont="1" applyFill="1" applyBorder="1" applyAlignment="1">
      <alignment horizontal="center" vertical="center"/>
    </xf>
    <xf numFmtId="0" fontId="4" fillId="53" borderId="130" xfId="0" applyFont="1" applyFill="1" applyBorder="1" applyAlignment="1">
      <alignment horizontal="center" vertical="center"/>
    </xf>
    <xf numFmtId="0" fontId="104" fillId="7" borderId="91" xfId="0" applyFont="1" applyFill="1" applyBorder="1" applyAlignment="1">
      <alignment horizontal="center" vertical="center"/>
    </xf>
    <xf numFmtId="0" fontId="104" fillId="7" borderId="14" xfId="0" applyFont="1" applyFill="1" applyBorder="1" applyAlignment="1">
      <alignment horizontal="center" vertical="center"/>
    </xf>
    <xf numFmtId="0" fontId="39" fillId="10" borderId="56" xfId="0" applyFont="1" applyFill="1" applyBorder="1" applyAlignment="1">
      <alignment horizontal="center" vertical="center"/>
    </xf>
    <xf numFmtId="0" fontId="39" fillId="10" borderId="73" xfId="0" applyFont="1" applyFill="1" applyBorder="1" applyAlignment="1">
      <alignment horizontal="center" vertical="center"/>
    </xf>
    <xf numFmtId="0" fontId="122" fillId="63" borderId="32" xfId="0" applyFont="1" applyFill="1" applyBorder="1" applyAlignment="1">
      <alignment horizontal="center" vertical="center"/>
    </xf>
    <xf numFmtId="0" fontId="122" fillId="63" borderId="33" xfId="0" applyFont="1" applyFill="1" applyBorder="1" applyAlignment="1">
      <alignment horizontal="center" vertical="center"/>
    </xf>
    <xf numFmtId="0" fontId="122" fillId="63" borderId="34" xfId="0" applyFont="1" applyFill="1" applyBorder="1" applyAlignment="1">
      <alignment horizontal="center" vertical="center"/>
    </xf>
    <xf numFmtId="0" fontId="64" fillId="42" borderId="5" xfId="0" applyFont="1" applyFill="1" applyBorder="1" applyAlignment="1">
      <alignment horizontal="center" vertical="center"/>
    </xf>
    <xf numFmtId="0" fontId="13" fillId="64" borderId="43" xfId="0" applyFont="1" applyFill="1" applyBorder="1" applyAlignment="1">
      <alignment horizontal="center" vertical="center"/>
    </xf>
    <xf numFmtId="0" fontId="4" fillId="19" borderId="69" xfId="0" applyFont="1" applyFill="1" applyBorder="1" applyAlignment="1">
      <alignment horizontal="center" vertical="center" wrapText="1"/>
    </xf>
    <xf numFmtId="0" fontId="4" fillId="19" borderId="117" xfId="0" applyFont="1" applyFill="1" applyBorder="1" applyAlignment="1">
      <alignment horizontal="center" vertical="center" wrapText="1"/>
    </xf>
    <xf numFmtId="0" fontId="4" fillId="19" borderId="42" xfId="0" applyFont="1" applyFill="1" applyBorder="1" applyAlignment="1">
      <alignment horizontal="center" vertical="center" wrapText="1"/>
    </xf>
    <xf numFmtId="0" fontId="6" fillId="64" borderId="5" xfId="0" applyFont="1" applyFill="1" applyBorder="1" applyAlignment="1">
      <alignment horizontal="center" vertical="center"/>
    </xf>
    <xf numFmtId="0" fontId="6" fillId="64" borderId="62" xfId="0" applyFont="1" applyFill="1" applyBorder="1" applyAlignment="1">
      <alignment horizontal="center" vertical="center"/>
    </xf>
    <xf numFmtId="0" fontId="13" fillId="64" borderId="5" xfId="0" applyFont="1" applyFill="1" applyBorder="1" applyAlignment="1">
      <alignment horizontal="center" vertical="center"/>
    </xf>
    <xf numFmtId="0" fontId="13" fillId="64" borderId="15" xfId="0" applyFont="1" applyFill="1" applyBorder="1" applyAlignment="1">
      <alignment horizontal="center" vertical="center"/>
    </xf>
    <xf numFmtId="0" fontId="6" fillId="8" borderId="83" xfId="0" applyFont="1" applyFill="1" applyBorder="1" applyAlignment="1">
      <alignment horizontal="center" vertical="center"/>
    </xf>
    <xf numFmtId="0" fontId="6" fillId="8" borderId="129" xfId="0" applyFont="1" applyFill="1" applyBorder="1" applyAlignment="1">
      <alignment horizontal="center" vertical="center"/>
    </xf>
    <xf numFmtId="0" fontId="4" fillId="42" borderId="60" xfId="0" applyFont="1" applyFill="1" applyBorder="1" applyAlignment="1">
      <alignment horizontal="center" vertical="center"/>
    </xf>
    <xf numFmtId="0" fontId="4" fillId="56" borderId="60" xfId="0" applyFont="1" applyFill="1" applyBorder="1" applyAlignment="1">
      <alignment horizontal="center" vertical="center"/>
    </xf>
    <xf numFmtId="0" fontId="104" fillId="22" borderId="15" xfId="0" applyFont="1" applyFill="1" applyBorder="1" applyAlignment="1">
      <alignment horizontal="center" vertical="center"/>
    </xf>
    <xf numFmtId="0" fontId="104" fillId="7" borderId="64" xfId="0" applyFont="1" applyFill="1" applyBorder="1" applyAlignment="1">
      <alignment horizontal="center" vertical="center"/>
    </xf>
    <xf numFmtId="0" fontId="104" fillId="7" borderId="5" xfId="0" applyFont="1" applyFill="1" applyBorder="1" applyAlignment="1">
      <alignment horizontal="center" vertical="center"/>
    </xf>
    <xf numFmtId="0" fontId="61" fillId="43" borderId="50" xfId="0" applyFont="1" applyFill="1" applyBorder="1" applyAlignment="1">
      <alignment horizontal="center" vertical="center"/>
    </xf>
    <xf numFmtId="0" fontId="61" fillId="43" borderId="4" xfId="0" applyFont="1" applyFill="1" applyBorder="1" applyAlignment="1">
      <alignment horizontal="center" vertical="center"/>
    </xf>
    <xf numFmtId="0" fontId="61" fillId="61" borderId="66" xfId="0" applyFont="1" applyFill="1" applyBorder="1" applyAlignment="1">
      <alignment horizontal="center" vertical="center"/>
    </xf>
    <xf numFmtId="0" fontId="61" fillId="61" borderId="37" xfId="0" applyFont="1" applyFill="1" applyBorder="1" applyAlignment="1">
      <alignment horizontal="center" vertical="center"/>
    </xf>
    <xf numFmtId="0" fontId="61" fillId="23" borderId="78" xfId="0" applyFont="1" applyFill="1" applyBorder="1" applyAlignment="1">
      <alignment horizontal="center" vertical="center"/>
    </xf>
    <xf numFmtId="0" fontId="61" fillId="23" borderId="60" xfId="0" applyFont="1" applyFill="1" applyBorder="1" applyAlignment="1">
      <alignment horizontal="center" vertical="center"/>
    </xf>
    <xf numFmtId="0" fontId="61" fillId="23" borderId="84" xfId="0" applyFont="1" applyFill="1" applyBorder="1" applyAlignment="1">
      <alignment horizontal="center" vertical="center"/>
    </xf>
    <xf numFmtId="0" fontId="6" fillId="64" borderId="32" xfId="0" applyFont="1" applyFill="1" applyBorder="1" applyAlignment="1">
      <alignment horizontal="center" vertical="center"/>
    </xf>
    <xf numFmtId="0" fontId="6" fillId="64" borderId="33" xfId="0" applyFont="1" applyFill="1" applyBorder="1" applyAlignment="1">
      <alignment horizontal="center" vertical="center"/>
    </xf>
    <xf numFmtId="0" fontId="6" fillId="64" borderId="111" xfId="0" applyFont="1" applyFill="1" applyBorder="1" applyAlignment="1">
      <alignment horizontal="center" vertical="center"/>
    </xf>
    <xf numFmtId="0" fontId="13" fillId="64" borderId="118" xfId="0" applyFont="1" applyFill="1" applyBorder="1" applyAlignment="1">
      <alignment horizontal="center" vertical="center"/>
    </xf>
    <xf numFmtId="0" fontId="13" fillId="64" borderId="35" xfId="0" applyFont="1" applyFill="1" applyBorder="1" applyAlignment="1">
      <alignment horizontal="center" vertical="center"/>
    </xf>
    <xf numFmtId="0" fontId="13" fillId="64" borderId="110" xfId="0" applyFont="1" applyFill="1" applyBorder="1" applyAlignment="1">
      <alignment horizontal="center" vertical="center"/>
    </xf>
    <xf numFmtId="0" fontId="4" fillId="0" borderId="98" xfId="0" applyFont="1" applyBorder="1" applyAlignment="1">
      <alignment horizontal="center" vertical="center"/>
    </xf>
    <xf numFmtId="0" fontId="4" fillId="0" borderId="65" xfId="0" applyFont="1" applyBorder="1" applyAlignment="1">
      <alignment horizontal="center" vertical="center"/>
    </xf>
    <xf numFmtId="0" fontId="4" fillId="0" borderId="66" xfId="0" applyFont="1" applyBorder="1" applyAlignment="1">
      <alignment horizontal="center" vertical="center"/>
    </xf>
    <xf numFmtId="0" fontId="6" fillId="8" borderId="70" xfId="0" applyFont="1" applyFill="1" applyBorder="1" applyAlignment="1">
      <alignment horizontal="center" vertical="center"/>
    </xf>
    <xf numFmtId="0" fontId="6" fillId="8" borderId="139" xfId="0" applyFont="1" applyFill="1" applyBorder="1" applyAlignment="1">
      <alignment horizontal="center" vertical="center"/>
    </xf>
    <xf numFmtId="0" fontId="6" fillId="21" borderId="111" xfId="0" applyFont="1" applyFill="1" applyBorder="1" applyAlignment="1">
      <alignment horizontal="center" vertical="center"/>
    </xf>
    <xf numFmtId="0" fontId="39" fillId="15" borderId="56" xfId="0" applyFont="1" applyFill="1" applyBorder="1" applyAlignment="1">
      <alignment horizontal="center" vertical="center"/>
    </xf>
    <xf numFmtId="0" fontId="39" fillId="15" borderId="57" xfId="0" applyFont="1" applyFill="1" applyBorder="1" applyAlignment="1">
      <alignment horizontal="center" vertical="center"/>
    </xf>
    <xf numFmtId="0" fontId="39" fillId="15" borderId="138" xfId="0" applyFont="1" applyFill="1" applyBorder="1" applyAlignment="1">
      <alignment horizontal="center" vertical="center"/>
    </xf>
    <xf numFmtId="0" fontId="6" fillId="29" borderId="33" xfId="0" applyFont="1" applyFill="1" applyBorder="1" applyAlignment="1">
      <alignment horizontal="center" vertical="center"/>
    </xf>
    <xf numFmtId="0" fontId="6" fillId="29" borderId="3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7" fillId="67" borderId="112" xfId="0" applyFont="1" applyFill="1" applyBorder="1" applyAlignment="1">
      <alignment horizontal="center" vertical="center"/>
    </xf>
    <xf numFmtId="0" fontId="7" fillId="67" borderId="110" xfId="0" applyFont="1" applyFill="1" applyBorder="1" applyAlignment="1">
      <alignment horizontal="center" vertical="center"/>
    </xf>
    <xf numFmtId="0" fontId="8" fillId="5" borderId="65" xfId="0" applyFont="1" applyFill="1" applyBorder="1" applyAlignment="1">
      <alignment horizontal="center" vertical="center"/>
    </xf>
    <xf numFmtId="0" fontId="61" fillId="7" borderId="65" xfId="0" applyFont="1" applyFill="1" applyBorder="1" applyAlignment="1">
      <alignment horizontal="center" vertical="center"/>
    </xf>
    <xf numFmtId="0" fontId="61" fillId="7" borderId="33" xfId="0" applyFont="1" applyFill="1" applyBorder="1" applyAlignment="1">
      <alignment horizontal="center" vertical="center"/>
    </xf>
    <xf numFmtId="0" fontId="61" fillId="7" borderId="34" xfId="0" applyFont="1" applyFill="1" applyBorder="1" applyAlignment="1">
      <alignment horizontal="center" vertical="center"/>
    </xf>
    <xf numFmtId="0" fontId="4" fillId="25" borderId="34" xfId="0" applyFont="1" applyFill="1" applyBorder="1" applyAlignment="1">
      <alignment horizontal="center" vertical="center"/>
    </xf>
    <xf numFmtId="0" fontId="8" fillId="74" borderId="65" xfId="0" applyFont="1" applyFill="1" applyBorder="1" applyAlignment="1">
      <alignment horizontal="center" vertical="center"/>
    </xf>
    <xf numFmtId="0" fontId="8" fillId="74" borderId="33" xfId="0" applyFont="1" applyFill="1" applyBorder="1" applyAlignment="1">
      <alignment horizontal="center" vertical="center"/>
    </xf>
    <xf numFmtId="0" fontId="6" fillId="10" borderId="84" xfId="0" applyFont="1" applyFill="1" applyBorder="1" applyAlignment="1">
      <alignment horizontal="center" vertical="center"/>
    </xf>
    <xf numFmtId="0" fontId="6" fillId="10" borderId="83" xfId="0" applyFont="1" applyFill="1" applyBorder="1" applyAlignment="1">
      <alignment horizontal="center" vertical="center"/>
    </xf>
    <xf numFmtId="0" fontId="6" fillId="10" borderId="85" xfId="0" applyFont="1" applyFill="1" applyBorder="1" applyAlignment="1">
      <alignment horizontal="center" vertical="center"/>
    </xf>
    <xf numFmtId="0" fontId="4" fillId="0" borderId="112" xfId="0" applyFont="1" applyBorder="1" applyAlignment="1">
      <alignment horizontal="center" vertical="center"/>
    </xf>
    <xf numFmtId="0" fontId="4" fillId="0" borderId="68" xfId="0" applyFont="1" applyBorder="1" applyAlignment="1">
      <alignment horizontal="center" vertical="center"/>
    </xf>
    <xf numFmtId="0" fontId="4" fillId="0" borderId="145" xfId="0" applyFont="1" applyBorder="1" applyAlignment="1">
      <alignment horizontal="center" vertical="center"/>
    </xf>
    <xf numFmtId="0" fontId="6" fillId="64" borderId="56" xfId="0" applyFont="1" applyFill="1" applyBorder="1" applyAlignment="1">
      <alignment horizontal="center" vertical="center"/>
    </xf>
    <xf numFmtId="0" fontId="6" fillId="64" borderId="57" xfId="0" applyFont="1" applyFill="1" applyBorder="1" applyAlignment="1">
      <alignment horizontal="center" vertical="center"/>
    </xf>
    <xf numFmtId="0" fontId="6" fillId="64" borderId="138" xfId="0" applyFont="1" applyFill="1" applyBorder="1" applyAlignment="1">
      <alignment horizontal="center" vertical="center"/>
    </xf>
    <xf numFmtId="0" fontId="106" fillId="22" borderId="32" xfId="0" applyFont="1" applyFill="1" applyBorder="1" applyAlignment="1">
      <alignment horizontal="center" vertical="center"/>
    </xf>
    <xf numFmtId="0" fontId="106" fillId="22" borderId="33" xfId="0" applyFont="1" applyFill="1" applyBorder="1" applyAlignment="1">
      <alignment horizontal="center" vertical="center"/>
    </xf>
    <xf numFmtId="0" fontId="106" fillId="22" borderId="34" xfId="0" applyFont="1" applyFill="1" applyBorder="1" applyAlignment="1">
      <alignment horizontal="center" vertical="center"/>
    </xf>
    <xf numFmtId="0" fontId="6" fillId="8" borderId="60" xfId="0" applyFont="1" applyFill="1" applyBorder="1" applyAlignment="1">
      <alignment horizontal="center" vertical="center"/>
    </xf>
    <xf numFmtId="0" fontId="4" fillId="42" borderId="32" xfId="0" applyFont="1" applyFill="1" applyBorder="1" applyAlignment="1">
      <alignment horizontal="center" vertical="center"/>
    </xf>
    <xf numFmtId="0" fontId="4" fillId="42" borderId="34" xfId="0" applyFont="1" applyFill="1" applyBorder="1" applyAlignment="1">
      <alignment horizontal="center" vertical="center"/>
    </xf>
    <xf numFmtId="0" fontId="74" fillId="5" borderId="80" xfId="0" applyFont="1" applyFill="1" applyBorder="1" applyAlignment="1">
      <alignment horizontal="center" vertical="center"/>
    </xf>
    <xf numFmtId="0" fontId="74" fillId="5" borderId="15" xfId="0" applyFont="1" applyFill="1" applyBorder="1" applyAlignment="1">
      <alignment horizontal="center" vertical="center"/>
    </xf>
    <xf numFmtId="0" fontId="74" fillId="5" borderId="55" xfId="0" applyFont="1" applyFill="1" applyBorder="1" applyAlignment="1">
      <alignment horizontal="center" vertical="center"/>
    </xf>
    <xf numFmtId="0" fontId="74" fillId="21" borderId="64" xfId="0" applyFont="1" applyFill="1" applyBorder="1" applyAlignment="1">
      <alignment horizontal="center" vertical="center"/>
    </xf>
    <xf numFmtId="0" fontId="74" fillId="21" borderId="5" xfId="0" applyFont="1" applyFill="1" applyBorder="1" applyAlignment="1">
      <alignment horizontal="center" vertical="center"/>
    </xf>
    <xf numFmtId="0" fontId="74" fillId="21" borderId="32" xfId="0" applyFont="1" applyFill="1" applyBorder="1" applyAlignment="1">
      <alignment horizontal="center" vertical="center"/>
    </xf>
    <xf numFmtId="0" fontId="125" fillId="8" borderId="32" xfId="0" applyFont="1" applyFill="1" applyBorder="1" applyAlignment="1">
      <alignment horizontal="center" vertical="center"/>
    </xf>
    <xf numFmtId="0" fontId="125" fillId="8" borderId="33" xfId="0" applyFont="1" applyFill="1" applyBorder="1" applyAlignment="1">
      <alignment horizontal="center" vertical="center"/>
    </xf>
    <xf numFmtId="0" fontId="125" fillId="8" borderId="34" xfId="0" applyFont="1" applyFill="1" applyBorder="1" applyAlignment="1">
      <alignment horizontal="center" vertical="center"/>
    </xf>
    <xf numFmtId="0" fontId="6" fillId="8" borderId="85" xfId="0" applyFont="1" applyFill="1" applyBorder="1" applyAlignment="1">
      <alignment horizontal="center" vertical="center"/>
    </xf>
    <xf numFmtId="0" fontId="61" fillId="61" borderId="65" xfId="0" applyFont="1" applyFill="1" applyBorder="1" applyAlignment="1">
      <alignment horizontal="center" vertical="center"/>
    </xf>
    <xf numFmtId="0" fontId="61" fillId="61" borderId="33" xfId="0" applyFont="1" applyFill="1" applyBorder="1" applyAlignment="1">
      <alignment horizontal="center" vertical="center"/>
    </xf>
    <xf numFmtId="0" fontId="61" fillId="61" borderId="111" xfId="0" applyFont="1" applyFill="1" applyBorder="1" applyAlignment="1">
      <alignment horizontal="center" vertical="center"/>
    </xf>
    <xf numFmtId="0" fontId="6" fillId="11" borderId="64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8" fillId="13" borderId="5" xfId="0" applyFont="1" applyFill="1" applyBorder="1" applyAlignment="1">
      <alignment horizontal="center" vertical="center"/>
    </xf>
    <xf numFmtId="0" fontId="13" fillId="64" borderId="32" xfId="0" applyFont="1" applyFill="1" applyBorder="1" applyAlignment="1">
      <alignment horizontal="center" vertical="center"/>
    </xf>
    <xf numFmtId="0" fontId="13" fillId="64" borderId="33" xfId="0" applyFont="1" applyFill="1" applyBorder="1" applyAlignment="1">
      <alignment horizontal="center" vertical="center"/>
    </xf>
    <xf numFmtId="0" fontId="8" fillId="74" borderId="5" xfId="0" applyFont="1" applyFill="1" applyBorder="1" applyAlignment="1">
      <alignment horizontal="center" vertical="center"/>
    </xf>
    <xf numFmtId="0" fontId="8" fillId="74" borderId="32" xfId="0" applyFont="1" applyFill="1" applyBorder="1" applyAlignment="1">
      <alignment horizontal="center" vertical="center"/>
    </xf>
    <xf numFmtId="0" fontId="74" fillId="17" borderId="50" xfId="0" applyFont="1" applyFill="1" applyBorder="1" applyAlignment="1">
      <alignment horizontal="center" vertical="center"/>
    </xf>
    <xf numFmtId="0" fontId="74" fillId="17" borderId="4" xfId="0" applyFont="1" applyFill="1" applyBorder="1" applyAlignment="1">
      <alignment horizontal="center" vertical="center"/>
    </xf>
    <xf numFmtId="0" fontId="61" fillId="10" borderId="65" xfId="0" applyFont="1" applyFill="1" applyBorder="1" applyAlignment="1">
      <alignment horizontal="center"/>
    </xf>
    <xf numFmtId="0" fontId="61" fillId="10" borderId="33" xfId="0" applyFont="1" applyFill="1" applyBorder="1" applyAlignment="1">
      <alignment horizontal="center"/>
    </xf>
    <xf numFmtId="0" fontId="61" fillId="25" borderId="64" xfId="0" applyFont="1" applyFill="1" applyBorder="1" applyAlignment="1">
      <alignment horizontal="center" vertical="center"/>
    </xf>
    <xf numFmtId="0" fontId="61" fillId="25" borderId="5" xfId="0" applyFont="1" applyFill="1" applyBorder="1" applyAlignment="1">
      <alignment horizontal="center" vertical="center"/>
    </xf>
    <xf numFmtId="0" fontId="61" fillId="25" borderId="32" xfId="0" applyFont="1" applyFill="1" applyBorder="1" applyAlignment="1">
      <alignment horizontal="center" vertical="center"/>
    </xf>
    <xf numFmtId="0" fontId="61" fillId="35" borderId="163" xfId="0" applyFont="1" applyFill="1" applyBorder="1" applyAlignment="1">
      <alignment horizontal="center" vertical="center"/>
    </xf>
    <xf numFmtId="0" fontId="61" fillId="35" borderId="148" xfId="0" applyFont="1" applyFill="1" applyBorder="1" applyAlignment="1">
      <alignment horizontal="center" vertical="center"/>
    </xf>
    <xf numFmtId="0" fontId="61" fillId="42" borderId="50" xfId="0" applyFont="1" applyFill="1" applyBorder="1" applyAlignment="1">
      <alignment horizontal="center" vertical="center"/>
    </xf>
    <xf numFmtId="0" fontId="61" fillId="42" borderId="4" xfId="0" applyFont="1" applyFill="1" applyBorder="1" applyAlignment="1">
      <alignment horizontal="center" vertical="center"/>
    </xf>
    <xf numFmtId="0" fontId="74" fillId="16" borderId="58" xfId="0" applyFont="1" applyFill="1" applyBorder="1" applyAlignment="1">
      <alignment horizontal="center" vertical="center"/>
    </xf>
    <xf numFmtId="0" fontId="74" fillId="40" borderId="50" xfId="0" applyFont="1" applyFill="1" applyBorder="1" applyAlignment="1">
      <alignment horizontal="center" vertical="center"/>
    </xf>
    <xf numFmtId="0" fontId="74" fillId="40" borderId="4" xfId="0" applyFont="1" applyFill="1" applyBorder="1" applyAlignment="1">
      <alignment horizontal="center" vertical="center"/>
    </xf>
    <xf numFmtId="0" fontId="4" fillId="72" borderId="33" xfId="0" applyFont="1" applyFill="1" applyBorder="1" applyAlignment="1">
      <alignment horizontal="center" vertical="center"/>
    </xf>
    <xf numFmtId="0" fontId="6" fillId="18" borderId="32" xfId="0" applyFont="1" applyFill="1" applyBorder="1" applyAlignment="1">
      <alignment horizontal="center" vertical="center"/>
    </xf>
    <xf numFmtId="0" fontId="6" fillId="18" borderId="33" xfId="0" applyFont="1" applyFill="1" applyBorder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36" borderId="104" xfId="0" applyFont="1" applyFill="1" applyBorder="1" applyAlignment="1">
      <alignment horizontal="center" vertical="center"/>
    </xf>
    <xf numFmtId="0" fontId="6" fillId="36" borderId="105" xfId="0" applyFont="1" applyFill="1" applyBorder="1" applyAlignment="1">
      <alignment horizontal="center" vertical="center"/>
    </xf>
    <xf numFmtId="0" fontId="6" fillId="36" borderId="107" xfId="0" applyFont="1" applyFill="1" applyBorder="1" applyAlignment="1">
      <alignment horizontal="center" vertical="center"/>
    </xf>
    <xf numFmtId="0" fontId="4" fillId="56" borderId="104" xfId="0" applyFont="1" applyFill="1" applyBorder="1" applyAlignment="1">
      <alignment horizontal="center" vertical="center"/>
    </xf>
    <xf numFmtId="0" fontId="4" fillId="56" borderId="105" xfId="0" applyFont="1" applyFill="1" applyBorder="1" applyAlignment="1">
      <alignment horizontal="center" vertical="center"/>
    </xf>
    <xf numFmtId="0" fontId="4" fillId="56" borderId="107" xfId="0" applyFont="1" applyFill="1" applyBorder="1" applyAlignment="1">
      <alignment horizontal="center" vertical="center"/>
    </xf>
    <xf numFmtId="0" fontId="4" fillId="26" borderId="65" xfId="0" applyFont="1" applyFill="1" applyBorder="1" applyAlignment="1">
      <alignment horizontal="center" vertical="center"/>
    </xf>
    <xf numFmtId="0" fontId="4" fillId="26" borderId="34" xfId="0" applyFont="1" applyFill="1" applyBorder="1" applyAlignment="1">
      <alignment horizontal="center" vertical="center"/>
    </xf>
    <xf numFmtId="0" fontId="4" fillId="0" borderId="104" xfId="0" applyFont="1" applyFill="1" applyBorder="1" applyAlignment="1">
      <alignment horizontal="center" vertical="center"/>
    </xf>
    <xf numFmtId="0" fontId="4" fillId="0" borderId="105" xfId="0" applyFont="1" applyFill="1" applyBorder="1" applyAlignment="1">
      <alignment horizontal="center" vertical="center"/>
    </xf>
    <xf numFmtId="0" fontId="4" fillId="0" borderId="107" xfId="0" applyFont="1" applyFill="1" applyBorder="1" applyAlignment="1">
      <alignment horizontal="center" vertical="center"/>
    </xf>
    <xf numFmtId="0" fontId="4" fillId="8" borderId="69" xfId="0" applyFont="1" applyFill="1" applyBorder="1" applyAlignment="1">
      <alignment horizontal="center" vertical="center"/>
    </xf>
    <xf numFmtId="0" fontId="4" fillId="8" borderId="70" xfId="0" applyFont="1" applyFill="1" applyBorder="1" applyAlignment="1">
      <alignment horizontal="center" vertical="center"/>
    </xf>
    <xf numFmtId="0" fontId="4" fillId="8" borderId="109" xfId="0" applyFont="1" applyFill="1" applyBorder="1" applyAlignment="1">
      <alignment horizontal="center" vertical="center"/>
    </xf>
    <xf numFmtId="0" fontId="116" fillId="8" borderId="32" xfId="0" applyFont="1" applyFill="1" applyBorder="1" applyAlignment="1">
      <alignment horizontal="center" vertical="center"/>
    </xf>
    <xf numFmtId="0" fontId="116" fillId="8" borderId="33" xfId="0" applyFont="1" applyFill="1" applyBorder="1" applyAlignment="1">
      <alignment horizontal="center" vertical="center"/>
    </xf>
    <xf numFmtId="0" fontId="116" fillId="8" borderId="34" xfId="0" applyFont="1" applyFill="1" applyBorder="1" applyAlignment="1">
      <alignment horizontal="center" vertical="center"/>
    </xf>
    <xf numFmtId="0" fontId="13" fillId="6" borderId="108" xfId="0" applyFont="1" applyFill="1" applyBorder="1" applyAlignment="1">
      <alignment horizontal="center" vertical="center"/>
    </xf>
    <xf numFmtId="0" fontId="13" fillId="6" borderId="70" xfId="0" applyFont="1" applyFill="1" applyBorder="1" applyAlignment="1">
      <alignment horizontal="center" vertical="center"/>
    </xf>
    <xf numFmtId="0" fontId="13" fillId="6" borderId="129" xfId="0" applyFont="1" applyFill="1" applyBorder="1" applyAlignment="1">
      <alignment horizontal="center" vertical="center"/>
    </xf>
    <xf numFmtId="0" fontId="19" fillId="6" borderId="108" xfId="0" applyFont="1" applyFill="1" applyBorder="1" applyAlignment="1">
      <alignment horizontal="center" vertical="center"/>
    </xf>
    <xf numFmtId="0" fontId="19" fillId="6" borderId="70" xfId="0" applyFont="1" applyFill="1" applyBorder="1" applyAlignment="1">
      <alignment horizontal="center" vertical="center"/>
    </xf>
    <xf numFmtId="0" fontId="19" fillId="6" borderId="109" xfId="0" applyFont="1" applyFill="1" applyBorder="1" applyAlignment="1">
      <alignment horizontal="center" vertical="center"/>
    </xf>
    <xf numFmtId="0" fontId="4" fillId="0" borderId="70" xfId="0" applyFont="1" applyFill="1" applyBorder="1" applyAlignment="1">
      <alignment horizontal="center" vertical="center"/>
    </xf>
    <xf numFmtId="0" fontId="4" fillId="0" borderId="139" xfId="0" applyFont="1" applyFill="1" applyBorder="1" applyAlignment="1">
      <alignment horizontal="center" vertical="center"/>
    </xf>
    <xf numFmtId="0" fontId="18" fillId="77" borderId="32" xfId="0" applyFont="1" applyFill="1" applyBorder="1" applyAlignment="1">
      <alignment horizontal="center" vertical="center"/>
    </xf>
    <xf numFmtId="0" fontId="18" fillId="77" borderId="33" xfId="0" applyFont="1" applyFill="1" applyBorder="1" applyAlignment="1">
      <alignment horizontal="center" vertical="center"/>
    </xf>
    <xf numFmtId="0" fontId="18" fillId="77" borderId="34" xfId="0" applyFont="1" applyFill="1" applyBorder="1" applyAlignment="1">
      <alignment horizontal="center" vertical="center"/>
    </xf>
    <xf numFmtId="0" fontId="18" fillId="18" borderId="32" xfId="0" applyFont="1" applyFill="1" applyBorder="1" applyAlignment="1">
      <alignment horizontal="center" vertical="center"/>
    </xf>
    <xf numFmtId="0" fontId="18" fillId="18" borderId="33" xfId="0" applyFont="1" applyFill="1" applyBorder="1" applyAlignment="1">
      <alignment horizontal="center" vertical="center"/>
    </xf>
    <xf numFmtId="0" fontId="18" fillId="18" borderId="34" xfId="0" applyFont="1" applyFill="1" applyBorder="1" applyAlignment="1">
      <alignment horizontal="center" vertical="center"/>
    </xf>
    <xf numFmtId="0" fontId="39" fillId="7" borderId="118" xfId="0" applyFont="1" applyFill="1" applyBorder="1" applyAlignment="1">
      <alignment horizontal="center" vertical="center"/>
    </xf>
    <xf numFmtId="0" fontId="39" fillId="7" borderId="35" xfId="0" applyFont="1" applyFill="1" applyBorder="1" applyAlignment="1">
      <alignment horizontal="center" vertical="center"/>
    </xf>
    <xf numFmtId="0" fontId="39" fillId="7" borderId="156" xfId="0" applyFont="1" applyFill="1" applyBorder="1" applyAlignment="1">
      <alignment horizontal="center" vertical="center"/>
    </xf>
    <xf numFmtId="0" fontId="7" fillId="78" borderId="32" xfId="0" applyFont="1" applyFill="1" applyBorder="1" applyAlignment="1">
      <alignment horizontal="center" vertical="center"/>
    </xf>
    <xf numFmtId="0" fontId="7" fillId="78" borderId="33" xfId="0" applyFont="1" applyFill="1" applyBorder="1" applyAlignment="1">
      <alignment horizontal="center" vertical="center"/>
    </xf>
    <xf numFmtId="0" fontId="4" fillId="25" borderId="90" xfId="0" applyFont="1" applyFill="1" applyBorder="1" applyAlignment="1">
      <alignment horizontal="center" vertical="center"/>
    </xf>
    <xf numFmtId="0" fontId="4" fillId="25" borderId="31" xfId="0" applyFont="1" applyFill="1" applyBorder="1" applyAlignment="1">
      <alignment horizontal="center" vertical="center"/>
    </xf>
    <xf numFmtId="0" fontId="7" fillId="29" borderId="5" xfId="0" applyFont="1" applyFill="1" applyBorder="1" applyAlignment="1">
      <alignment horizontal="center" vertical="center"/>
    </xf>
    <xf numFmtId="0" fontId="7" fillId="29" borderId="32" xfId="0" applyFont="1" applyFill="1" applyBorder="1" applyAlignment="1">
      <alignment horizontal="center" vertical="center"/>
    </xf>
    <xf numFmtId="0" fontId="7" fillId="29" borderId="33" xfId="0" applyFont="1" applyFill="1" applyBorder="1" applyAlignment="1">
      <alignment horizontal="center" vertical="center"/>
    </xf>
    <xf numFmtId="0" fontId="7" fillId="29" borderId="37" xfId="0" applyFont="1" applyFill="1" applyBorder="1" applyAlignment="1">
      <alignment horizontal="center" vertical="center"/>
    </xf>
    <xf numFmtId="0" fontId="7" fillId="29" borderId="159" xfId="0" applyFont="1" applyFill="1" applyBorder="1" applyAlignment="1">
      <alignment horizontal="center" vertical="center"/>
    </xf>
    <xf numFmtId="0" fontId="39" fillId="8" borderId="131" xfId="0" applyFont="1" applyFill="1" applyBorder="1" applyAlignment="1">
      <alignment horizontal="center" vertical="center"/>
    </xf>
    <xf numFmtId="0" fontId="39" fillId="8" borderId="77" xfId="0" applyFont="1" applyFill="1" applyBorder="1" applyAlignment="1">
      <alignment horizontal="center" vertical="center"/>
    </xf>
    <xf numFmtId="0" fontId="39" fillId="8" borderId="144" xfId="0" applyFont="1" applyFill="1" applyBorder="1" applyAlignment="1">
      <alignment horizontal="center" vertical="center"/>
    </xf>
    <xf numFmtId="0" fontId="4" fillId="8" borderId="130" xfId="0" applyFont="1" applyFill="1" applyBorder="1" applyAlignment="1">
      <alignment horizontal="center" vertical="center"/>
    </xf>
    <xf numFmtId="0" fontId="18" fillId="77" borderId="55" xfId="0" applyFont="1" applyFill="1" applyBorder="1" applyAlignment="1">
      <alignment horizontal="center" vertical="center"/>
    </xf>
    <xf numFmtId="0" fontId="18" fillId="77" borderId="37" xfId="0" applyFont="1" applyFill="1" applyBorder="1" applyAlignment="1">
      <alignment horizontal="center" vertical="center"/>
    </xf>
    <xf numFmtId="0" fontId="18" fillId="77" borderId="0" xfId="0" applyFont="1" applyFill="1" applyBorder="1" applyAlignment="1">
      <alignment horizontal="center" vertical="center"/>
    </xf>
    <xf numFmtId="0" fontId="18" fillId="77" borderId="156" xfId="0" applyFont="1" applyFill="1" applyBorder="1" applyAlignment="1">
      <alignment horizontal="center" vertical="center"/>
    </xf>
    <xf numFmtId="0" fontId="127" fillId="65" borderId="32" xfId="0" applyFont="1" applyFill="1" applyBorder="1" applyAlignment="1">
      <alignment horizontal="center" vertical="center"/>
    </xf>
    <xf numFmtId="0" fontId="127" fillId="65" borderId="33" xfId="0" applyFont="1" applyFill="1" applyBorder="1" applyAlignment="1">
      <alignment horizontal="center" vertical="center"/>
    </xf>
    <xf numFmtId="0" fontId="127" fillId="65" borderId="34" xfId="0" applyFont="1" applyFill="1" applyBorder="1" applyAlignment="1">
      <alignment horizontal="center" vertical="center"/>
    </xf>
    <xf numFmtId="0" fontId="4" fillId="8" borderId="118" xfId="0" applyFont="1" applyFill="1" applyBorder="1" applyAlignment="1">
      <alignment horizontal="center" vertical="center" wrapText="1"/>
    </xf>
    <xf numFmtId="0" fontId="4" fillId="8" borderId="35" xfId="0" applyFont="1" applyFill="1" applyBorder="1" applyAlignment="1">
      <alignment horizontal="center" vertical="center" wrapText="1"/>
    </xf>
    <xf numFmtId="0" fontId="4" fillId="8" borderId="156" xfId="0" applyFont="1" applyFill="1" applyBorder="1" applyAlignment="1">
      <alignment horizontal="center" vertical="center" wrapText="1"/>
    </xf>
    <xf numFmtId="0" fontId="0" fillId="70" borderId="0" xfId="0" applyFill="1" applyAlignment="1">
      <alignment horizontal="center"/>
    </xf>
    <xf numFmtId="0" fontId="18" fillId="77" borderId="159" xfId="0" applyFont="1" applyFill="1" applyBorder="1" applyAlignment="1">
      <alignment horizontal="center" vertical="center"/>
    </xf>
    <xf numFmtId="0" fontId="3" fillId="7" borderId="118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11" fillId="7" borderId="110" xfId="0" applyFont="1" applyFill="1" applyBorder="1" applyAlignment="1">
      <alignment horizontal="center" vertical="center"/>
    </xf>
    <xf numFmtId="0" fontId="7" fillId="29" borderId="56" xfId="0" applyFont="1" applyFill="1" applyBorder="1" applyAlignment="1">
      <alignment horizontal="center" vertical="center"/>
    </xf>
    <xf numFmtId="0" fontId="7" fillId="29" borderId="57" xfId="0" applyFont="1" applyFill="1" applyBorder="1" applyAlignment="1">
      <alignment horizontal="center" vertical="center"/>
    </xf>
    <xf numFmtId="0" fontId="7" fillId="29" borderId="138" xfId="0" applyFont="1" applyFill="1" applyBorder="1" applyAlignment="1">
      <alignment horizontal="center" vertical="center"/>
    </xf>
    <xf numFmtId="0" fontId="4" fillId="64" borderId="118" xfId="0" applyFont="1" applyFill="1" applyBorder="1" applyAlignment="1">
      <alignment horizontal="center" vertical="center"/>
    </xf>
    <xf numFmtId="0" fontId="4" fillId="64" borderId="35" xfId="0" applyFont="1" applyFill="1" applyBorder="1" applyAlignment="1">
      <alignment horizontal="center" vertical="center"/>
    </xf>
    <xf numFmtId="0" fontId="4" fillId="64" borderId="110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62" xfId="0" applyFont="1" applyFill="1" applyBorder="1" applyAlignment="1">
      <alignment horizontal="center" vertical="center"/>
    </xf>
    <xf numFmtId="0" fontId="69" fillId="56" borderId="32" xfId="0" applyFont="1" applyFill="1" applyBorder="1" applyAlignment="1">
      <alignment horizontal="center" vertical="center"/>
    </xf>
    <xf numFmtId="0" fontId="69" fillId="56" borderId="33" xfId="0" applyFont="1" applyFill="1" applyBorder="1" applyAlignment="1">
      <alignment horizontal="center" vertical="center"/>
    </xf>
    <xf numFmtId="0" fontId="4" fillId="8" borderId="98" xfId="0" applyFont="1" applyFill="1" applyBorder="1" applyAlignment="1">
      <alignment horizontal="center" vertical="center"/>
    </xf>
    <xf numFmtId="0" fontId="39" fillId="63" borderId="55" xfId="0" applyFont="1" applyFill="1" applyBorder="1" applyAlignment="1">
      <alignment horizontal="center" vertical="center"/>
    </xf>
    <xf numFmtId="0" fontId="39" fillId="63" borderId="37" xfId="0" applyFont="1" applyFill="1" applyBorder="1" applyAlignment="1">
      <alignment horizontal="center" vertical="center"/>
    </xf>
    <xf numFmtId="0" fontId="39" fillId="63" borderId="90" xfId="0" applyFont="1" applyFill="1" applyBorder="1" applyAlignment="1">
      <alignment horizontal="center" vertical="center"/>
    </xf>
    <xf numFmtId="0" fontId="4" fillId="69" borderId="32" xfId="0" applyFont="1" applyFill="1" applyBorder="1" applyAlignment="1">
      <alignment horizontal="center" vertical="center"/>
    </xf>
    <xf numFmtId="0" fontId="4" fillId="69" borderId="33" xfId="0" applyFont="1" applyFill="1" applyBorder="1" applyAlignment="1">
      <alignment horizontal="center" vertical="center"/>
    </xf>
    <xf numFmtId="0" fontId="4" fillId="69" borderId="34" xfId="0" applyFont="1" applyFill="1" applyBorder="1" applyAlignment="1">
      <alignment horizontal="center" vertical="center"/>
    </xf>
    <xf numFmtId="0" fontId="4" fillId="69" borderId="5" xfId="0" applyFont="1" applyFill="1" applyBorder="1" applyAlignment="1">
      <alignment horizontal="center" vertical="center"/>
    </xf>
    <xf numFmtId="0" fontId="0" fillId="65" borderId="118" xfId="0" applyFill="1" applyBorder="1" applyAlignment="1">
      <alignment horizontal="center"/>
    </xf>
    <xf numFmtId="0" fontId="0" fillId="65" borderId="33" xfId="0" applyFill="1" applyBorder="1" applyAlignment="1">
      <alignment horizontal="center"/>
    </xf>
    <xf numFmtId="0" fontId="0" fillId="65" borderId="34" xfId="0" applyFill="1" applyBorder="1" applyAlignment="1">
      <alignment horizontal="center"/>
    </xf>
    <xf numFmtId="0" fontId="4" fillId="69" borderId="43" xfId="0" applyFont="1" applyFill="1" applyBorder="1" applyAlignment="1">
      <alignment horizontal="center" vertical="center"/>
    </xf>
    <xf numFmtId="0" fontId="4" fillId="71" borderId="34" xfId="0" applyFont="1" applyFill="1" applyBorder="1" applyAlignment="1">
      <alignment horizontal="center" vertical="center"/>
    </xf>
    <xf numFmtId="0" fontId="4" fillId="71" borderId="62" xfId="0" applyFont="1" applyFill="1" applyBorder="1" applyAlignment="1">
      <alignment horizontal="center" vertical="center"/>
    </xf>
    <xf numFmtId="0" fontId="4" fillId="10" borderId="60" xfId="0" applyFont="1" applyFill="1" applyBorder="1" applyAlignment="1">
      <alignment horizontal="center" vertical="center"/>
    </xf>
    <xf numFmtId="0" fontId="35" fillId="10" borderId="60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 vertical="center"/>
    </xf>
    <xf numFmtId="0" fontId="35" fillId="10" borderId="15" xfId="0" applyFont="1" applyFill="1" applyBorder="1" applyAlignment="1">
      <alignment horizontal="center" vertical="center"/>
    </xf>
    <xf numFmtId="0" fontId="4" fillId="71" borderId="85" xfId="0" applyFont="1" applyFill="1" applyBorder="1" applyAlignment="1">
      <alignment horizontal="center" vertical="center"/>
    </xf>
    <xf numFmtId="0" fontId="4" fillId="71" borderId="61" xfId="0" applyFont="1" applyFill="1" applyBorder="1" applyAlignment="1">
      <alignment horizontal="center" vertical="center"/>
    </xf>
    <xf numFmtId="0" fontId="4" fillId="23" borderId="60" xfId="0" applyFont="1" applyFill="1" applyBorder="1" applyAlignment="1">
      <alignment horizontal="center" vertical="center"/>
    </xf>
    <xf numFmtId="0" fontId="133" fillId="8" borderId="15" xfId="0" applyFont="1" applyFill="1" applyBorder="1" applyAlignment="1">
      <alignment horizontal="center" vertical="center"/>
    </xf>
    <xf numFmtId="0" fontId="4" fillId="71" borderId="32" xfId="0" applyFont="1" applyFill="1" applyBorder="1" applyAlignment="1">
      <alignment horizontal="center" vertical="center"/>
    </xf>
    <xf numFmtId="0" fontId="4" fillId="71" borderId="111" xfId="0" applyFont="1" applyFill="1" applyBorder="1" applyAlignment="1">
      <alignment horizontal="center" vertical="center"/>
    </xf>
    <xf numFmtId="0" fontId="4" fillId="71" borderId="5" xfId="0" applyFont="1" applyFill="1" applyBorder="1" applyAlignment="1">
      <alignment horizontal="center" vertical="center"/>
    </xf>
    <xf numFmtId="0" fontId="39" fillId="63" borderId="56" xfId="0" applyFont="1" applyFill="1" applyBorder="1" applyAlignment="1">
      <alignment horizontal="center" vertical="center"/>
    </xf>
    <xf numFmtId="0" fontId="39" fillId="63" borderId="57" xfId="0" applyFont="1" applyFill="1" applyBorder="1" applyAlignment="1">
      <alignment horizontal="center" vertical="center"/>
    </xf>
    <xf numFmtId="0" fontId="39" fillId="63" borderId="73" xfId="0" applyFont="1" applyFill="1" applyBorder="1" applyAlignment="1">
      <alignment horizontal="center" vertical="center"/>
    </xf>
    <xf numFmtId="0" fontId="61" fillId="8" borderId="32" xfId="0" applyFont="1" applyFill="1" applyBorder="1" applyAlignment="1">
      <alignment horizontal="center" vertical="center"/>
    </xf>
    <xf numFmtId="0" fontId="61" fillId="8" borderId="33" xfId="0" applyFont="1" applyFill="1" applyBorder="1" applyAlignment="1">
      <alignment horizontal="center" vertical="center"/>
    </xf>
    <xf numFmtId="0" fontId="61" fillId="8" borderId="34" xfId="0" applyFont="1" applyFill="1" applyBorder="1" applyAlignment="1">
      <alignment horizontal="center" vertical="center"/>
    </xf>
    <xf numFmtId="0" fontId="4" fillId="42" borderId="55" xfId="0" applyFont="1" applyFill="1" applyBorder="1" applyAlignment="1">
      <alignment horizontal="center" vertical="center"/>
    </xf>
    <xf numFmtId="0" fontId="4" fillId="42" borderId="159" xfId="0" applyFont="1" applyFill="1" applyBorder="1" applyAlignment="1">
      <alignment horizontal="center" vertical="center"/>
    </xf>
    <xf numFmtId="0" fontId="4" fillId="42" borderId="118" xfId="0" applyFont="1" applyFill="1" applyBorder="1" applyAlignment="1">
      <alignment horizontal="center" vertical="center"/>
    </xf>
    <xf numFmtId="0" fontId="4" fillId="42" borderId="156" xfId="0" applyFont="1" applyFill="1" applyBorder="1" applyAlignment="1">
      <alignment horizontal="center" vertical="center"/>
    </xf>
    <xf numFmtId="0" fontId="118" fillId="22" borderId="32" xfId="0" applyFont="1" applyFill="1" applyBorder="1" applyAlignment="1">
      <alignment horizontal="center" vertical="center"/>
    </xf>
    <xf numFmtId="0" fontId="118" fillId="22" borderId="33" xfId="0" applyFont="1" applyFill="1" applyBorder="1" applyAlignment="1">
      <alignment horizontal="center" vertical="center"/>
    </xf>
    <xf numFmtId="0" fontId="118" fillId="22" borderId="111" xfId="0" applyFont="1" applyFill="1" applyBorder="1" applyAlignment="1">
      <alignment horizontal="center" vertical="center"/>
    </xf>
    <xf numFmtId="0" fontId="118" fillId="22" borderId="55" xfId="0" applyFont="1" applyFill="1" applyBorder="1" applyAlignment="1">
      <alignment horizontal="center" vertical="center"/>
    </xf>
    <xf numFmtId="0" fontId="118" fillId="22" borderId="37" xfId="0" applyFont="1" applyFill="1" applyBorder="1" applyAlignment="1">
      <alignment horizontal="center" vertical="center"/>
    </xf>
    <xf numFmtId="0" fontId="118" fillId="22" borderId="90" xfId="0" applyFont="1" applyFill="1" applyBorder="1" applyAlignment="1">
      <alignment horizontal="center" vertical="center"/>
    </xf>
    <xf numFmtId="0" fontId="116" fillId="68" borderId="64" xfId="0" applyFont="1" applyFill="1" applyBorder="1" applyAlignment="1">
      <alignment horizontal="center"/>
    </xf>
    <xf numFmtId="0" fontId="116" fillId="68" borderId="5" xfId="0" applyFont="1" applyFill="1" applyBorder="1" applyAlignment="1">
      <alignment horizontal="center"/>
    </xf>
    <xf numFmtId="0" fontId="116" fillId="8" borderId="5" xfId="0" applyFont="1" applyFill="1" applyBorder="1" applyAlignment="1">
      <alignment horizontal="center"/>
    </xf>
    <xf numFmtId="0" fontId="116" fillId="68" borderId="5" xfId="0" applyFont="1" applyFill="1" applyBorder="1" applyAlignment="1">
      <alignment horizontal="center" vertical="center"/>
    </xf>
    <xf numFmtId="0" fontId="4" fillId="8" borderId="6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116" fillId="68" borderId="62" xfId="0" applyFont="1" applyFill="1" applyBorder="1" applyAlignment="1">
      <alignment horizontal="center" vertical="center"/>
    </xf>
    <xf numFmtId="0" fontId="39" fillId="8" borderId="66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 vertical="center"/>
    </xf>
    <xf numFmtId="0" fontId="4" fillId="12" borderId="62" xfId="0" applyFont="1" applyFill="1" applyBorder="1" applyAlignment="1">
      <alignment horizontal="center" vertical="center"/>
    </xf>
    <xf numFmtId="0" fontId="13" fillId="77" borderId="64" xfId="0" applyFont="1" applyFill="1" applyBorder="1" applyAlignment="1">
      <alignment horizontal="center" vertical="center"/>
    </xf>
    <xf numFmtId="0" fontId="13" fillId="77" borderId="5" xfId="0" applyFont="1" applyFill="1" applyBorder="1" applyAlignment="1">
      <alignment horizontal="center" vertical="center"/>
    </xf>
    <xf numFmtId="0" fontId="116" fillId="8" borderId="5" xfId="0" applyFont="1" applyFill="1" applyBorder="1" applyAlignment="1">
      <alignment horizontal="center" vertical="center"/>
    </xf>
    <xf numFmtId="0" fontId="4" fillId="22" borderId="83" xfId="0" applyFont="1" applyFill="1" applyBorder="1" applyAlignment="1">
      <alignment horizontal="center" vertical="center"/>
    </xf>
    <xf numFmtId="0" fontId="4" fillId="22" borderId="129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139" fillId="22" borderId="118" xfId="0" applyFont="1" applyFill="1" applyBorder="1" applyAlignment="1">
      <alignment horizontal="center" vertical="center"/>
    </xf>
    <xf numFmtId="0" fontId="139" fillId="22" borderId="110" xfId="0" applyFont="1" applyFill="1" applyBorder="1" applyAlignment="1">
      <alignment horizontal="center" vertical="center"/>
    </xf>
    <xf numFmtId="0" fontId="118" fillId="22" borderId="118" xfId="0" applyFont="1" applyFill="1" applyBorder="1" applyAlignment="1">
      <alignment horizontal="center" vertical="center"/>
    </xf>
    <xf numFmtId="0" fontId="118" fillId="22" borderId="35" xfId="0" applyFont="1" applyFill="1" applyBorder="1" applyAlignment="1">
      <alignment horizontal="center" vertical="center"/>
    </xf>
    <xf numFmtId="0" fontId="118" fillId="22" borderId="156" xfId="0" applyFont="1" applyFill="1" applyBorder="1" applyAlignment="1">
      <alignment horizontal="center" vertical="center"/>
    </xf>
    <xf numFmtId="0" fontId="118" fillId="22" borderId="159" xfId="0" applyFont="1" applyFill="1" applyBorder="1" applyAlignment="1">
      <alignment horizontal="center" vertical="center"/>
    </xf>
    <xf numFmtId="0" fontId="118" fillId="22" borderId="110" xfId="0" applyFont="1" applyFill="1" applyBorder="1" applyAlignment="1">
      <alignment horizontal="center" vertical="center"/>
    </xf>
    <xf numFmtId="0" fontId="4" fillId="69" borderId="60" xfId="0" applyFont="1" applyFill="1" applyBorder="1" applyAlignment="1">
      <alignment horizontal="center" vertical="center"/>
    </xf>
    <xf numFmtId="0" fontId="134" fillId="22" borderId="83" xfId="0" applyFont="1" applyFill="1" applyBorder="1" applyAlignment="1">
      <alignment horizontal="center" vertical="center"/>
    </xf>
    <xf numFmtId="0" fontId="118" fillId="22" borderId="85" xfId="0" applyFont="1" applyFill="1" applyBorder="1" applyAlignment="1">
      <alignment horizontal="center" vertical="center"/>
    </xf>
    <xf numFmtId="0" fontId="134" fillId="22" borderId="37" xfId="0" applyFont="1" applyFill="1" applyBorder="1" applyAlignment="1">
      <alignment horizontal="center" vertical="center"/>
    </xf>
    <xf numFmtId="0" fontId="118" fillId="22" borderId="34" xfId="0" applyFont="1" applyFill="1" applyBorder="1" applyAlignment="1">
      <alignment horizontal="center" vertical="center"/>
    </xf>
    <xf numFmtId="0" fontId="116" fillId="68" borderId="79" xfId="0" applyFont="1" applyFill="1" applyBorder="1" applyAlignment="1">
      <alignment horizontal="center"/>
    </xf>
    <xf numFmtId="0" fontId="116" fillId="68" borderId="43" xfId="0" applyFont="1" applyFill="1" applyBorder="1" applyAlignment="1">
      <alignment horizontal="center"/>
    </xf>
    <xf numFmtId="0" fontId="6" fillId="16" borderId="211" xfId="0" applyFont="1" applyFill="1" applyBorder="1" applyAlignment="1">
      <alignment horizontal="center" vertical="center"/>
    </xf>
    <xf numFmtId="0" fontId="4" fillId="23" borderId="31" xfId="0" applyFont="1" applyFill="1" applyBorder="1" applyAlignment="1">
      <alignment horizontal="center" vertical="center"/>
    </xf>
    <xf numFmtId="0" fontId="4" fillId="71" borderId="117" xfId="0" applyFont="1" applyFill="1" applyBorder="1" applyAlignment="1">
      <alignment horizontal="center" vertical="center"/>
    </xf>
    <xf numFmtId="0" fontId="4" fillId="71" borderId="0" xfId="0" applyFont="1" applyFill="1" applyBorder="1" applyAlignment="1">
      <alignment horizontal="center" vertical="center"/>
    </xf>
    <xf numFmtId="0" fontId="4" fillId="71" borderId="130" xfId="0" applyFont="1" applyFill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104" fillId="22" borderId="60" xfId="0" applyFont="1" applyFill="1" applyBorder="1" applyAlignment="1">
      <alignment horizontal="center" vertical="center"/>
    </xf>
    <xf numFmtId="0" fontId="4" fillId="22" borderId="85" xfId="0" applyFont="1" applyFill="1" applyBorder="1" applyAlignment="1">
      <alignment horizontal="center" vertical="center"/>
    </xf>
    <xf numFmtId="0" fontId="4" fillId="10" borderId="117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125" fillId="69" borderId="5" xfId="0" applyFont="1" applyFill="1" applyBorder="1" applyAlignment="1">
      <alignment horizontal="center" vertical="center"/>
    </xf>
    <xf numFmtId="0" fontId="134" fillId="72" borderId="5" xfId="0" applyFont="1" applyFill="1" applyBorder="1" applyAlignment="1">
      <alignment horizontal="center"/>
    </xf>
    <xf numFmtId="0" fontId="134" fillId="72" borderId="62" xfId="0" applyFont="1" applyFill="1" applyBorder="1" applyAlignment="1">
      <alignment horizontal="center"/>
    </xf>
    <xf numFmtId="0" fontId="4" fillId="71" borderId="55" xfId="0" applyFont="1" applyFill="1" applyBorder="1" applyAlignment="1">
      <alignment horizontal="center" vertical="center"/>
    </xf>
    <xf numFmtId="0" fontId="4" fillId="71" borderId="159" xfId="0" applyFont="1" applyFill="1" applyBorder="1" applyAlignment="1">
      <alignment horizontal="center" vertical="center"/>
    </xf>
    <xf numFmtId="0" fontId="4" fillId="42" borderId="65" xfId="0" applyFont="1" applyFill="1" applyBorder="1" applyAlignment="1">
      <alignment horizontal="center" vertical="center"/>
    </xf>
    <xf numFmtId="0" fontId="4" fillId="42" borderId="33" xfId="0" applyFont="1" applyFill="1" applyBorder="1" applyAlignment="1">
      <alignment horizontal="center" vertical="center"/>
    </xf>
    <xf numFmtId="0" fontId="13" fillId="6" borderId="98" xfId="0" applyFont="1" applyFill="1" applyBorder="1" applyAlignment="1">
      <alignment horizontal="center" vertical="center"/>
    </xf>
    <xf numFmtId="0" fontId="61" fillId="10" borderId="33" xfId="0" applyFont="1" applyFill="1" applyBorder="1" applyAlignment="1">
      <alignment horizontal="center" vertical="center"/>
    </xf>
    <xf numFmtId="0" fontId="4" fillId="61" borderId="65" xfId="0" applyFont="1" applyFill="1" applyBorder="1" applyAlignment="1">
      <alignment horizontal="center" vertical="center"/>
    </xf>
    <xf numFmtId="0" fontId="35" fillId="61" borderId="33" xfId="0" applyFont="1" applyFill="1" applyBorder="1" applyAlignment="1">
      <alignment horizontal="center" vertical="center"/>
    </xf>
    <xf numFmtId="0" fontId="35" fillId="61" borderId="34" xfId="0" applyFont="1" applyFill="1" applyBorder="1" applyAlignment="1">
      <alignment horizontal="center" vertical="center"/>
    </xf>
    <xf numFmtId="0" fontId="4" fillId="8" borderId="74" xfId="0" applyFont="1" applyFill="1" applyBorder="1" applyAlignment="1">
      <alignment horizontal="center" vertical="center"/>
    </xf>
    <xf numFmtId="0" fontId="13" fillId="8" borderId="60" xfId="0" applyFont="1" applyFill="1" applyBorder="1" applyAlignment="1">
      <alignment horizontal="center" vertical="center"/>
    </xf>
    <xf numFmtId="0" fontId="13" fillId="8" borderId="84" xfId="0" applyFont="1" applyFill="1" applyBorder="1" applyAlignment="1">
      <alignment horizontal="center" vertical="center"/>
    </xf>
    <xf numFmtId="0" fontId="4" fillId="0" borderId="143" xfId="0" applyFont="1" applyBorder="1" applyAlignment="1">
      <alignment horizontal="center" vertical="center"/>
    </xf>
    <xf numFmtId="0" fontId="35" fillId="8" borderId="118" xfId="0" applyFont="1" applyFill="1" applyBorder="1" applyAlignment="1">
      <alignment horizontal="center" vertical="center"/>
    </xf>
    <xf numFmtId="0" fontId="35" fillId="8" borderId="110" xfId="0" applyFont="1" applyFill="1" applyBorder="1" applyAlignment="1">
      <alignment horizontal="center" vertical="center"/>
    </xf>
    <xf numFmtId="0" fontId="115" fillId="41" borderId="146" xfId="0" applyFont="1" applyFill="1" applyBorder="1" applyAlignment="1">
      <alignment horizontal="center" vertical="center"/>
    </xf>
    <xf numFmtId="0" fontId="4" fillId="23" borderId="114" xfId="0" applyFont="1" applyFill="1" applyBorder="1" applyAlignment="1">
      <alignment horizontal="center" vertical="center"/>
    </xf>
    <xf numFmtId="0" fontId="116" fillId="8" borderId="75" xfId="0" applyFont="1" applyFill="1" applyBorder="1" applyAlignment="1">
      <alignment horizontal="center" vertical="center"/>
    </xf>
    <xf numFmtId="0" fontId="116" fillId="8" borderId="0" xfId="0" applyFont="1" applyFill="1" applyBorder="1" applyAlignment="1">
      <alignment horizontal="center" vertical="center"/>
    </xf>
    <xf numFmtId="0" fontId="116" fillId="8" borderId="110" xfId="0" applyFont="1" applyFill="1" applyBorder="1" applyAlignment="1">
      <alignment horizontal="center" vertical="center"/>
    </xf>
    <xf numFmtId="0" fontId="139" fillId="22" borderId="75" xfId="0" applyFont="1" applyFill="1" applyBorder="1" applyAlignment="1">
      <alignment horizontal="center" vertical="center"/>
    </xf>
    <xf numFmtId="0" fontId="139" fillId="22" borderId="0" xfId="0" applyFont="1" applyFill="1" applyBorder="1" applyAlignment="1">
      <alignment horizontal="center" vertical="center"/>
    </xf>
    <xf numFmtId="0" fontId="139" fillId="22" borderId="103" xfId="0" applyFont="1" applyFill="1" applyBorder="1" applyAlignment="1">
      <alignment horizontal="center" vertical="center"/>
    </xf>
    <xf numFmtId="0" fontId="118" fillId="22" borderId="84" xfId="0" applyFont="1" applyFill="1" applyBorder="1" applyAlignment="1">
      <alignment horizontal="center" vertical="center"/>
    </xf>
    <xf numFmtId="0" fontId="118" fillId="22" borderId="83" xfId="0" applyFont="1" applyFill="1" applyBorder="1" applyAlignment="1">
      <alignment horizontal="center" vertical="center"/>
    </xf>
    <xf numFmtId="0" fontId="118" fillId="22" borderId="129" xfId="0" applyFont="1" applyFill="1" applyBorder="1" applyAlignment="1">
      <alignment horizontal="center" vertical="center"/>
    </xf>
    <xf numFmtId="0" fontId="118" fillId="22" borderId="60" xfId="0" applyFont="1" applyFill="1" applyBorder="1" applyAlignment="1">
      <alignment horizontal="center" vertical="center"/>
    </xf>
    <xf numFmtId="0" fontId="118" fillId="22" borderId="61" xfId="0" applyFont="1" applyFill="1" applyBorder="1" applyAlignment="1">
      <alignment horizontal="center" vertical="center"/>
    </xf>
    <xf numFmtId="0" fontId="134" fillId="8" borderId="0" xfId="0" applyFont="1" applyFill="1" applyBorder="1" applyAlignment="1">
      <alignment horizontal="center" vertical="center"/>
    </xf>
    <xf numFmtId="0" fontId="63" fillId="23" borderId="66" xfId="0" applyFont="1" applyFill="1" applyBorder="1" applyAlignment="1">
      <alignment horizontal="center" vertical="center"/>
    </xf>
    <xf numFmtId="0" fontId="63" fillId="23" borderId="37" xfId="0" applyFont="1" applyFill="1" applyBorder="1" applyAlignment="1">
      <alignment horizontal="center" vertical="center"/>
    </xf>
    <xf numFmtId="0" fontId="120" fillId="63" borderId="50" xfId="0" applyFont="1" applyFill="1" applyBorder="1" applyAlignment="1">
      <alignment horizontal="center" vertical="center"/>
    </xf>
    <xf numFmtId="0" fontId="120" fillId="63" borderId="4" xfId="0" applyFont="1" applyFill="1" applyBorder="1" applyAlignment="1">
      <alignment horizontal="center" vertical="center"/>
    </xf>
    <xf numFmtId="0" fontId="120" fillId="63" borderId="136" xfId="0" applyFont="1" applyFill="1" applyBorder="1" applyAlignment="1">
      <alignment horizontal="center" vertical="center"/>
    </xf>
    <xf numFmtId="0" fontId="4" fillId="41" borderId="117" xfId="0" applyFont="1" applyFill="1" applyBorder="1" applyAlignment="1">
      <alignment horizontal="center" vertical="center"/>
    </xf>
    <xf numFmtId="0" fontId="4" fillId="41" borderId="0" xfId="0" applyFont="1" applyFill="1" applyBorder="1" applyAlignment="1">
      <alignment horizontal="center" vertical="center"/>
    </xf>
    <xf numFmtId="0" fontId="4" fillId="41" borderId="130" xfId="0" applyFont="1" applyFill="1" applyBorder="1" applyAlignment="1">
      <alignment horizontal="center" vertical="center"/>
    </xf>
    <xf numFmtId="0" fontId="4" fillId="23" borderId="1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4" fillId="12" borderId="64" xfId="0" applyFont="1" applyFill="1" applyBorder="1" applyAlignment="1">
      <alignment horizontal="center" vertical="center"/>
    </xf>
    <xf numFmtId="0" fontId="4" fillId="70" borderId="5" xfId="0" applyFont="1" applyFill="1" applyBorder="1" applyAlignment="1">
      <alignment horizontal="center" vertical="center"/>
    </xf>
    <xf numFmtId="0" fontId="4" fillId="43" borderId="131" xfId="0" applyFont="1" applyFill="1" applyBorder="1" applyAlignment="1">
      <alignment horizontal="center" vertical="center"/>
    </xf>
    <xf numFmtId="0" fontId="4" fillId="43" borderId="77" xfId="0" applyFont="1" applyFill="1" applyBorder="1" applyAlignment="1">
      <alignment horizontal="center" vertical="center"/>
    </xf>
    <xf numFmtId="0" fontId="4" fillId="43" borderId="157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/>
    </xf>
    <xf numFmtId="0" fontId="39" fillId="8" borderId="64" xfId="0" applyFont="1" applyFill="1" applyBorder="1" applyAlignment="1">
      <alignment horizontal="center" vertical="center"/>
    </xf>
    <xf numFmtId="0" fontId="4" fillId="71" borderId="65" xfId="0" applyFont="1" applyFill="1" applyBorder="1" applyAlignment="1">
      <alignment horizontal="center" vertical="center"/>
    </xf>
    <xf numFmtId="0" fontId="4" fillId="71" borderId="98" xfId="0" applyFont="1" applyFill="1" applyBorder="1" applyAlignment="1">
      <alignment horizontal="center" vertical="center"/>
    </xf>
    <xf numFmtId="0" fontId="5" fillId="5" borderId="60" xfId="0" applyFont="1" applyFill="1" applyBorder="1" applyAlignment="1">
      <alignment horizontal="center" vertical="center"/>
    </xf>
    <xf numFmtId="0" fontId="116" fillId="8" borderId="32" xfId="0" applyFont="1" applyFill="1" applyBorder="1" applyAlignment="1">
      <alignment horizontal="center" vertical="center" wrapText="1"/>
    </xf>
    <xf numFmtId="0" fontId="116" fillId="8" borderId="33" xfId="0" applyFont="1" applyFill="1" applyBorder="1" applyAlignment="1">
      <alignment horizontal="center" vertical="center" wrapText="1"/>
    </xf>
    <xf numFmtId="0" fontId="116" fillId="8" borderId="34" xfId="0" applyFont="1" applyFill="1" applyBorder="1" applyAlignment="1">
      <alignment horizontal="center" vertical="center" wrapText="1"/>
    </xf>
    <xf numFmtId="0" fontId="19" fillId="6" borderId="84" xfId="0" applyFont="1" applyFill="1" applyBorder="1" applyAlignment="1">
      <alignment horizontal="center" vertical="center"/>
    </xf>
    <xf numFmtId="0" fontId="4" fillId="71" borderId="33" xfId="0" applyFont="1" applyFill="1" applyBorder="1" applyAlignment="1">
      <alignment horizontal="center" vertical="center"/>
    </xf>
    <xf numFmtId="0" fontId="4" fillId="71" borderId="0" xfId="0" applyFont="1" applyFill="1" applyAlignment="1">
      <alignment horizontal="center" vertical="center"/>
    </xf>
    <xf numFmtId="0" fontId="4" fillId="15" borderId="117" xfId="0" applyFont="1" applyFill="1" applyBorder="1" applyAlignment="1">
      <alignment horizontal="center" vertical="center"/>
    </xf>
    <xf numFmtId="0" fontId="4" fillId="7" borderId="43" xfId="0" applyFont="1" applyFill="1" applyBorder="1" applyAlignment="1">
      <alignment horizontal="center" vertical="center"/>
    </xf>
    <xf numFmtId="0" fontId="4" fillId="43" borderId="58" xfId="0" applyFont="1" applyFill="1" applyBorder="1" applyAlignment="1">
      <alignment horizontal="center" vertical="center"/>
    </xf>
    <xf numFmtId="0" fontId="116" fillId="15" borderId="65" xfId="0" applyFont="1" applyFill="1" applyBorder="1" applyAlignment="1">
      <alignment horizontal="center" vertical="center"/>
    </xf>
    <xf numFmtId="0" fontId="4" fillId="35" borderId="32" xfId="0" applyFont="1" applyFill="1" applyBorder="1" applyAlignment="1">
      <alignment horizontal="center" vertical="center"/>
    </xf>
    <xf numFmtId="0" fontId="13" fillId="18" borderId="42" xfId="0" applyFont="1" applyFill="1" applyBorder="1" applyAlignment="1">
      <alignment horizontal="center" vertical="center"/>
    </xf>
    <xf numFmtId="0" fontId="6" fillId="74" borderId="65" xfId="0" applyFont="1" applyFill="1" applyBorder="1" applyAlignment="1">
      <alignment horizontal="center" vertical="center"/>
    </xf>
    <xf numFmtId="0" fontId="4" fillId="43" borderId="60" xfId="0" applyFont="1" applyFill="1" applyBorder="1" applyAlignment="1">
      <alignment horizontal="center" vertical="center"/>
    </xf>
    <xf numFmtId="0" fontId="4" fillId="19" borderId="43" xfId="0" applyFont="1" applyFill="1" applyBorder="1" applyAlignment="1">
      <alignment horizontal="center" vertical="center"/>
    </xf>
    <xf numFmtId="0" fontId="7" fillId="22" borderId="78" xfId="0" applyFont="1" applyFill="1" applyBorder="1" applyAlignment="1">
      <alignment horizontal="center" vertical="center"/>
    </xf>
    <xf numFmtId="0" fontId="4" fillId="43" borderId="5" xfId="0" applyFont="1" applyFill="1" applyBorder="1" applyAlignment="1">
      <alignment horizontal="center" vertical="center"/>
    </xf>
    <xf numFmtId="0" fontId="13" fillId="53" borderId="5" xfId="0" applyFont="1" applyFill="1" applyBorder="1" applyAlignment="1">
      <alignment horizontal="center" vertical="center"/>
    </xf>
    <xf numFmtId="0" fontId="7" fillId="22" borderId="60" xfId="0" applyFont="1" applyFill="1" applyBorder="1" applyAlignment="1">
      <alignment horizontal="center" vertical="center"/>
    </xf>
    <xf numFmtId="0" fontId="7" fillId="22" borderId="64" xfId="0" applyFont="1" applyFill="1" applyBorder="1" applyAlignment="1">
      <alignment horizontal="center" vertical="center"/>
    </xf>
    <xf numFmtId="0" fontId="7" fillId="22" borderId="5" xfId="0" applyFont="1" applyFill="1" applyBorder="1" applyAlignment="1">
      <alignment horizontal="center" vertical="center"/>
    </xf>
    <xf numFmtId="0" fontId="7" fillId="22" borderId="9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43" xfId="0" applyFont="1" applyFill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15" xfId="0" applyFont="1" applyBorder="1" applyAlignment="1">
      <alignment horizontal="center" vertical="center"/>
    </xf>
    <xf numFmtId="0" fontId="4" fillId="41" borderId="15" xfId="0" applyFont="1" applyFill="1" applyBorder="1" applyAlignment="1">
      <alignment horizontal="center" vertical="center"/>
    </xf>
    <xf numFmtId="0" fontId="35" fillId="53" borderId="66" xfId="0" applyFont="1" applyFill="1" applyBorder="1" applyAlignment="1">
      <alignment horizontal="center" vertical="center"/>
    </xf>
    <xf numFmtId="0" fontId="35" fillId="53" borderId="55" xfId="0" applyFont="1" applyFill="1" applyBorder="1" applyAlignment="1">
      <alignment horizontal="center" vertical="center"/>
    </xf>
    <xf numFmtId="0" fontId="54" fillId="0" borderId="143" xfId="0" applyFont="1" applyBorder="1" applyAlignment="1">
      <alignment horizontal="center" vertical="center"/>
    </xf>
    <xf numFmtId="0" fontId="54" fillId="0" borderId="121" xfId="0" applyFont="1" applyBorder="1" applyAlignment="1">
      <alignment horizontal="center" vertical="center"/>
    </xf>
    <xf numFmtId="0" fontId="4" fillId="71" borderId="60" xfId="0" applyFont="1" applyFill="1" applyBorder="1" applyAlignment="1">
      <alignment horizontal="center" vertical="center"/>
    </xf>
    <xf numFmtId="0" fontId="64" fillId="71" borderId="5" xfId="0" applyFont="1" applyFill="1" applyBorder="1" applyAlignment="1">
      <alignment horizontal="center" vertical="center"/>
    </xf>
    <xf numFmtId="0" fontId="39" fillId="63" borderId="32" xfId="0" applyFont="1" applyFill="1" applyBorder="1" applyAlignment="1">
      <alignment horizontal="center" vertical="center"/>
    </xf>
    <xf numFmtId="0" fontId="39" fillId="63" borderId="33" xfId="0" applyFont="1" applyFill="1" applyBorder="1" applyAlignment="1">
      <alignment horizontal="center" vertical="center"/>
    </xf>
    <xf numFmtId="0" fontId="39" fillId="63" borderId="34" xfId="0" applyFont="1" applyFill="1" applyBorder="1" applyAlignment="1">
      <alignment horizontal="center" vertical="center"/>
    </xf>
    <xf numFmtId="0" fontId="7" fillId="22" borderId="79" xfId="0" applyFont="1" applyFill="1" applyBorder="1" applyAlignment="1">
      <alignment horizontal="center" vertical="center"/>
    </xf>
    <xf numFmtId="0" fontId="13" fillId="74" borderId="5" xfId="0" applyFont="1" applyFill="1" applyBorder="1" applyAlignment="1">
      <alignment horizontal="center" vertical="center"/>
    </xf>
    <xf numFmtId="0" fontId="13" fillId="74" borderId="62" xfId="0" applyFont="1" applyFill="1" applyBorder="1" applyAlignment="1">
      <alignment horizontal="center" vertical="center"/>
    </xf>
    <xf numFmtId="0" fontId="4" fillId="14" borderId="64" xfId="0" applyFont="1" applyFill="1" applyBorder="1" applyAlignment="1">
      <alignment horizontal="center" vertical="center"/>
    </xf>
    <xf numFmtId="0" fontId="4" fillId="14" borderId="5" xfId="0" applyFont="1" applyFill="1" applyBorder="1" applyAlignment="1">
      <alignment horizontal="center" vertical="center"/>
    </xf>
    <xf numFmtId="0" fontId="7" fillId="22" borderId="80" xfId="0" applyFont="1" applyFill="1" applyBorder="1" applyAlignment="1">
      <alignment horizontal="center" vertical="center"/>
    </xf>
    <xf numFmtId="0" fontId="7" fillId="22" borderId="15" xfId="0" applyFont="1" applyFill="1" applyBorder="1" applyAlignment="1">
      <alignment horizontal="center" vertical="center"/>
    </xf>
    <xf numFmtId="0" fontId="4" fillId="0" borderId="97" xfId="0" applyFont="1" applyBorder="1" applyAlignment="1">
      <alignment horizontal="center" vertical="center"/>
    </xf>
    <xf numFmtId="0" fontId="4" fillId="0" borderId="207" xfId="0" applyFont="1" applyBorder="1" applyAlignment="1">
      <alignment horizontal="center" vertical="center"/>
    </xf>
    <xf numFmtId="0" fontId="54" fillId="0" borderId="145" xfId="0" applyFont="1" applyBorder="1" applyAlignment="1">
      <alignment horizontal="center" vertical="center"/>
    </xf>
    <xf numFmtId="0" fontId="7" fillId="0" borderId="91" xfId="0" applyFont="1" applyBorder="1" applyAlignment="1">
      <alignment horizontal="center" vertical="center" wrapText="1"/>
    </xf>
    <xf numFmtId="0" fontId="7" fillId="0" borderId="64" xfId="0" applyFont="1" applyBorder="1" applyAlignment="1">
      <alignment horizontal="center" vertical="center" wrapText="1"/>
    </xf>
    <xf numFmtId="0" fontId="7" fillId="0" borderId="80" xfId="0" applyFont="1" applyBorder="1" applyAlignment="1">
      <alignment horizontal="center" vertical="center" wrapText="1"/>
    </xf>
    <xf numFmtId="0" fontId="4" fillId="56" borderId="15" xfId="0" applyFont="1" applyFill="1" applyBorder="1" applyAlignment="1">
      <alignment horizontal="center" vertical="center"/>
    </xf>
    <xf numFmtId="0" fontId="6" fillId="25" borderId="15" xfId="0" applyFont="1" applyFill="1" applyBorder="1" applyAlignment="1">
      <alignment horizontal="center" vertical="center"/>
    </xf>
    <xf numFmtId="0" fontId="13" fillId="53" borderId="32" xfId="0" applyFont="1" applyFill="1" applyBorder="1" applyAlignment="1">
      <alignment horizontal="center" vertical="center"/>
    </xf>
    <xf numFmtId="0" fontId="13" fillId="53" borderId="33" xfId="0" applyFont="1" applyFill="1" applyBorder="1" applyAlignment="1">
      <alignment horizontal="center" vertical="center"/>
    </xf>
    <xf numFmtId="0" fontId="13" fillId="53" borderId="111" xfId="0" applyFont="1" applyFill="1" applyBorder="1" applyAlignment="1">
      <alignment horizontal="center" vertical="center"/>
    </xf>
    <xf numFmtId="0" fontId="4" fillId="56" borderId="111" xfId="0" applyFont="1" applyFill="1" applyBorder="1" applyAlignment="1">
      <alignment horizontal="center" vertical="center"/>
    </xf>
    <xf numFmtId="0" fontId="4" fillId="56" borderId="55" xfId="0" applyFont="1" applyFill="1" applyBorder="1" applyAlignment="1">
      <alignment horizontal="center" vertical="center"/>
    </xf>
    <xf numFmtId="0" fontId="4" fillId="56" borderId="159" xfId="0" applyFont="1" applyFill="1" applyBorder="1" applyAlignment="1">
      <alignment horizontal="center" vertical="center"/>
    </xf>
    <xf numFmtId="0" fontId="49" fillId="10" borderId="55" xfId="0" applyFont="1" applyFill="1" applyBorder="1" applyAlignment="1">
      <alignment horizontal="center" vertical="center"/>
    </xf>
    <xf numFmtId="0" fontId="49" fillId="10" borderId="90" xfId="0" applyFont="1" applyFill="1" applyBorder="1" applyAlignment="1">
      <alignment horizontal="center" vertical="center"/>
    </xf>
    <xf numFmtId="0" fontId="49" fillId="10" borderId="33" xfId="0" applyFont="1" applyFill="1" applyBorder="1" applyAlignment="1">
      <alignment horizontal="center" vertical="center"/>
    </xf>
    <xf numFmtId="0" fontId="54" fillId="67" borderId="55" xfId="0" applyFont="1" applyFill="1" applyBorder="1" applyAlignment="1">
      <alignment horizontal="center"/>
    </xf>
    <xf numFmtId="0" fontId="54" fillId="67" borderId="37" xfId="0" applyFont="1" applyFill="1" applyBorder="1" applyAlignment="1">
      <alignment horizontal="center"/>
    </xf>
    <xf numFmtId="0" fontId="54" fillId="67" borderId="90" xfId="0" applyFont="1" applyFill="1" applyBorder="1" applyAlignment="1">
      <alignment horizontal="center"/>
    </xf>
    <xf numFmtId="0" fontId="4" fillId="67" borderId="33" xfId="0" applyFont="1" applyFill="1" applyBorder="1" applyAlignment="1">
      <alignment horizontal="center" vertical="center"/>
    </xf>
    <xf numFmtId="0" fontId="13" fillId="74" borderId="33" xfId="0" applyFont="1" applyFill="1" applyBorder="1" applyAlignment="1">
      <alignment horizontal="center" vertical="center"/>
    </xf>
    <xf numFmtId="0" fontId="13" fillId="74" borderId="35" xfId="0" applyFont="1" applyFill="1" applyBorder="1" applyAlignment="1">
      <alignment horizontal="center" vertical="center"/>
    </xf>
    <xf numFmtId="0" fontId="54" fillId="67" borderId="32" xfId="0" applyFont="1" applyFill="1" applyBorder="1" applyAlignment="1">
      <alignment horizontal="center"/>
    </xf>
    <xf numFmtId="0" fontId="54" fillId="67" borderId="33" xfId="0" applyFont="1" applyFill="1" applyBorder="1" applyAlignment="1">
      <alignment horizontal="center"/>
    </xf>
    <xf numFmtId="0" fontId="54" fillId="67" borderId="34" xfId="0" applyFont="1" applyFill="1" applyBorder="1" applyAlignment="1">
      <alignment horizontal="center"/>
    </xf>
    <xf numFmtId="0" fontId="143" fillId="74" borderId="33" xfId="0" applyFont="1" applyFill="1" applyBorder="1" applyAlignment="1">
      <alignment horizontal="center" vertical="center"/>
    </xf>
    <xf numFmtId="0" fontId="143" fillId="74" borderId="34" xfId="0" applyFont="1" applyFill="1" applyBorder="1" applyAlignment="1">
      <alignment horizontal="center" vertical="center"/>
    </xf>
    <xf numFmtId="0" fontId="4" fillId="56" borderId="31" xfId="0" applyFont="1" applyFill="1" applyBorder="1" applyAlignment="1">
      <alignment horizontal="center" vertical="center"/>
    </xf>
    <xf numFmtId="0" fontId="7" fillId="22" borderId="14" xfId="0" applyFont="1" applyFill="1" applyBorder="1" applyAlignment="1">
      <alignment horizontal="center" vertical="center"/>
    </xf>
    <xf numFmtId="0" fontId="6" fillId="5" borderId="117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7" fillId="0" borderId="167" xfId="0" applyFont="1" applyBorder="1" applyAlignment="1"/>
    <xf numFmtId="0" fontId="117" fillId="8" borderId="75" xfId="0" applyFont="1" applyFill="1" applyBorder="1" applyAlignment="1">
      <alignment horizontal="center"/>
    </xf>
    <xf numFmtId="0" fontId="0" fillId="8" borderId="103" xfId="0" applyFill="1" applyBorder="1" applyAlignment="1">
      <alignment horizontal="center"/>
    </xf>
    <xf numFmtId="0" fontId="49" fillId="10" borderId="32" xfId="0" applyFont="1" applyFill="1" applyBorder="1" applyAlignment="1">
      <alignment horizontal="center" vertical="center"/>
    </xf>
    <xf numFmtId="0" fontId="49" fillId="10" borderId="34" xfId="0" applyFont="1" applyFill="1" applyBorder="1" applyAlignment="1">
      <alignment horizontal="center" vertical="center"/>
    </xf>
    <xf numFmtId="0" fontId="4" fillId="70" borderId="32" xfId="0" applyFont="1" applyFill="1" applyBorder="1" applyAlignment="1">
      <alignment horizontal="center" vertical="center"/>
    </xf>
    <xf numFmtId="0" fontId="4" fillId="70" borderId="33" xfId="0" applyFont="1" applyFill="1" applyBorder="1" applyAlignment="1">
      <alignment horizontal="center" vertical="center"/>
    </xf>
    <xf numFmtId="0" fontId="4" fillId="70" borderId="34" xfId="0" applyFont="1" applyFill="1" applyBorder="1" applyAlignment="1">
      <alignment horizontal="center" vertical="center"/>
    </xf>
    <xf numFmtId="0" fontId="13" fillId="74" borderId="34" xfId="0" applyFont="1" applyFill="1" applyBorder="1" applyAlignment="1">
      <alignment horizontal="center" vertical="center"/>
    </xf>
    <xf numFmtId="0" fontId="39" fillId="53" borderId="84" xfId="0" applyFont="1" applyFill="1" applyBorder="1" applyAlignment="1">
      <alignment horizontal="center" vertical="center"/>
    </xf>
    <xf numFmtId="0" fontId="39" fillId="53" borderId="83" xfId="0" applyFont="1" applyFill="1" applyBorder="1" applyAlignment="1">
      <alignment horizontal="center" vertical="center"/>
    </xf>
    <xf numFmtId="0" fontId="39" fillId="53" borderId="129" xfId="0" applyFont="1" applyFill="1" applyBorder="1" applyAlignment="1">
      <alignment horizontal="center" vertical="center"/>
    </xf>
    <xf numFmtId="0" fontId="4" fillId="8" borderId="144" xfId="0" applyFont="1" applyFill="1" applyBorder="1" applyAlignment="1">
      <alignment horizontal="center" vertical="center"/>
    </xf>
    <xf numFmtId="0" fontId="6" fillId="25" borderId="33" xfId="0" applyFont="1" applyFill="1" applyBorder="1" applyAlignment="1">
      <alignment horizontal="center" vertical="center"/>
    </xf>
    <xf numFmtId="0" fontId="6" fillId="25" borderId="34" xfId="0" applyFont="1" applyFill="1" applyBorder="1" applyAlignment="1">
      <alignment horizontal="center" vertical="center"/>
    </xf>
    <xf numFmtId="0" fontId="7" fillId="0" borderId="202" xfId="0" applyFont="1" applyBorder="1" applyAlignment="1">
      <alignment horizontal="center" vertical="center"/>
    </xf>
    <xf numFmtId="0" fontId="7" fillId="0" borderId="201" xfId="0" applyFont="1" applyBorder="1" applyAlignment="1">
      <alignment horizontal="center" vertical="center"/>
    </xf>
    <xf numFmtId="0" fontId="13" fillId="5" borderId="32" xfId="0" applyFont="1" applyFill="1" applyBorder="1" applyAlignment="1">
      <alignment horizontal="center" vertical="center"/>
    </xf>
    <xf numFmtId="0" fontId="13" fillId="5" borderId="111" xfId="0" applyFont="1" applyFill="1" applyBorder="1" applyAlignment="1">
      <alignment horizontal="center" vertical="center"/>
    </xf>
    <xf numFmtId="0" fontId="4" fillId="26" borderId="33" xfId="0" applyFont="1" applyFill="1" applyBorder="1" applyAlignment="1">
      <alignment horizontal="center" vertical="center"/>
    </xf>
    <xf numFmtId="0" fontId="125" fillId="8" borderId="103" xfId="0" applyFont="1" applyFill="1" applyBorder="1" applyAlignment="1">
      <alignment horizontal="center"/>
    </xf>
    <xf numFmtId="0" fontId="125" fillId="8" borderId="14" xfId="0" applyFont="1" applyFill="1" applyBorder="1" applyAlignment="1">
      <alignment horizontal="center"/>
    </xf>
    <xf numFmtId="0" fontId="125" fillId="8" borderId="5" xfId="0" applyFont="1" applyFill="1" applyBorder="1" applyAlignment="1">
      <alignment horizontal="center"/>
    </xf>
    <xf numFmtId="0" fontId="125" fillId="8" borderId="32" xfId="0" applyFont="1" applyFill="1" applyBorder="1" applyAlignment="1">
      <alignment horizontal="center"/>
    </xf>
    <xf numFmtId="0" fontId="31" fillId="8" borderId="33" xfId="0" applyFont="1" applyFill="1" applyBorder="1" applyAlignment="1">
      <alignment horizontal="center"/>
    </xf>
    <xf numFmtId="0" fontId="31" fillId="8" borderId="34" xfId="0" applyFont="1" applyFill="1" applyBorder="1" applyAlignment="1">
      <alignment horizontal="center"/>
    </xf>
    <xf numFmtId="0" fontId="116" fillId="8" borderId="32" xfId="0" applyFont="1" applyFill="1" applyBorder="1" applyAlignment="1">
      <alignment horizontal="center"/>
    </xf>
    <xf numFmtId="0" fontId="116" fillId="8" borderId="33" xfId="0" applyFont="1" applyFill="1" applyBorder="1" applyAlignment="1">
      <alignment horizontal="center"/>
    </xf>
    <xf numFmtId="0" fontId="116" fillId="8" borderId="34" xfId="0" applyFont="1" applyFill="1" applyBorder="1" applyAlignment="1">
      <alignment horizontal="center"/>
    </xf>
    <xf numFmtId="0" fontId="116" fillId="25" borderId="43" xfId="0" applyFont="1" applyFill="1" applyBorder="1" applyAlignment="1">
      <alignment horizontal="center" vertical="center" wrapText="1"/>
    </xf>
    <xf numFmtId="0" fontId="4" fillId="8" borderId="79" xfId="0" applyFont="1" applyFill="1" applyBorder="1" applyAlignment="1">
      <alignment horizontal="center" vertical="center"/>
    </xf>
    <xf numFmtId="0" fontId="6" fillId="8" borderId="43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/>
    </xf>
    <xf numFmtId="0" fontId="6" fillId="8" borderId="14" xfId="0" applyFont="1" applyFill="1" applyBorder="1" applyAlignment="1">
      <alignment horizontal="center" vertical="center"/>
    </xf>
    <xf numFmtId="0" fontId="116" fillId="25" borderId="56" xfId="0" applyFont="1" applyFill="1" applyBorder="1" applyAlignment="1">
      <alignment horizontal="center" vertical="center" wrapText="1"/>
    </xf>
    <xf numFmtId="0" fontId="116" fillId="25" borderId="57" xfId="0" applyFont="1" applyFill="1" applyBorder="1" applyAlignment="1">
      <alignment horizontal="center" vertical="center" wrapText="1"/>
    </xf>
    <xf numFmtId="0" fontId="116" fillId="25" borderId="73" xfId="0" applyFont="1" applyFill="1" applyBorder="1" applyAlignment="1">
      <alignment horizontal="center" vertical="center" wrapText="1"/>
    </xf>
    <xf numFmtId="49" fontId="13" fillId="2" borderId="69" xfId="0" applyNumberFormat="1" applyFont="1" applyFill="1" applyBorder="1" applyAlignment="1">
      <alignment horizontal="center" vertical="center"/>
    </xf>
    <xf numFmtId="49" fontId="13" fillId="2" borderId="70" xfId="0" applyNumberFormat="1" applyFont="1" applyFill="1" applyBorder="1" applyAlignment="1">
      <alignment horizontal="center" vertical="center"/>
    </xf>
    <xf numFmtId="49" fontId="13" fillId="2" borderId="139" xfId="0" applyNumberFormat="1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/>
    </xf>
    <xf numFmtId="0" fontId="13" fillId="64" borderId="65" xfId="0" applyFont="1" applyFill="1" applyBorder="1" applyAlignment="1">
      <alignment horizontal="center" vertical="center"/>
    </xf>
    <xf numFmtId="0" fontId="13" fillId="64" borderId="111" xfId="0" applyFont="1" applyFill="1" applyBorder="1" applyAlignment="1">
      <alignment horizontal="center" vertical="center"/>
    </xf>
    <xf numFmtId="0" fontId="26" fillId="23" borderId="166" xfId="0" applyFont="1" applyFill="1" applyBorder="1" applyAlignment="1">
      <alignment horizontal="center" vertical="center"/>
    </xf>
    <xf numFmtId="0" fontId="26" fillId="23" borderId="88" xfId="0" applyFont="1" applyFill="1" applyBorder="1" applyAlignment="1">
      <alignment horizontal="center" vertical="center"/>
    </xf>
    <xf numFmtId="0" fontId="26" fillId="23" borderId="175" xfId="0" applyFont="1" applyFill="1" applyBorder="1" applyAlignment="1">
      <alignment horizontal="center" vertical="center"/>
    </xf>
    <xf numFmtId="0" fontId="116" fillId="7" borderId="33" xfId="0" applyFont="1" applyFill="1" applyBorder="1" applyAlignment="1">
      <alignment horizontal="center" vertical="center"/>
    </xf>
    <xf numFmtId="0" fontId="13" fillId="64" borderId="84" xfId="0" applyFont="1" applyFill="1" applyBorder="1" applyAlignment="1">
      <alignment horizontal="center" vertical="center"/>
    </xf>
    <xf numFmtId="0" fontId="13" fillId="64" borderId="83" xfId="0" applyFont="1" applyFill="1" applyBorder="1" applyAlignment="1">
      <alignment horizontal="center" vertical="center"/>
    </xf>
    <xf numFmtId="0" fontId="13" fillId="64" borderId="129" xfId="0" applyFont="1" applyFill="1" applyBorder="1" applyAlignment="1">
      <alignment horizontal="center" vertical="center"/>
    </xf>
    <xf numFmtId="0" fontId="13" fillId="81" borderId="64" xfId="0" applyFont="1" applyFill="1" applyBorder="1" applyAlignment="1">
      <alignment horizontal="center" vertical="center"/>
    </xf>
    <xf numFmtId="0" fontId="13" fillId="81" borderId="5" xfId="0" applyFont="1" applyFill="1" applyBorder="1" applyAlignment="1">
      <alignment horizontal="center" vertical="center"/>
    </xf>
    <xf numFmtId="0" fontId="4" fillId="67" borderId="5" xfId="0" applyFont="1" applyFill="1" applyBorder="1" applyAlignment="1">
      <alignment horizontal="center" vertical="center"/>
    </xf>
    <xf numFmtId="0" fontId="116" fillId="7" borderId="34" xfId="0" applyFont="1" applyFill="1" applyBorder="1" applyAlignment="1">
      <alignment horizontal="center" vertical="center"/>
    </xf>
    <xf numFmtId="0" fontId="151" fillId="64" borderId="84" xfId="0" applyFont="1" applyFill="1" applyBorder="1" applyAlignment="1">
      <alignment horizontal="center" vertical="center"/>
    </xf>
    <xf numFmtId="0" fontId="151" fillId="64" borderId="85" xfId="0" applyFont="1" applyFill="1" applyBorder="1" applyAlignment="1">
      <alignment horizontal="center" vertical="center"/>
    </xf>
    <xf numFmtId="0" fontId="39" fillId="8" borderId="84" xfId="0" applyFont="1" applyFill="1" applyBorder="1" applyAlignment="1">
      <alignment horizontal="center" vertical="center"/>
    </xf>
    <xf numFmtId="0" fontId="13" fillId="53" borderId="34" xfId="0" applyFont="1" applyFill="1" applyBorder="1" applyAlignment="1">
      <alignment horizontal="center" vertical="center"/>
    </xf>
    <xf numFmtId="0" fontId="93" fillId="10" borderId="5" xfId="0" applyFont="1" applyFill="1" applyBorder="1" applyAlignment="1">
      <alignment horizontal="center" vertical="center"/>
    </xf>
    <xf numFmtId="0" fontId="6" fillId="64" borderId="34" xfId="0" applyFont="1" applyFill="1" applyBorder="1" applyAlignment="1">
      <alignment horizontal="center" vertical="center"/>
    </xf>
    <xf numFmtId="0" fontId="39" fillId="15" borderId="5" xfId="0" applyFont="1" applyFill="1" applyBorder="1" applyAlignment="1">
      <alignment horizontal="center" vertical="center"/>
    </xf>
    <xf numFmtId="0" fontId="7" fillId="0" borderId="125" xfId="0" applyFont="1" applyBorder="1" applyAlignment="1">
      <alignment horizontal="center" vertical="center"/>
    </xf>
    <xf numFmtId="0" fontId="7" fillId="0" borderId="123" xfId="0" applyFont="1" applyBorder="1" applyAlignment="1">
      <alignment horizontal="center" vertical="center"/>
    </xf>
    <xf numFmtId="0" fontId="4" fillId="25" borderId="15" xfId="0" applyFont="1" applyFill="1" applyBorder="1" applyAlignment="1">
      <alignment horizontal="center" vertical="center"/>
    </xf>
    <xf numFmtId="0" fontId="93" fillId="10" borderId="43" xfId="0" applyFont="1" applyFill="1" applyBorder="1" applyAlignment="1">
      <alignment horizontal="center" vertical="center"/>
    </xf>
    <xf numFmtId="0" fontId="93" fillId="10" borderId="14" xfId="0" applyFont="1" applyFill="1" applyBorder="1" applyAlignment="1">
      <alignment horizontal="center" vertical="center"/>
    </xf>
    <xf numFmtId="0" fontId="39" fillId="65" borderId="5" xfId="0" applyFont="1" applyFill="1" applyBorder="1" applyAlignment="1">
      <alignment horizontal="center" vertical="center"/>
    </xf>
    <xf numFmtId="0" fontId="93" fillId="10" borderId="56" xfId="0" applyFont="1" applyFill="1" applyBorder="1" applyAlignment="1">
      <alignment horizontal="center" vertical="center"/>
    </xf>
    <xf numFmtId="0" fontId="93" fillId="10" borderId="73" xfId="0" applyFont="1" applyFill="1" applyBorder="1" applyAlignment="1">
      <alignment horizontal="center" vertical="center"/>
    </xf>
    <xf numFmtId="0" fontId="4" fillId="10" borderId="56" xfId="0" applyFont="1" applyFill="1" applyBorder="1" applyAlignment="1">
      <alignment horizontal="center" vertical="center"/>
    </xf>
    <xf numFmtId="0" fontId="4" fillId="10" borderId="57" xfId="0" applyFont="1" applyFill="1" applyBorder="1" applyAlignment="1">
      <alignment horizontal="center" vertical="center"/>
    </xf>
    <xf numFmtId="0" fontId="4" fillId="10" borderId="73" xfId="0" applyFont="1" applyFill="1" applyBorder="1" applyAlignment="1">
      <alignment horizontal="center" vertical="center"/>
    </xf>
    <xf numFmtId="0" fontId="76" fillId="8" borderId="85" xfId="0" applyFont="1" applyFill="1" applyBorder="1" applyAlignment="1">
      <alignment horizontal="center" vertical="center"/>
    </xf>
    <xf numFmtId="0" fontId="39" fillId="65" borderId="14" xfId="0" applyFont="1" applyFill="1" applyBorder="1" applyAlignment="1">
      <alignment horizontal="center" vertical="center"/>
    </xf>
    <xf numFmtId="0" fontId="93" fillId="25" borderId="133" xfId="0" applyFont="1" applyFill="1" applyBorder="1" applyAlignment="1">
      <alignment horizontal="center" vertical="center" wrapText="1"/>
    </xf>
    <xf numFmtId="0" fontId="93" fillId="25" borderId="105" xfId="0" applyFont="1" applyFill="1" applyBorder="1" applyAlignment="1">
      <alignment horizontal="center" vertical="center" wrapText="1"/>
    </xf>
    <xf numFmtId="0" fontId="93" fillId="25" borderId="134" xfId="0" applyFont="1" applyFill="1" applyBorder="1" applyAlignment="1">
      <alignment horizontal="center" vertical="center" wrapText="1"/>
    </xf>
    <xf numFmtId="0" fontId="116" fillId="8" borderId="56" xfId="0" applyFont="1" applyFill="1" applyBorder="1" applyAlignment="1">
      <alignment horizontal="center" vertical="center" wrapText="1"/>
    </xf>
    <xf numFmtId="0" fontId="45" fillId="8" borderId="57" xfId="0" applyFont="1" applyFill="1" applyBorder="1" applyAlignment="1">
      <alignment horizontal="center" vertical="center" wrapText="1"/>
    </xf>
    <xf numFmtId="0" fontId="45" fillId="8" borderId="73" xfId="0" applyFont="1" applyFill="1" applyBorder="1" applyAlignment="1">
      <alignment horizontal="center" vertical="center" wrapText="1"/>
    </xf>
    <xf numFmtId="0" fontId="7" fillId="0" borderId="104" xfId="0" applyFont="1" applyBorder="1" applyAlignment="1">
      <alignment horizontal="center" vertical="center"/>
    </xf>
    <xf numFmtId="0" fontId="6" fillId="7" borderId="62" xfId="0" applyFont="1" applyFill="1" applyBorder="1" applyAlignment="1">
      <alignment horizontal="center" vertical="center"/>
    </xf>
    <xf numFmtId="0" fontId="6" fillId="5" borderId="44" xfId="0" applyFont="1" applyFill="1" applyBorder="1" applyAlignment="1">
      <alignment horizontal="center" vertical="center"/>
    </xf>
    <xf numFmtId="0" fontId="93" fillId="10" borderId="15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 wrapText="1"/>
    </xf>
    <xf numFmtId="0" fontId="4" fillId="8" borderId="62" xfId="0" applyFont="1" applyFill="1" applyBorder="1" applyAlignment="1">
      <alignment horizontal="center" vertical="center" wrapText="1"/>
    </xf>
    <xf numFmtId="0" fontId="4" fillId="78" borderId="32" xfId="0" applyFont="1" applyFill="1" applyBorder="1" applyAlignment="1">
      <alignment horizontal="center" vertical="center"/>
    </xf>
    <xf numFmtId="0" fontId="4" fillId="78" borderId="33" xfId="0" applyFont="1" applyFill="1" applyBorder="1" applyAlignment="1">
      <alignment horizontal="center" vertical="center"/>
    </xf>
    <xf numFmtId="0" fontId="4" fillId="78" borderId="34" xfId="0" applyFont="1" applyFill="1" applyBorder="1" applyAlignment="1">
      <alignment horizontal="center" vertical="center"/>
    </xf>
    <xf numFmtId="0" fontId="24" fillId="24" borderId="78" xfId="0" applyFont="1" applyFill="1" applyBorder="1" applyAlignment="1">
      <alignment horizontal="center" vertical="center"/>
    </xf>
    <xf numFmtId="0" fontId="24" fillId="24" borderId="61" xfId="0" applyFont="1" applyFill="1" applyBorder="1" applyAlignment="1">
      <alignment horizontal="center" vertical="center"/>
    </xf>
    <xf numFmtId="0" fontId="18" fillId="6" borderId="85" xfId="0" applyFont="1" applyFill="1" applyBorder="1" applyAlignment="1">
      <alignment horizontal="center" vertical="center"/>
    </xf>
    <xf numFmtId="0" fontId="18" fillId="6" borderId="60" xfId="0" applyFont="1" applyFill="1" applyBorder="1" applyAlignment="1">
      <alignment horizontal="center" vertical="center"/>
    </xf>
    <xf numFmtId="0" fontId="6" fillId="37" borderId="62" xfId="0" applyFont="1" applyFill="1" applyBorder="1" applyAlignment="1">
      <alignment horizontal="center" vertical="center"/>
    </xf>
    <xf numFmtId="0" fontId="6" fillId="38" borderId="62" xfId="0" applyFont="1" applyFill="1" applyBorder="1" applyAlignment="1">
      <alignment horizontal="center" vertical="center"/>
    </xf>
    <xf numFmtId="0" fontId="31" fillId="10" borderId="64" xfId="0" applyFont="1" applyFill="1" applyBorder="1" applyAlignment="1">
      <alignment horizontal="center" vertical="center"/>
    </xf>
    <xf numFmtId="0" fontId="31" fillId="10" borderId="62" xfId="0" applyFont="1" applyFill="1" applyBorder="1" applyAlignment="1">
      <alignment horizontal="center" vertical="center"/>
    </xf>
    <xf numFmtId="0" fontId="31" fillId="23" borderId="64" xfId="0" applyFont="1" applyFill="1" applyBorder="1" applyAlignment="1">
      <alignment horizontal="center" vertical="center"/>
    </xf>
    <xf numFmtId="0" fontId="31" fillId="23" borderId="5" xfId="0" applyFont="1" applyFill="1" applyBorder="1" applyAlignment="1">
      <alignment horizontal="center" vertical="center"/>
    </xf>
    <xf numFmtId="0" fontId="31" fillId="23" borderId="62" xfId="0" applyFont="1" applyFill="1" applyBorder="1" applyAlignment="1">
      <alignment horizontal="center" vertical="center"/>
    </xf>
    <xf numFmtId="0" fontId="6" fillId="13" borderId="62" xfId="0" applyFont="1" applyFill="1" applyBorder="1" applyAlignment="1">
      <alignment horizontal="center" vertical="center"/>
    </xf>
    <xf numFmtId="0" fontId="39" fillId="18" borderId="64" xfId="0" applyFont="1" applyFill="1" applyBorder="1" applyAlignment="1">
      <alignment horizontal="center" vertical="center"/>
    </xf>
    <xf numFmtId="0" fontId="39" fillId="18" borderId="5" xfId="0" applyFont="1" applyFill="1" applyBorder="1" applyAlignment="1">
      <alignment horizontal="center" vertical="center"/>
    </xf>
    <xf numFmtId="0" fontId="39" fillId="18" borderId="62" xfId="0" applyFont="1" applyFill="1" applyBorder="1" applyAlignment="1">
      <alignment horizontal="center" vertical="center"/>
    </xf>
    <xf numFmtId="0" fontId="6" fillId="16" borderId="64" xfId="0" applyFont="1" applyFill="1" applyBorder="1" applyAlignment="1">
      <alignment horizontal="center" vertical="center"/>
    </xf>
    <xf numFmtId="0" fontId="6" fillId="16" borderId="62" xfId="0" applyFont="1" applyFill="1" applyBorder="1" applyAlignment="1">
      <alignment horizontal="center" vertical="center"/>
    </xf>
    <xf numFmtId="0" fontId="4" fillId="40" borderId="64" xfId="0" applyFont="1" applyFill="1" applyBorder="1" applyAlignment="1">
      <alignment horizontal="center" vertical="center"/>
    </xf>
    <xf numFmtId="0" fontId="4" fillId="40" borderId="5" xfId="0" applyFont="1" applyFill="1" applyBorder="1" applyAlignment="1">
      <alignment horizontal="center" vertical="center"/>
    </xf>
    <xf numFmtId="0" fontId="4" fillId="40" borderId="62" xfId="0" applyFont="1" applyFill="1" applyBorder="1" applyAlignment="1">
      <alignment horizontal="center" vertical="center"/>
    </xf>
    <xf numFmtId="0" fontId="6" fillId="17" borderId="62" xfId="0" applyFont="1" applyFill="1" applyBorder="1" applyAlignment="1">
      <alignment horizontal="center" vertical="center"/>
    </xf>
    <xf numFmtId="0" fontId="4" fillId="22" borderId="64" xfId="0" applyFont="1" applyFill="1" applyBorder="1" applyAlignment="1">
      <alignment horizontal="center" vertical="center"/>
    </xf>
    <xf numFmtId="0" fontId="4" fillId="22" borderId="62" xfId="0" applyFont="1" applyFill="1" applyBorder="1" applyAlignment="1">
      <alignment horizontal="center" vertical="center"/>
    </xf>
    <xf numFmtId="0" fontId="4" fillId="25" borderId="62" xfId="0" applyFont="1" applyFill="1" applyBorder="1" applyAlignment="1">
      <alignment horizontal="center" vertical="center"/>
    </xf>
    <xf numFmtId="0" fontId="4" fillId="35" borderId="62" xfId="0" applyFont="1" applyFill="1" applyBorder="1" applyAlignment="1">
      <alignment horizontal="center" vertical="center"/>
    </xf>
    <xf numFmtId="0" fontId="4" fillId="64" borderId="64" xfId="0" applyFont="1" applyFill="1" applyBorder="1" applyAlignment="1">
      <alignment horizontal="center" vertical="center"/>
    </xf>
    <xf numFmtId="0" fontId="4" fillId="64" borderId="5" xfId="0" applyFont="1" applyFill="1" applyBorder="1" applyAlignment="1">
      <alignment horizontal="center" vertical="center"/>
    </xf>
    <xf numFmtId="0" fontId="4" fillId="64" borderId="62" xfId="0" applyFont="1" applyFill="1" applyBorder="1" applyAlignment="1">
      <alignment horizontal="center" vertical="center"/>
    </xf>
    <xf numFmtId="0" fontId="4" fillId="42" borderId="62" xfId="0" applyFont="1" applyFill="1" applyBorder="1" applyAlignment="1">
      <alignment horizontal="center" vertical="center"/>
    </xf>
    <xf numFmtId="0" fontId="4" fillId="43" borderId="64" xfId="0" applyFont="1" applyFill="1" applyBorder="1" applyAlignment="1">
      <alignment horizontal="center" vertical="center"/>
    </xf>
    <xf numFmtId="0" fontId="4" fillId="43" borderId="62" xfId="0" applyFont="1" applyFill="1" applyBorder="1" applyAlignment="1">
      <alignment horizontal="center" vertical="center"/>
    </xf>
    <xf numFmtId="0" fontId="4" fillId="26" borderId="62" xfId="0" applyFont="1" applyFill="1" applyBorder="1" applyAlignment="1">
      <alignment horizontal="center" vertical="center"/>
    </xf>
    <xf numFmtId="0" fontId="7" fillId="23" borderId="5" xfId="0" applyFont="1" applyFill="1" applyBorder="1" applyAlignment="1">
      <alignment horizontal="center" vertical="center"/>
    </xf>
    <xf numFmtId="0" fontId="95" fillId="23" borderId="32" xfId="0" applyFont="1" applyFill="1" applyBorder="1" applyAlignment="1">
      <alignment horizontal="center" vertical="center"/>
    </xf>
    <xf numFmtId="0" fontId="95" fillId="23" borderId="33" xfId="0" applyFont="1" applyFill="1" applyBorder="1" applyAlignment="1">
      <alignment horizontal="center" vertical="center"/>
    </xf>
    <xf numFmtId="0" fontId="95" fillId="23" borderId="34" xfId="0" applyFont="1" applyFill="1" applyBorder="1" applyAlignment="1">
      <alignment horizontal="center" vertical="center"/>
    </xf>
    <xf numFmtId="0" fontId="26" fillId="23" borderId="111" xfId="0" applyFont="1" applyFill="1" applyBorder="1" applyAlignment="1">
      <alignment horizontal="center" vertical="center"/>
    </xf>
    <xf numFmtId="0" fontId="26" fillId="23" borderId="56" xfId="0" applyFont="1" applyFill="1" applyBorder="1" applyAlignment="1">
      <alignment horizontal="center" vertical="center"/>
    </xf>
    <xf numFmtId="0" fontId="152" fillId="23" borderId="32" xfId="0" applyFont="1" applyFill="1" applyBorder="1" applyAlignment="1">
      <alignment horizontal="center" vertical="center"/>
    </xf>
    <xf numFmtId="0" fontId="152" fillId="23" borderId="33" xfId="0" applyFont="1" applyFill="1" applyBorder="1" applyAlignment="1">
      <alignment horizontal="center" vertical="center"/>
    </xf>
    <xf numFmtId="0" fontId="152" fillId="23" borderId="34" xfId="0" applyFont="1" applyFill="1" applyBorder="1" applyAlignment="1">
      <alignment horizontal="center" vertical="center"/>
    </xf>
    <xf numFmtId="0" fontId="6" fillId="13" borderId="187" xfId="0" applyFont="1" applyFill="1" applyBorder="1" applyAlignment="1">
      <alignment horizontal="center" vertical="center"/>
    </xf>
    <xf numFmtId="0" fontId="147" fillId="0" borderId="32" xfId="0" applyFont="1" applyBorder="1" applyAlignment="1">
      <alignment horizontal="center"/>
    </xf>
    <xf numFmtId="0" fontId="147" fillId="0" borderId="33" xfId="0" applyFont="1" applyBorder="1" applyAlignment="1">
      <alignment horizontal="center"/>
    </xf>
    <xf numFmtId="0" fontId="147" fillId="0" borderId="34" xfId="0" applyFont="1" applyBorder="1" applyAlignment="1">
      <alignment horizontal="center"/>
    </xf>
    <xf numFmtId="0" fontId="116" fillId="7" borderId="111" xfId="0" applyFont="1" applyFill="1" applyBorder="1" applyAlignment="1">
      <alignment horizontal="center" vertical="center"/>
    </xf>
    <xf numFmtId="0" fontId="104" fillId="0" borderId="69" xfId="0" applyFont="1" applyBorder="1" applyAlignment="1">
      <alignment horizontal="center" vertical="center"/>
    </xf>
    <xf numFmtId="0" fontId="104" fillId="0" borderId="117" xfId="0" applyFont="1" applyBorder="1" applyAlignment="1">
      <alignment horizontal="center" vertical="center"/>
    </xf>
    <xf numFmtId="0" fontId="104" fillId="0" borderId="42" xfId="0" applyFont="1" applyBorder="1" applyAlignment="1">
      <alignment horizontal="center" vertical="center"/>
    </xf>
    <xf numFmtId="0" fontId="104" fillId="0" borderId="71" xfId="0" applyFont="1" applyBorder="1" applyAlignment="1">
      <alignment horizontal="center" vertical="center"/>
    </xf>
    <xf numFmtId="0" fontId="24" fillId="24" borderId="107" xfId="0" applyFont="1" applyFill="1" applyBorder="1" applyAlignment="1">
      <alignment horizontal="center" vertical="center"/>
    </xf>
    <xf numFmtId="0" fontId="31" fillId="23" borderId="111" xfId="0" applyFont="1" applyFill="1" applyBorder="1" applyAlignment="1">
      <alignment horizontal="center" vertical="center"/>
    </xf>
    <xf numFmtId="0" fontId="31" fillId="23" borderId="34" xfId="0" applyFont="1" applyFill="1" applyBorder="1" applyAlignment="1">
      <alignment horizontal="center" vertical="center"/>
    </xf>
    <xf numFmtId="0" fontId="4" fillId="26" borderId="153" xfId="0" applyFont="1" applyFill="1" applyBorder="1" applyAlignment="1">
      <alignment horizontal="center" vertical="center"/>
    </xf>
    <xf numFmtId="0" fontId="117" fillId="23" borderId="5" xfId="0" applyFont="1" applyFill="1" applyBorder="1" applyAlignment="1">
      <alignment horizontal="center"/>
    </xf>
    <xf numFmtId="0" fontId="117" fillId="23" borderId="32" xfId="0" applyFont="1" applyFill="1" applyBorder="1" applyAlignment="1">
      <alignment horizontal="center" vertical="center"/>
    </xf>
    <xf numFmtId="0" fontId="117" fillId="23" borderId="33" xfId="0" applyFont="1" applyFill="1" applyBorder="1" applyAlignment="1">
      <alignment horizontal="center" vertical="center"/>
    </xf>
    <xf numFmtId="0" fontId="117" fillId="23" borderId="34" xfId="0" applyFont="1" applyFill="1" applyBorder="1" applyAlignment="1">
      <alignment horizontal="center" vertical="center"/>
    </xf>
    <xf numFmtId="0" fontId="4" fillId="8" borderId="55" xfId="0" applyFont="1" applyFill="1" applyBorder="1" applyAlignment="1">
      <alignment horizontal="center" vertical="center" wrapText="1"/>
    </xf>
    <xf numFmtId="0" fontId="4" fillId="8" borderId="37" xfId="0" applyFont="1" applyFill="1" applyBorder="1" applyAlignment="1">
      <alignment horizontal="center" vertical="center" wrapText="1"/>
    </xf>
    <xf numFmtId="0" fontId="4" fillId="8" borderId="90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/>
    </xf>
    <xf numFmtId="0" fontId="26" fillId="23" borderId="83" xfId="0" applyFont="1" applyFill="1" applyBorder="1" applyAlignment="1">
      <alignment horizontal="center" vertical="center"/>
    </xf>
    <xf numFmtId="0" fontId="26" fillId="23" borderId="85" xfId="0" applyFont="1" applyFill="1" applyBorder="1" applyAlignment="1">
      <alignment horizontal="center" vertical="center"/>
    </xf>
    <xf numFmtId="0" fontId="104" fillId="23" borderId="84" xfId="0" applyFont="1" applyFill="1" applyBorder="1" applyAlignment="1">
      <alignment horizontal="center"/>
    </xf>
    <xf numFmtId="0" fontId="104" fillId="23" borderId="83" xfId="0" applyFont="1" applyFill="1" applyBorder="1" applyAlignment="1">
      <alignment horizontal="center"/>
    </xf>
    <xf numFmtId="0" fontId="104" fillId="23" borderId="85" xfId="0" applyFont="1" applyFill="1" applyBorder="1" applyAlignment="1">
      <alignment horizontal="center"/>
    </xf>
    <xf numFmtId="0" fontId="45" fillId="23" borderId="118" xfId="0" applyFont="1" applyFill="1" applyBorder="1" applyAlignment="1">
      <alignment horizontal="center" vertical="center"/>
    </xf>
    <xf numFmtId="0" fontId="45" fillId="23" borderId="35" xfId="0" applyFont="1" applyFill="1" applyBorder="1" applyAlignment="1">
      <alignment horizontal="center" vertical="center"/>
    </xf>
    <xf numFmtId="0" fontId="45" fillId="23" borderId="33" xfId="0" applyFont="1" applyFill="1" applyBorder="1" applyAlignment="1">
      <alignment horizontal="center" vertical="center"/>
    </xf>
    <xf numFmtId="0" fontId="45" fillId="23" borderId="34" xfId="0" applyFont="1" applyFill="1" applyBorder="1" applyAlignment="1">
      <alignment horizontal="center" vertical="center"/>
    </xf>
    <xf numFmtId="0" fontId="106" fillId="0" borderId="143" xfId="0" applyFont="1" applyBorder="1" applyAlignment="1">
      <alignment horizontal="center" vertical="center" wrapText="1"/>
    </xf>
    <xf numFmtId="0" fontId="106" fillId="0" borderId="145" xfId="0" applyFont="1" applyBorder="1" applyAlignment="1">
      <alignment horizontal="center" vertical="center" wrapText="1"/>
    </xf>
    <xf numFmtId="0" fontId="35" fillId="8" borderId="84" xfId="0" applyFont="1" applyFill="1" applyBorder="1" applyAlignment="1">
      <alignment horizontal="center" vertical="center"/>
    </xf>
    <xf numFmtId="0" fontId="26" fillId="23" borderId="118" xfId="0" applyFont="1" applyFill="1" applyBorder="1" applyAlignment="1">
      <alignment horizontal="center" vertical="center"/>
    </xf>
    <xf numFmtId="0" fontId="26" fillId="23" borderId="35" xfId="0" applyFont="1" applyFill="1" applyBorder="1" applyAlignment="1">
      <alignment horizontal="center" vertical="center"/>
    </xf>
    <xf numFmtId="0" fontId="26" fillId="23" borderId="110" xfId="0" applyFont="1" applyFill="1" applyBorder="1" applyAlignment="1">
      <alignment horizontal="center" vertical="center"/>
    </xf>
    <xf numFmtId="0" fontId="95" fillId="23" borderId="55" xfId="0" applyFont="1" applyFill="1" applyBorder="1" applyAlignment="1">
      <alignment horizontal="center" vertical="center"/>
    </xf>
    <xf numFmtId="0" fontId="95" fillId="23" borderId="37" xfId="0" applyFont="1" applyFill="1" applyBorder="1" applyAlignment="1">
      <alignment horizontal="center" vertical="center"/>
    </xf>
    <xf numFmtId="0" fontId="95" fillId="23" borderId="90" xfId="0" applyFont="1" applyFill="1" applyBorder="1" applyAlignment="1">
      <alignment horizontal="center" vertical="center"/>
    </xf>
    <xf numFmtId="0" fontId="64" fillId="23" borderId="118" xfId="0" applyFont="1" applyFill="1" applyBorder="1" applyAlignment="1">
      <alignment horizontal="center" vertical="center"/>
    </xf>
    <xf numFmtId="0" fontId="64" fillId="23" borderId="35" xfId="0" applyFont="1" applyFill="1" applyBorder="1" applyAlignment="1">
      <alignment horizontal="center" vertical="center"/>
    </xf>
    <xf numFmtId="0" fontId="64" fillId="23" borderId="110" xfId="0" applyFont="1" applyFill="1" applyBorder="1" applyAlignment="1">
      <alignment horizontal="center" vertical="center"/>
    </xf>
    <xf numFmtId="0" fontId="104" fillId="0" borderId="127" xfId="0" applyFont="1" applyBorder="1" applyAlignment="1">
      <alignment horizontal="center" vertical="center"/>
    </xf>
    <xf numFmtId="0" fontId="26" fillId="23" borderId="130" xfId="0" applyFont="1" applyFill="1" applyBorder="1" applyAlignment="1">
      <alignment horizontal="center" vertical="center"/>
    </xf>
    <xf numFmtId="0" fontId="104" fillId="0" borderId="69" xfId="0" applyFont="1" applyBorder="1" applyAlignment="1">
      <alignment horizontal="center" vertical="center" wrapText="1"/>
    </xf>
    <xf numFmtId="0" fontId="104" fillId="0" borderId="117" xfId="0" applyFont="1" applyBorder="1" applyAlignment="1">
      <alignment horizontal="center" vertical="center" wrapText="1"/>
    </xf>
    <xf numFmtId="0" fontId="26" fillId="23" borderId="55" xfId="0" applyFont="1" applyFill="1" applyBorder="1" applyAlignment="1">
      <alignment horizontal="center" vertical="center"/>
    </xf>
    <xf numFmtId="0" fontId="26" fillId="23" borderId="159" xfId="0" applyFont="1" applyFill="1" applyBorder="1" applyAlignment="1">
      <alignment horizontal="center" vertical="center"/>
    </xf>
    <xf numFmtId="0" fontId="26" fillId="23" borderId="129" xfId="0" applyFont="1" applyFill="1" applyBorder="1" applyAlignment="1">
      <alignment horizontal="center" vertical="center"/>
    </xf>
    <xf numFmtId="0" fontId="13" fillId="5" borderId="83" xfId="0" applyFont="1" applyFill="1" applyBorder="1" applyAlignment="1">
      <alignment horizontal="center" vertical="center"/>
    </xf>
    <xf numFmtId="0" fontId="13" fillId="5" borderId="85" xfId="0" applyFont="1" applyFill="1" applyBorder="1" applyAlignment="1">
      <alignment horizontal="center" vertical="center"/>
    </xf>
    <xf numFmtId="0" fontId="7" fillId="44" borderId="15" xfId="0" applyFont="1" applyFill="1" applyBorder="1" applyAlignment="1">
      <alignment horizontal="center" vertical="center"/>
    </xf>
    <xf numFmtId="0" fontId="7" fillId="8" borderId="84" xfId="0" applyFont="1" applyFill="1" applyBorder="1" applyAlignment="1">
      <alignment horizontal="center" vertical="center"/>
    </xf>
    <xf numFmtId="0" fontId="66" fillId="8" borderId="85" xfId="0" applyFont="1" applyFill="1" applyBorder="1" applyAlignment="1">
      <alignment horizontal="center" vertical="center"/>
    </xf>
    <xf numFmtId="0" fontId="7" fillId="8" borderId="108" xfId="0" applyFont="1" applyFill="1" applyBorder="1" applyAlignment="1">
      <alignment horizontal="center" vertical="center"/>
    </xf>
    <xf numFmtId="0" fontId="66" fillId="8" borderId="109" xfId="0" applyFont="1" applyFill="1" applyBorder="1" applyAlignment="1">
      <alignment horizontal="center" vertical="center"/>
    </xf>
    <xf numFmtId="0" fontId="81" fillId="8" borderId="57" xfId="0" applyFont="1" applyFill="1" applyBorder="1" applyAlignment="1">
      <alignment horizontal="center" vertical="center"/>
    </xf>
    <xf numFmtId="0" fontId="81" fillId="8" borderId="73" xfId="0" applyFont="1" applyFill="1" applyBorder="1" applyAlignment="1">
      <alignment horizontal="center" vertical="center"/>
    </xf>
    <xf numFmtId="0" fontId="7" fillId="44" borderId="14" xfId="0" applyFont="1" applyFill="1" applyBorder="1" applyAlignment="1">
      <alignment horizontal="center" vertical="center"/>
    </xf>
    <xf numFmtId="0" fontId="4" fillId="76" borderId="65" xfId="0" applyFont="1" applyFill="1" applyBorder="1" applyAlignment="1">
      <alignment horizontal="center" vertical="center"/>
    </xf>
    <xf numFmtId="0" fontId="4" fillId="76" borderId="33" xfId="0" applyFont="1" applyFill="1" applyBorder="1" applyAlignment="1">
      <alignment horizontal="center" vertical="center"/>
    </xf>
    <xf numFmtId="0" fontId="7" fillId="44" borderId="5" xfId="0" applyFont="1" applyFill="1" applyBorder="1" applyAlignment="1">
      <alignment horizontal="center" vertical="center"/>
    </xf>
    <xf numFmtId="0" fontId="4" fillId="76" borderId="66" xfId="0" applyFont="1" applyFill="1" applyBorder="1" applyAlignment="1">
      <alignment horizontal="center" vertical="center"/>
    </xf>
    <xf numFmtId="0" fontId="4" fillId="76" borderId="37" xfId="0" applyFont="1" applyFill="1" applyBorder="1" applyAlignment="1">
      <alignment horizontal="center" vertical="center"/>
    </xf>
    <xf numFmtId="0" fontId="4" fillId="76" borderId="34" xfId="0" applyFont="1" applyFill="1" applyBorder="1" applyAlignment="1">
      <alignment horizontal="center" vertical="center"/>
    </xf>
    <xf numFmtId="0" fontId="0" fillId="8" borderId="37" xfId="0" applyFill="1" applyBorder="1" applyAlignment="1">
      <alignment horizontal="center"/>
    </xf>
    <xf numFmtId="0" fontId="4" fillId="22" borderId="74" xfId="0" applyFont="1" applyFill="1" applyBorder="1" applyAlignment="1">
      <alignment horizontal="center" vertical="center"/>
    </xf>
    <xf numFmtId="0" fontId="4" fillId="22" borderId="108" xfId="0" applyFont="1" applyFill="1" applyBorder="1" applyAlignment="1">
      <alignment horizontal="center" vertical="center"/>
    </xf>
    <xf numFmtId="0" fontId="7" fillId="44" borderId="60" xfId="0" applyFont="1" applyFill="1" applyBorder="1" applyAlignment="1">
      <alignment horizontal="center" vertical="center"/>
    </xf>
    <xf numFmtId="0" fontId="7" fillId="44" borderId="84" xfId="0" applyFont="1" applyFill="1" applyBorder="1" applyAlignment="1">
      <alignment horizontal="center" vertical="center"/>
    </xf>
    <xf numFmtId="0" fontId="7" fillId="8" borderId="83" xfId="0" applyFont="1" applyFill="1" applyBorder="1" applyAlignment="1">
      <alignment horizontal="center" vertical="center"/>
    </xf>
    <xf numFmtId="0" fontId="7" fillId="8" borderId="85" xfId="0" applyFont="1" applyFill="1" applyBorder="1" applyAlignment="1">
      <alignment horizontal="center" vertical="center"/>
    </xf>
    <xf numFmtId="0" fontId="81" fillId="8" borderId="133" xfId="0" applyFont="1" applyFill="1" applyBorder="1" applyAlignment="1">
      <alignment horizontal="center" vertical="center"/>
    </xf>
    <xf numFmtId="0" fontId="81" fillId="8" borderId="105" xfId="0" applyFont="1" applyFill="1" applyBorder="1" applyAlignment="1">
      <alignment horizontal="center" vertical="center"/>
    </xf>
    <xf numFmtId="0" fontId="81" fillId="8" borderId="107" xfId="0" applyFont="1" applyFill="1" applyBorder="1" applyAlignment="1">
      <alignment horizontal="center" vertical="center"/>
    </xf>
    <xf numFmtId="0" fontId="26" fillId="10" borderId="98" xfId="0" applyFont="1" applyFill="1" applyBorder="1" applyAlignment="1">
      <alignment horizontal="center" vertical="center"/>
    </xf>
    <xf numFmtId="0" fontId="26" fillId="10" borderId="83" xfId="0" applyFont="1" applyFill="1" applyBorder="1" applyAlignment="1">
      <alignment horizontal="center" vertical="center"/>
    </xf>
    <xf numFmtId="0" fontId="26" fillId="10" borderId="85" xfId="0" applyFont="1" applyFill="1" applyBorder="1" applyAlignment="1">
      <alignment horizontal="center" vertical="center"/>
    </xf>
    <xf numFmtId="0" fontId="7" fillId="44" borderId="31" xfId="0" applyFont="1" applyFill="1" applyBorder="1" applyAlignment="1">
      <alignment horizontal="center" vertical="center"/>
    </xf>
    <xf numFmtId="0" fontId="0" fillId="8" borderId="98" xfId="0" applyFill="1" applyBorder="1" applyAlignment="1">
      <alignment horizontal="center"/>
    </xf>
    <xf numFmtId="0" fontId="0" fillId="8" borderId="83" xfId="0" applyFill="1" applyBorder="1" applyAlignment="1">
      <alignment horizontal="center"/>
    </xf>
    <xf numFmtId="0" fontId="0" fillId="8" borderId="85" xfId="0" applyFill="1" applyBorder="1" applyAlignment="1">
      <alignment horizontal="center"/>
    </xf>
    <xf numFmtId="0" fontId="26" fillId="10" borderId="69" xfId="0" applyFont="1" applyFill="1" applyBorder="1" applyAlignment="1">
      <alignment horizontal="center" vertical="center"/>
    </xf>
    <xf numFmtId="0" fontId="26" fillId="10" borderId="70" xfId="0" applyFont="1" applyFill="1" applyBorder="1" applyAlignment="1">
      <alignment horizontal="center" vertical="center"/>
    </xf>
    <xf numFmtId="0" fontId="26" fillId="10" borderId="109" xfId="0" applyFont="1" applyFill="1" applyBorder="1" applyAlignment="1">
      <alignment horizontal="center" vertical="center"/>
    </xf>
    <xf numFmtId="0" fontId="6" fillId="40" borderId="37" xfId="0" applyFont="1" applyFill="1" applyBorder="1" applyAlignment="1">
      <alignment horizontal="center" vertical="center"/>
    </xf>
    <xf numFmtId="0" fontId="128" fillId="63" borderId="56" xfId="0" applyFont="1" applyFill="1" applyBorder="1" applyAlignment="1">
      <alignment horizontal="center" vertical="center" wrapText="1"/>
    </xf>
    <xf numFmtId="0" fontId="128" fillId="63" borderId="73" xfId="0" applyFont="1" applyFill="1" applyBorder="1" applyAlignment="1">
      <alignment horizontal="center" vertical="center" wrapText="1"/>
    </xf>
    <xf numFmtId="0" fontId="6" fillId="40" borderId="84" xfId="0" applyFont="1" applyFill="1" applyBorder="1" applyAlignment="1">
      <alignment horizontal="center" vertical="center"/>
    </xf>
    <xf numFmtId="0" fontId="6" fillId="40" borderId="83" xfId="0" applyFont="1" applyFill="1" applyBorder="1" applyAlignment="1">
      <alignment horizontal="center" vertical="center"/>
    </xf>
    <xf numFmtId="0" fontId="6" fillId="40" borderId="85" xfId="0" applyFont="1" applyFill="1" applyBorder="1" applyAlignment="1">
      <alignment horizontal="center" vertical="center"/>
    </xf>
    <xf numFmtId="0" fontId="7" fillId="44" borderId="43" xfId="0" applyFont="1" applyFill="1" applyBorder="1" applyAlignment="1">
      <alignment horizontal="center" vertical="center"/>
    </xf>
    <xf numFmtId="0" fontId="7" fillId="84" borderId="32" xfId="0" applyFont="1" applyFill="1" applyBorder="1" applyAlignment="1">
      <alignment horizontal="center" vertical="center"/>
    </xf>
    <xf numFmtId="0" fontId="7" fillId="84" borderId="33" xfId="0" applyFont="1" applyFill="1" applyBorder="1" applyAlignment="1">
      <alignment horizontal="center" vertical="center"/>
    </xf>
    <xf numFmtId="0" fontId="4" fillId="56" borderId="84" xfId="0" applyFont="1" applyFill="1" applyBorder="1" applyAlignment="1">
      <alignment horizontal="center" vertical="center"/>
    </xf>
    <xf numFmtId="0" fontId="4" fillId="56" borderId="85" xfId="0" applyFont="1" applyFill="1" applyBorder="1" applyAlignment="1">
      <alignment horizontal="center" vertical="center"/>
    </xf>
    <xf numFmtId="0" fontId="31" fillId="8" borderId="5" xfId="0" applyFont="1" applyFill="1" applyBorder="1" applyAlignment="1">
      <alignment horizontal="center" vertical="center"/>
    </xf>
    <xf numFmtId="0" fontId="31" fillId="8" borderId="62" xfId="0" applyFont="1" applyFill="1" applyBorder="1" applyAlignment="1">
      <alignment horizontal="center" vertical="center"/>
    </xf>
    <xf numFmtId="0" fontId="7" fillId="0" borderId="112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6" fillId="7" borderId="66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98" xfId="0" applyFont="1" applyBorder="1" applyAlignment="1">
      <alignment horizontal="center" vertical="center"/>
    </xf>
    <xf numFmtId="0" fontId="6" fillId="40" borderId="14" xfId="0" applyFont="1" applyFill="1" applyBorder="1" applyAlignment="1">
      <alignment horizontal="center" vertical="center"/>
    </xf>
    <xf numFmtId="0" fontId="7" fillId="84" borderId="118" xfId="0" applyFont="1" applyFill="1" applyBorder="1" applyAlignment="1">
      <alignment horizontal="center" vertical="center"/>
    </xf>
    <xf numFmtId="0" fontId="7" fillId="84" borderId="35" xfId="0" applyFont="1" applyFill="1" applyBorder="1" applyAlignment="1">
      <alignment horizontal="center" vertical="center"/>
    </xf>
    <xf numFmtId="0" fontId="39" fillId="8" borderId="70" xfId="0" applyFont="1" applyFill="1" applyBorder="1" applyAlignment="1">
      <alignment horizontal="center" vertical="center"/>
    </xf>
    <xf numFmtId="0" fontId="39" fillId="8" borderId="139" xfId="0" applyFont="1" applyFill="1" applyBorder="1" applyAlignment="1">
      <alignment horizontal="center" vertical="center"/>
    </xf>
    <xf numFmtId="0" fontId="4" fillId="84" borderId="166" xfId="0" applyFont="1" applyFill="1" applyBorder="1" applyAlignment="1">
      <alignment horizontal="center" vertical="center"/>
    </xf>
    <xf numFmtId="0" fontId="4" fillId="84" borderId="88" xfId="0" applyFont="1" applyFill="1" applyBorder="1" applyAlignment="1">
      <alignment horizontal="center" vertical="center"/>
    </xf>
    <xf numFmtId="0" fontId="4" fillId="84" borderId="175" xfId="0" applyFont="1" applyFill="1" applyBorder="1" applyAlignment="1">
      <alignment horizontal="center" vertical="center"/>
    </xf>
    <xf numFmtId="0" fontId="4" fillId="84" borderId="5" xfId="0" applyFont="1" applyFill="1" applyBorder="1" applyAlignment="1">
      <alignment horizontal="center" vertical="center"/>
    </xf>
    <xf numFmtId="0" fontId="19" fillId="5" borderId="14" xfId="0" applyFont="1" applyFill="1" applyBorder="1" applyAlignment="1">
      <alignment horizontal="center" vertical="center"/>
    </xf>
    <xf numFmtId="0" fontId="4" fillId="44" borderId="5" xfId="0" applyFont="1" applyFill="1" applyBorder="1" applyAlignment="1">
      <alignment horizontal="center" vertical="center"/>
    </xf>
    <xf numFmtId="0" fontId="61" fillId="10" borderId="32" xfId="0" applyFont="1" applyFill="1" applyBorder="1" applyAlignment="1">
      <alignment horizontal="center" vertical="center"/>
    </xf>
    <xf numFmtId="0" fontId="149" fillId="8" borderId="32" xfId="0" applyFont="1" applyFill="1" applyBorder="1" applyAlignment="1">
      <alignment horizontal="center" vertical="center"/>
    </xf>
    <xf numFmtId="0" fontId="149" fillId="8" borderId="33" xfId="0" applyFont="1" applyFill="1" applyBorder="1" applyAlignment="1">
      <alignment horizontal="center" vertical="center"/>
    </xf>
    <xf numFmtId="0" fontId="149" fillId="8" borderId="34" xfId="0" applyFont="1" applyFill="1" applyBorder="1" applyAlignment="1">
      <alignment horizontal="center" vertical="center"/>
    </xf>
    <xf numFmtId="0" fontId="7" fillId="26" borderId="89" xfId="0" applyFont="1" applyFill="1" applyBorder="1" applyAlignment="1">
      <alignment horizontal="center" vertical="center"/>
    </xf>
    <xf numFmtId="0" fontId="7" fillId="26" borderId="143" xfId="0" applyFont="1" applyFill="1" applyBorder="1" applyAlignment="1">
      <alignment horizontal="center" vertical="center"/>
    </xf>
    <xf numFmtId="0" fontId="7" fillId="26" borderId="116" xfId="0" applyFont="1" applyFill="1" applyBorder="1" applyAlignment="1">
      <alignment horizontal="center" vertical="center"/>
    </xf>
    <xf numFmtId="0" fontId="7" fillId="87" borderId="32" xfId="0" applyFont="1" applyFill="1" applyBorder="1" applyAlignment="1">
      <alignment horizontal="center" vertical="center" wrapText="1"/>
    </xf>
    <xf numFmtId="0" fontId="39" fillId="87" borderId="34" xfId="0" applyFont="1" applyFill="1" applyBorder="1" applyAlignment="1">
      <alignment horizontal="center" vertical="center" wrapText="1"/>
    </xf>
    <xf numFmtId="0" fontId="45" fillId="87" borderId="55" xfId="0" applyFont="1" applyFill="1" applyBorder="1" applyAlignment="1">
      <alignment horizontal="center"/>
    </xf>
    <xf numFmtId="0" fontId="45" fillId="87" borderId="37" xfId="0" applyFont="1" applyFill="1" applyBorder="1" applyAlignment="1">
      <alignment horizontal="center"/>
    </xf>
    <xf numFmtId="0" fontId="45" fillId="87" borderId="90" xfId="0" applyFont="1" applyFill="1" applyBorder="1" applyAlignment="1">
      <alignment horizontal="center"/>
    </xf>
    <xf numFmtId="0" fontId="7" fillId="26" borderId="44" xfId="0" applyFont="1" applyFill="1" applyBorder="1" applyAlignment="1">
      <alignment horizontal="center" vertical="center"/>
    </xf>
    <xf numFmtId="0" fontId="7" fillId="26" borderId="120" xfId="0" applyFont="1" applyFill="1" applyBorder="1" applyAlignment="1">
      <alignment horizontal="center" vertical="center"/>
    </xf>
    <xf numFmtId="0" fontId="7" fillId="26" borderId="79" xfId="0" applyFont="1" applyFill="1" applyBorder="1" applyAlignment="1">
      <alignment horizontal="center" vertical="center"/>
    </xf>
    <xf numFmtId="0" fontId="7" fillId="26" borderId="60" xfId="0" applyFont="1" applyFill="1" applyBorder="1" applyAlignment="1">
      <alignment horizontal="center" vertical="center"/>
    </xf>
    <xf numFmtId="0" fontId="7" fillId="0" borderId="78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79" xfId="0" applyFont="1" applyBorder="1" applyAlignment="1">
      <alignment horizontal="center" vertical="center"/>
    </xf>
    <xf numFmtId="0" fontId="7" fillId="26" borderId="33" xfId="0" applyFont="1" applyFill="1" applyBorder="1" applyAlignment="1">
      <alignment horizontal="center" vertical="center"/>
    </xf>
    <xf numFmtId="0" fontId="7" fillId="26" borderId="112" xfId="0" applyFont="1" applyFill="1" applyBorder="1" applyAlignment="1">
      <alignment horizontal="center" vertical="center"/>
    </xf>
    <xf numFmtId="0" fontId="7" fillId="26" borderId="35" xfId="0" applyFont="1" applyFill="1" applyBorder="1" applyAlignment="1">
      <alignment horizontal="center" vertical="center"/>
    </xf>
    <xf numFmtId="0" fontId="7" fillId="26" borderId="110" xfId="0" applyFont="1" applyFill="1" applyBorder="1" applyAlignment="1">
      <alignment horizontal="center" vertical="center"/>
    </xf>
    <xf numFmtId="0" fontId="4" fillId="75" borderId="5" xfId="0" applyFont="1" applyFill="1" applyBorder="1" applyAlignment="1">
      <alignment horizontal="center" vertical="center"/>
    </xf>
    <xf numFmtId="0" fontId="7" fillId="26" borderId="31" xfId="0" applyFont="1" applyFill="1" applyBorder="1" applyAlignment="1">
      <alignment horizontal="center" vertical="center"/>
    </xf>
    <xf numFmtId="0" fontId="39" fillId="53" borderId="5" xfId="0" applyFont="1" applyFill="1" applyBorder="1" applyAlignment="1">
      <alignment horizontal="center" vertical="center"/>
    </xf>
    <xf numFmtId="0" fontId="39" fillId="53" borderId="62" xfId="0" applyFont="1" applyFill="1" applyBorder="1" applyAlignment="1">
      <alignment horizontal="center" vertical="center"/>
    </xf>
    <xf numFmtId="0" fontId="7" fillId="26" borderId="15" xfId="0" applyFont="1" applyFill="1" applyBorder="1" applyAlignment="1">
      <alignment horizontal="center" vertical="center"/>
    </xf>
    <xf numFmtId="0" fontId="13" fillId="53" borderId="0" xfId="0" applyFont="1" applyFill="1" applyBorder="1" applyAlignment="1">
      <alignment horizontal="center" vertical="center"/>
    </xf>
    <xf numFmtId="0" fontId="13" fillId="53" borderId="130" xfId="0" applyFont="1" applyFill="1" applyBorder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0" fontId="7" fillId="8" borderId="91" xfId="0" applyFont="1" applyFill="1" applyBorder="1" applyAlignment="1">
      <alignment horizontal="center" vertical="center"/>
    </xf>
    <xf numFmtId="0" fontId="7" fillId="8" borderId="14" xfId="0" applyFont="1" applyFill="1" applyBorder="1" applyAlignment="1">
      <alignment horizontal="center" vertical="center"/>
    </xf>
    <xf numFmtId="0" fontId="76" fillId="8" borderId="57" xfId="0" applyFont="1" applyFill="1" applyBorder="1" applyAlignment="1">
      <alignment horizontal="center" vertical="center"/>
    </xf>
    <xf numFmtId="0" fontId="76" fillId="8" borderId="73" xfId="0" applyFont="1" applyFill="1" applyBorder="1" applyAlignment="1">
      <alignment horizontal="center" vertical="center"/>
    </xf>
    <xf numFmtId="0" fontId="4" fillId="88" borderId="118" xfId="0" applyFont="1" applyFill="1" applyBorder="1" applyAlignment="1">
      <alignment horizontal="center" vertical="center"/>
    </xf>
    <xf numFmtId="0" fontId="4" fillId="88" borderId="110" xfId="0" applyFont="1" applyFill="1" applyBorder="1" applyAlignment="1">
      <alignment horizontal="center" vertical="center"/>
    </xf>
    <xf numFmtId="0" fontId="39" fillId="63" borderId="14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horizontal="center" vertical="center"/>
    </xf>
    <xf numFmtId="0" fontId="4" fillId="72" borderId="118" xfId="0" applyFont="1" applyFill="1" applyBorder="1" applyAlignment="1">
      <alignment horizontal="center" vertical="center"/>
    </xf>
    <xf numFmtId="0" fontId="4" fillId="72" borderId="35" xfId="0" applyFont="1" applyFill="1" applyBorder="1" applyAlignment="1">
      <alignment horizontal="center" vertical="center"/>
    </xf>
    <xf numFmtId="0" fontId="4" fillId="72" borderId="156" xfId="0" applyFont="1" applyFill="1" applyBorder="1" applyAlignment="1">
      <alignment horizontal="center" vertical="center"/>
    </xf>
    <xf numFmtId="0" fontId="39" fillId="73" borderId="5" xfId="0" applyFont="1" applyFill="1" applyBorder="1" applyAlignment="1">
      <alignment horizontal="center" vertical="center"/>
    </xf>
    <xf numFmtId="0" fontId="54" fillId="0" borderId="0" xfId="0" applyFont="1" applyBorder="1" applyAlignment="1">
      <alignment horizontal="center"/>
    </xf>
    <xf numFmtId="0" fontId="13" fillId="2" borderId="32" xfId="0" applyFont="1" applyFill="1" applyBorder="1" applyAlignment="1">
      <alignment horizontal="center" vertical="center"/>
    </xf>
    <xf numFmtId="0" fontId="13" fillId="2" borderId="34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49" fontId="13" fillId="2" borderId="60" xfId="0" applyNumberFormat="1" applyFont="1" applyFill="1" applyBorder="1" applyAlignment="1">
      <alignment horizontal="center" vertical="center"/>
    </xf>
    <xf numFmtId="49" fontId="13" fillId="2" borderId="61" xfId="0" applyNumberFormat="1" applyFont="1" applyFill="1" applyBorder="1" applyAlignment="1">
      <alignment horizontal="center" vertical="center"/>
    </xf>
    <xf numFmtId="0" fontId="13" fillId="2" borderId="84" xfId="0" applyFont="1" applyFill="1" applyBorder="1" applyAlignment="1">
      <alignment horizontal="center" vertical="center"/>
    </xf>
    <xf numFmtId="0" fontId="13" fillId="2" borderId="85" xfId="0" applyFont="1" applyFill="1" applyBorder="1" applyAlignment="1">
      <alignment horizontal="center" vertical="center"/>
    </xf>
    <xf numFmtId="0" fontId="4" fillId="69" borderId="65" xfId="0" applyFont="1" applyFill="1" applyBorder="1" applyAlignment="1">
      <alignment horizontal="center" vertical="center"/>
    </xf>
    <xf numFmtId="0" fontId="4" fillId="69" borderId="111" xfId="0" applyFont="1" applyFill="1" applyBorder="1" applyAlignment="1">
      <alignment horizontal="center" vertical="center"/>
    </xf>
    <xf numFmtId="0" fontId="4" fillId="69" borderId="37" xfId="0" applyFont="1" applyFill="1" applyBorder="1" applyAlignment="1">
      <alignment horizontal="center" vertical="center"/>
    </xf>
    <xf numFmtId="0" fontId="4" fillId="69" borderId="90" xfId="0" applyFont="1" applyFill="1" applyBorder="1" applyAlignment="1">
      <alignment horizontal="center" vertical="center"/>
    </xf>
    <xf numFmtId="0" fontId="4" fillId="19" borderId="37" xfId="0" applyFont="1" applyFill="1" applyBorder="1" applyAlignment="1">
      <alignment horizontal="center" vertical="center"/>
    </xf>
    <xf numFmtId="0" fontId="76" fillId="8" borderId="37" xfId="0" applyFont="1" applyFill="1" applyBorder="1" applyAlignment="1">
      <alignment horizontal="center" vertical="center"/>
    </xf>
    <xf numFmtId="0" fontId="76" fillId="8" borderId="90" xfId="0" applyFont="1" applyFill="1" applyBorder="1" applyAlignment="1">
      <alignment horizontal="center" vertical="center"/>
    </xf>
    <xf numFmtId="0" fontId="4" fillId="7" borderId="62" xfId="0" applyFont="1" applyFill="1" applyBorder="1" applyAlignment="1">
      <alignment horizontal="center" vertical="center"/>
    </xf>
    <xf numFmtId="0" fontId="54" fillId="8" borderId="84" xfId="0" applyFont="1" applyFill="1" applyBorder="1" applyAlignment="1">
      <alignment horizontal="center"/>
    </xf>
    <xf numFmtId="0" fontId="54" fillId="8" borderId="83" xfId="0" applyFont="1" applyFill="1" applyBorder="1" applyAlignment="1">
      <alignment horizontal="center"/>
    </xf>
    <xf numFmtId="0" fontId="54" fillId="8" borderId="85" xfId="0" applyFont="1" applyFill="1" applyBorder="1" applyAlignment="1">
      <alignment horizontal="center"/>
    </xf>
    <xf numFmtId="0" fontId="4" fillId="78" borderId="5" xfId="0" applyFont="1" applyFill="1" applyBorder="1" applyAlignment="1">
      <alignment horizontal="center" vertical="center"/>
    </xf>
    <xf numFmtId="0" fontId="4" fillId="78" borderId="43" xfId="0" applyFont="1" applyFill="1" applyBorder="1" applyAlignment="1">
      <alignment horizontal="center" vertical="center"/>
    </xf>
    <xf numFmtId="0" fontId="4" fillId="72" borderId="32" xfId="0" applyFont="1" applyFill="1" applyBorder="1" applyAlignment="1">
      <alignment horizontal="center" vertical="center"/>
    </xf>
    <xf numFmtId="0" fontId="4" fillId="72" borderId="34" xfId="0" applyFont="1" applyFill="1" applyBorder="1" applyAlignment="1">
      <alignment horizontal="center" vertical="center"/>
    </xf>
    <xf numFmtId="0" fontId="7" fillId="0" borderId="79" xfId="0" applyFont="1" applyBorder="1" applyAlignment="1">
      <alignment horizontal="center" vertical="center" wrapText="1"/>
    </xf>
    <xf numFmtId="0" fontId="7" fillId="0" borderId="91" xfId="0" applyFont="1" applyBorder="1" applyAlignment="1">
      <alignment horizontal="center" vertical="center"/>
    </xf>
    <xf numFmtId="0" fontId="7" fillId="0" borderId="80" xfId="0" applyFont="1" applyBorder="1" applyAlignment="1">
      <alignment horizontal="center" vertical="center"/>
    </xf>
    <xf numFmtId="0" fontId="39" fillId="8" borderId="118" xfId="0" applyFont="1" applyFill="1" applyBorder="1" applyAlignment="1">
      <alignment horizontal="center" vertical="center"/>
    </xf>
    <xf numFmtId="0" fontId="39" fillId="8" borderId="35" xfId="0" applyFont="1" applyFill="1" applyBorder="1" applyAlignment="1">
      <alignment horizontal="center" vertical="center"/>
    </xf>
    <xf numFmtId="0" fontId="39" fillId="8" borderId="156" xfId="0" applyFont="1" applyFill="1" applyBorder="1" applyAlignment="1">
      <alignment horizontal="center" vertical="center"/>
    </xf>
    <xf numFmtId="0" fontId="6" fillId="37" borderId="15" xfId="0" applyFont="1" applyFill="1" applyBorder="1" applyAlignment="1">
      <alignment horizontal="center" vertical="center"/>
    </xf>
    <xf numFmtId="0" fontId="7" fillId="0" borderId="78" xfId="0" applyFont="1" applyBorder="1" applyAlignment="1">
      <alignment horizontal="center" vertical="center" wrapText="1"/>
    </xf>
    <xf numFmtId="0" fontId="4" fillId="25" borderId="60" xfId="0" applyFont="1" applyFill="1" applyBorder="1" applyAlignment="1">
      <alignment horizontal="center" vertical="center"/>
    </xf>
    <xf numFmtId="0" fontId="4" fillId="35" borderId="60" xfId="0" applyFont="1" applyFill="1" applyBorder="1" applyAlignment="1">
      <alignment horizontal="center" vertical="center"/>
    </xf>
    <xf numFmtId="0" fontId="4" fillId="35" borderId="61" xfId="0" applyFont="1" applyFill="1" applyBorder="1" applyAlignment="1">
      <alignment horizontal="center" vertical="center"/>
    </xf>
    <xf numFmtId="0" fontId="4" fillId="90" borderId="32" xfId="0" applyFont="1" applyFill="1" applyBorder="1" applyAlignment="1">
      <alignment horizontal="center" vertical="center"/>
    </xf>
    <xf numFmtId="0" fontId="4" fillId="90" borderId="33" xfId="0" applyFont="1" applyFill="1" applyBorder="1" applyAlignment="1">
      <alignment horizontal="center" vertical="center"/>
    </xf>
    <xf numFmtId="0" fontId="4" fillId="90" borderId="111" xfId="0" applyFont="1" applyFill="1" applyBorder="1" applyAlignment="1">
      <alignment horizontal="center" vertical="center"/>
    </xf>
    <xf numFmtId="0" fontId="130" fillId="8" borderId="32" xfId="0" applyFont="1" applyFill="1" applyBorder="1" applyAlignment="1">
      <alignment horizontal="center" vertical="center"/>
    </xf>
    <xf numFmtId="0" fontId="7" fillId="0" borderId="116" xfId="0" applyFont="1" applyBorder="1" applyAlignment="1">
      <alignment horizontal="center" vertical="center"/>
    </xf>
    <xf numFmtId="0" fontId="7" fillId="0" borderId="106" xfId="0" applyFont="1" applyBorder="1" applyAlignment="1">
      <alignment horizontal="center" vertical="center"/>
    </xf>
    <xf numFmtId="0" fontId="136" fillId="72" borderId="32" xfId="0" applyFont="1" applyFill="1" applyBorder="1" applyAlignment="1">
      <alignment horizontal="center" vertical="center"/>
    </xf>
    <xf numFmtId="0" fontId="39" fillId="72" borderId="33" xfId="0" applyFont="1" applyFill="1" applyBorder="1" applyAlignment="1">
      <alignment horizontal="center" vertical="center"/>
    </xf>
    <xf numFmtId="0" fontId="39" fillId="72" borderId="34" xfId="0" applyFont="1" applyFill="1" applyBorder="1" applyAlignment="1">
      <alignment horizontal="center" vertical="center"/>
    </xf>
    <xf numFmtId="0" fontId="4" fillId="72" borderId="111" xfId="0" applyFont="1" applyFill="1" applyBorder="1" applyAlignment="1">
      <alignment horizontal="center" vertical="center"/>
    </xf>
    <xf numFmtId="0" fontId="4" fillId="90" borderId="34" xfId="0" applyFont="1" applyFill="1" applyBorder="1" applyAlignment="1">
      <alignment horizontal="center" vertical="center"/>
    </xf>
    <xf numFmtId="0" fontId="116" fillId="8" borderId="111" xfId="0" applyFont="1" applyFill="1" applyBorder="1" applyAlignment="1">
      <alignment horizontal="center" vertical="center"/>
    </xf>
    <xf numFmtId="0" fontId="54" fillId="65" borderId="5" xfId="0" applyFont="1" applyFill="1" applyBorder="1" applyAlignment="1">
      <alignment horizontal="center"/>
    </xf>
    <xf numFmtId="0" fontId="4" fillId="72" borderId="5" xfId="0" applyFont="1" applyFill="1" applyBorder="1" applyAlignment="1">
      <alignment horizontal="center" vertical="center"/>
    </xf>
    <xf numFmtId="0" fontId="4" fillId="72" borderId="62" xfId="0" applyFont="1" applyFill="1" applyBorder="1" applyAlignment="1">
      <alignment horizontal="center" vertical="center"/>
    </xf>
    <xf numFmtId="0" fontId="6" fillId="16" borderId="84" xfId="0" applyFont="1" applyFill="1" applyBorder="1" applyAlignment="1">
      <alignment horizontal="center" vertical="center"/>
    </xf>
    <xf numFmtId="0" fontId="6" fillId="16" borderId="85" xfId="0" applyFont="1" applyFill="1" applyBorder="1" applyAlignment="1">
      <alignment horizontal="center" vertical="center"/>
    </xf>
    <xf numFmtId="0" fontId="4" fillId="53" borderId="14" xfId="0" applyFont="1" applyFill="1" applyBorder="1" applyAlignment="1">
      <alignment horizontal="center" vertical="center"/>
    </xf>
    <xf numFmtId="0" fontId="4" fillId="35" borderId="111" xfId="0" applyFont="1" applyFill="1" applyBorder="1" applyAlignment="1">
      <alignment horizontal="center" vertical="center"/>
    </xf>
    <xf numFmtId="0" fontId="6" fillId="16" borderId="65" xfId="0" applyFont="1" applyFill="1" applyBorder="1" applyAlignment="1">
      <alignment horizontal="center" vertical="center"/>
    </xf>
    <xf numFmtId="0" fontId="4" fillId="40" borderId="65" xfId="0" applyFont="1" applyFill="1" applyBorder="1" applyAlignment="1">
      <alignment horizontal="center" vertical="center"/>
    </xf>
    <xf numFmtId="0" fontId="4" fillId="40" borderId="33" xfId="0" applyFont="1" applyFill="1" applyBorder="1" applyAlignment="1">
      <alignment horizontal="center" vertical="center"/>
    </xf>
    <xf numFmtId="0" fontId="4" fillId="40" borderId="34" xfId="0" applyFont="1" applyFill="1" applyBorder="1" applyAlignment="1">
      <alignment horizontal="center" vertical="center"/>
    </xf>
    <xf numFmtId="0" fontId="4" fillId="89" borderId="65" xfId="0" applyFont="1" applyFill="1" applyBorder="1" applyAlignment="1">
      <alignment horizontal="center" vertical="center"/>
    </xf>
    <xf numFmtId="0" fontId="4" fillId="89" borderId="33" xfId="0" applyFont="1" applyFill="1" applyBorder="1" applyAlignment="1">
      <alignment horizontal="center" vertical="center"/>
    </xf>
    <xf numFmtId="0" fontId="4" fillId="89" borderId="34" xfId="0" applyFont="1" applyFill="1" applyBorder="1" applyAlignment="1">
      <alignment horizontal="center" vertical="center"/>
    </xf>
    <xf numFmtId="0" fontId="31" fillId="23" borderId="65" xfId="0" applyFont="1" applyFill="1" applyBorder="1" applyAlignment="1">
      <alignment horizontal="center" vertical="center"/>
    </xf>
    <xf numFmtId="0" fontId="13" fillId="2" borderId="78" xfId="0" applyFont="1" applyFill="1" applyBorder="1" applyAlignment="1">
      <alignment horizontal="center" vertical="center"/>
    </xf>
    <xf numFmtId="0" fontId="13" fillId="2" borderId="60" xfId="0" applyFont="1" applyFill="1" applyBorder="1" applyAlignment="1">
      <alignment horizontal="center" vertical="center"/>
    </xf>
    <xf numFmtId="0" fontId="13" fillId="2" borderId="64" xfId="0" applyFont="1" applyFill="1" applyBorder="1" applyAlignment="1">
      <alignment horizontal="center" vertical="center"/>
    </xf>
    <xf numFmtId="0" fontId="30" fillId="24" borderId="64" xfId="0" applyFont="1" applyFill="1" applyBorder="1" applyAlignment="1">
      <alignment horizontal="center" vertical="center"/>
    </xf>
    <xf numFmtId="0" fontId="30" fillId="24" borderId="5" xfId="0" applyFont="1" applyFill="1" applyBorder="1" applyAlignment="1">
      <alignment horizontal="center" vertical="center"/>
    </xf>
    <xf numFmtId="0" fontId="19" fillId="6" borderId="33" xfId="0" applyFont="1" applyFill="1" applyBorder="1" applyAlignment="1">
      <alignment horizontal="center" vertical="center"/>
    </xf>
    <xf numFmtId="0" fontId="19" fillId="6" borderId="34" xfId="0" applyFont="1" applyFill="1" applyBorder="1" applyAlignment="1">
      <alignment horizontal="center" vertical="center"/>
    </xf>
    <xf numFmtId="0" fontId="54" fillId="65" borderId="33" xfId="0" applyFont="1" applyFill="1" applyBorder="1" applyAlignment="1">
      <alignment horizontal="center"/>
    </xf>
    <xf numFmtId="0" fontId="54" fillId="65" borderId="34" xfId="0" applyFont="1" applyFill="1" applyBorder="1" applyAlignment="1">
      <alignment horizontal="center"/>
    </xf>
    <xf numFmtId="0" fontId="54" fillId="65" borderId="32" xfId="0" applyFont="1" applyFill="1" applyBorder="1" applyAlignment="1">
      <alignment horizontal="center"/>
    </xf>
    <xf numFmtId="0" fontId="39" fillId="63" borderId="5" xfId="0" applyFont="1" applyFill="1" applyBorder="1" applyAlignment="1">
      <alignment horizontal="center" vertical="center"/>
    </xf>
    <xf numFmtId="0" fontId="4" fillId="10" borderId="34" xfId="0" applyFont="1" applyFill="1" applyBorder="1" applyAlignment="1">
      <alignment horizontal="center" vertical="center"/>
    </xf>
    <xf numFmtId="0" fontId="4" fillId="90" borderId="5" xfId="0" applyFont="1" applyFill="1" applyBorder="1" applyAlignment="1">
      <alignment horizontal="center" vertical="center"/>
    </xf>
    <xf numFmtId="0" fontId="130" fillId="8" borderId="5" xfId="0" applyFont="1" applyFill="1" applyBorder="1" applyAlignment="1">
      <alignment horizontal="center" vertical="center"/>
    </xf>
    <xf numFmtId="0" fontId="136" fillId="72" borderId="33" xfId="0" applyFont="1" applyFill="1" applyBorder="1" applyAlignment="1">
      <alignment horizontal="center" vertical="center"/>
    </xf>
    <xf numFmtId="0" fontId="136" fillId="72" borderId="34" xfId="0" applyFont="1" applyFill="1" applyBorder="1" applyAlignment="1">
      <alignment horizontal="center" vertical="center"/>
    </xf>
    <xf numFmtId="0" fontId="4" fillId="19" borderId="5" xfId="0" applyFont="1" applyFill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13" fillId="2" borderId="15" xfId="0" applyFont="1" applyFill="1" applyBorder="1" applyAlignment="1">
      <alignment horizontal="center" vertical="center"/>
    </xf>
    <xf numFmtId="49" fontId="13" fillId="2" borderId="84" xfId="0" applyNumberFormat="1" applyFont="1" applyFill="1" applyBorder="1" applyAlignment="1">
      <alignment horizontal="center" vertical="center"/>
    </xf>
    <xf numFmtId="0" fontId="4" fillId="72" borderId="60" xfId="0" applyFont="1" applyFill="1" applyBorder="1" applyAlignment="1">
      <alignment horizontal="center" vertical="center"/>
    </xf>
    <xf numFmtId="0" fontId="4" fillId="44" borderId="43" xfId="0" applyFont="1" applyFill="1" applyBorder="1" applyAlignment="1">
      <alignment horizontal="center" vertical="center"/>
    </xf>
    <xf numFmtId="0" fontId="31" fillId="10" borderId="60" xfId="0" applyFont="1" applyFill="1" applyBorder="1" applyAlignment="1">
      <alignment horizontal="center" vertical="center"/>
    </xf>
    <xf numFmtId="0" fontId="4" fillId="72" borderId="75" xfId="0" applyFont="1" applyFill="1" applyBorder="1" applyAlignment="1">
      <alignment horizontal="center" vertical="center"/>
    </xf>
    <xf numFmtId="0" fontId="4" fillId="72" borderId="0" xfId="0" applyFont="1" applyFill="1" applyAlignment="1">
      <alignment horizontal="center" vertical="center"/>
    </xf>
    <xf numFmtId="0" fontId="4" fillId="72" borderId="103" xfId="0" applyFont="1" applyFill="1" applyBorder="1" applyAlignment="1">
      <alignment horizontal="center" vertical="center"/>
    </xf>
    <xf numFmtId="0" fontId="31" fillId="10" borderId="43" xfId="0" applyFont="1" applyFill="1" applyBorder="1" applyAlignment="1">
      <alignment horizontal="center" vertical="center"/>
    </xf>
    <xf numFmtId="0" fontId="39" fillId="12" borderId="43" xfId="0" applyFont="1" applyFill="1" applyBorder="1" applyAlignment="1">
      <alignment horizontal="center" vertical="center"/>
    </xf>
    <xf numFmtId="0" fontId="4" fillId="44" borderId="14" xfId="0" applyFont="1" applyFill="1" applyBorder="1" applyAlignment="1">
      <alignment horizontal="center" vertical="center"/>
    </xf>
    <xf numFmtId="0" fontId="39" fillId="12" borderId="14" xfId="0" applyFont="1" applyFill="1" applyBorder="1" applyAlignment="1">
      <alignment horizontal="center" vertical="center"/>
    </xf>
    <xf numFmtId="0" fontId="4" fillId="44" borderId="60" xfId="0" applyFont="1" applyFill="1" applyBorder="1" applyAlignment="1">
      <alignment horizontal="center" vertical="center"/>
    </xf>
    <xf numFmtId="0" fontId="4" fillId="72" borderId="43" xfId="0" applyFont="1" applyFill="1" applyBorder="1" applyAlignment="1">
      <alignment horizontal="center" vertical="center"/>
    </xf>
    <xf numFmtId="0" fontId="7" fillId="0" borderId="135" xfId="0" applyFont="1" applyBorder="1" applyAlignment="1">
      <alignment horizontal="center" vertical="center"/>
    </xf>
    <xf numFmtId="0" fontId="4" fillId="72" borderId="110" xfId="0" applyFont="1" applyFill="1" applyBorder="1" applyAlignment="1">
      <alignment horizontal="center" vertical="center"/>
    </xf>
    <xf numFmtId="0" fontId="39" fillId="12" borderId="32" xfId="0" applyFont="1" applyFill="1" applyBorder="1" applyAlignment="1">
      <alignment horizontal="center" vertical="center"/>
    </xf>
    <xf numFmtId="0" fontId="39" fillId="12" borderId="34" xfId="0" applyFont="1" applyFill="1" applyBorder="1" applyAlignment="1">
      <alignment horizontal="center" vertical="center"/>
    </xf>
    <xf numFmtId="0" fontId="39" fillId="12" borderId="55" xfId="0" applyFont="1" applyFill="1" applyBorder="1" applyAlignment="1">
      <alignment horizontal="center" vertical="center"/>
    </xf>
    <xf numFmtId="0" fontId="39" fillId="12" borderId="90" xfId="0" applyFont="1" applyFill="1" applyBorder="1" applyAlignment="1">
      <alignment horizontal="center" vertical="center"/>
    </xf>
    <xf numFmtId="0" fontId="22" fillId="8" borderId="35" xfId="0" applyFont="1" applyFill="1" applyBorder="1" applyAlignment="1">
      <alignment horizontal="center" vertical="center"/>
    </xf>
    <xf numFmtId="0" fontId="22" fillId="8" borderId="110" xfId="0" applyFont="1" applyFill="1" applyBorder="1" applyAlignment="1">
      <alignment horizontal="center" vertical="center"/>
    </xf>
    <xf numFmtId="0" fontId="39" fillId="12" borderId="5" xfId="0" applyFont="1" applyFill="1" applyBorder="1" applyAlignment="1">
      <alignment horizontal="center" vertical="center"/>
    </xf>
    <xf numFmtId="0" fontId="4" fillId="44" borderId="15" xfId="0" applyFont="1" applyFill="1" applyBorder="1" applyAlignment="1">
      <alignment horizontal="center" vertical="center"/>
    </xf>
    <xf numFmtId="0" fontId="39" fillId="63" borderId="84" xfId="0" applyFont="1" applyFill="1" applyBorder="1" applyAlignment="1">
      <alignment horizontal="center" vertical="center"/>
    </xf>
    <xf numFmtId="0" fontId="39" fillId="63" borderId="83" xfId="0" applyFont="1" applyFill="1" applyBorder="1" applyAlignment="1">
      <alignment horizontal="center" vertical="center"/>
    </xf>
    <xf numFmtId="0" fontId="39" fillId="63" borderId="85" xfId="0" applyFont="1" applyFill="1" applyBorder="1" applyAlignment="1">
      <alignment horizontal="center" vertical="center"/>
    </xf>
    <xf numFmtId="0" fontId="39" fillId="12" borderId="33" xfId="0" applyFont="1" applyFill="1" applyBorder="1" applyAlignment="1">
      <alignment horizontal="center" vertical="center"/>
    </xf>
    <xf numFmtId="0" fontId="39" fillId="12" borderId="111" xfId="0" applyFont="1" applyFill="1" applyBorder="1" applyAlignment="1">
      <alignment horizontal="center" vertical="center"/>
    </xf>
    <xf numFmtId="0" fontId="22" fillId="8" borderId="5" xfId="0" applyFont="1" applyFill="1" applyBorder="1" applyAlignment="1">
      <alignment horizontal="center" vertical="center"/>
    </xf>
    <xf numFmtId="0" fontId="4" fillId="93" borderId="5" xfId="0" applyFont="1" applyFill="1" applyBorder="1" applyAlignment="1"/>
    <xf numFmtId="0" fontId="4" fillId="91" borderId="5" xfId="0" applyFont="1" applyFill="1" applyBorder="1" applyAlignment="1"/>
    <xf numFmtId="0" fontId="4" fillId="91" borderId="5" xfId="0" applyFont="1" applyFill="1" applyBorder="1" applyAlignment="1">
      <alignment horizontal="center"/>
    </xf>
    <xf numFmtId="0" fontId="4" fillId="72" borderId="52" xfId="0" applyFont="1" applyFill="1" applyBorder="1" applyAlignment="1">
      <alignment horizontal="center" vertical="center"/>
    </xf>
    <xf numFmtId="0" fontId="4" fillId="72" borderId="57" xfId="0" applyFont="1" applyFill="1" applyBorder="1" applyAlignment="1">
      <alignment horizontal="center" vertical="center"/>
    </xf>
    <xf numFmtId="0" fontId="4" fillId="72" borderId="53" xfId="0" applyFont="1" applyFill="1" applyBorder="1" applyAlignment="1">
      <alignment horizontal="center" vertical="center"/>
    </xf>
    <xf numFmtId="0" fontId="4" fillId="25" borderId="43" xfId="0" applyFont="1" applyFill="1" applyBorder="1" applyAlignment="1">
      <alignment horizontal="center" vertical="center"/>
    </xf>
    <xf numFmtId="0" fontId="4" fillId="72" borderId="55" xfId="0" applyFont="1" applyFill="1" applyBorder="1" applyAlignment="1">
      <alignment horizontal="center" vertical="center"/>
    </xf>
    <xf numFmtId="0" fontId="4" fillId="72" borderId="37" xfId="0" applyFont="1" applyFill="1" applyBorder="1" applyAlignment="1">
      <alignment horizontal="center" vertical="center"/>
    </xf>
    <xf numFmtId="0" fontId="4" fillId="72" borderId="90" xfId="0" applyFont="1" applyFill="1" applyBorder="1" applyAlignment="1">
      <alignment horizontal="center" vertical="center"/>
    </xf>
    <xf numFmtId="0" fontId="4" fillId="72" borderId="15" xfId="0" applyFont="1" applyFill="1" applyBorder="1" applyAlignment="1">
      <alignment horizontal="center" vertical="center"/>
    </xf>
    <xf numFmtId="0" fontId="4" fillId="72" borderId="14" xfId="0" applyFont="1" applyFill="1" applyBorder="1" applyAlignment="1">
      <alignment horizontal="center" vertical="center"/>
    </xf>
    <xf numFmtId="0" fontId="4" fillId="19" borderId="57" xfId="0" applyFont="1" applyFill="1" applyBorder="1" applyAlignment="1">
      <alignment horizontal="center" vertical="center"/>
    </xf>
    <xf numFmtId="0" fontId="13" fillId="19" borderId="57" xfId="0" applyFont="1" applyFill="1" applyBorder="1" applyAlignment="1">
      <alignment horizontal="center" vertical="center"/>
    </xf>
    <xf numFmtId="0" fontId="13" fillId="19" borderId="73" xfId="0" applyFont="1" applyFill="1" applyBorder="1" applyAlignment="1">
      <alignment horizontal="center" vertical="center"/>
    </xf>
    <xf numFmtId="0" fontId="88" fillId="100" borderId="1" xfId="0" applyFont="1" applyFill="1" applyBorder="1" applyAlignment="1">
      <alignment horizontal="center" vertical="center"/>
    </xf>
    <xf numFmtId="0" fontId="4" fillId="93" borderId="1" xfId="0" applyFont="1" applyFill="1" applyBorder="1" applyAlignment="1">
      <alignment horizontal="center" vertical="center"/>
    </xf>
    <xf numFmtId="0" fontId="4" fillId="101" borderId="1" xfId="0" applyFont="1" applyFill="1" applyBorder="1" applyAlignment="1">
      <alignment horizontal="center" vertical="center"/>
    </xf>
    <xf numFmtId="0" fontId="39" fillId="104" borderId="1" xfId="0" applyFont="1" applyFill="1" applyBorder="1" applyAlignment="1">
      <alignment horizontal="center" vertical="center"/>
    </xf>
    <xf numFmtId="0" fontId="31" fillId="99" borderId="1" xfId="0" applyFont="1" applyFill="1" applyBorder="1" applyAlignment="1">
      <alignment horizontal="center" vertical="center"/>
    </xf>
    <xf numFmtId="0" fontId="4" fillId="98" borderId="1" xfId="0" applyFont="1" applyFill="1" applyBorder="1" applyAlignment="1">
      <alignment horizontal="center" vertical="center"/>
    </xf>
    <xf numFmtId="0" fontId="39" fillId="106" borderId="1" xfId="0" applyFont="1" applyFill="1" applyBorder="1" applyAlignment="1">
      <alignment horizontal="center" vertical="center"/>
    </xf>
    <xf numFmtId="0" fontId="171" fillId="99" borderId="1" xfId="0" applyFont="1" applyFill="1" applyBorder="1" applyAlignment="1">
      <alignment horizontal="center" vertical="center" wrapText="1"/>
    </xf>
    <xf numFmtId="0" fontId="66" fillId="99" borderId="1" xfId="0" applyFont="1" applyFill="1" applyBorder="1" applyAlignment="1">
      <alignment horizontal="center" vertical="center" wrapText="1"/>
    </xf>
    <xf numFmtId="0" fontId="4" fillId="103" borderId="1" xfId="0" applyFont="1" applyFill="1" applyBorder="1" applyAlignment="1">
      <alignment horizontal="center" vertical="center"/>
    </xf>
    <xf numFmtId="0" fontId="39" fillId="103" borderId="1" xfId="0" applyFont="1" applyFill="1" applyBorder="1" applyAlignment="1">
      <alignment horizontal="center" vertical="center"/>
    </xf>
    <xf numFmtId="0" fontId="4" fillId="97" borderId="1" xfId="0" applyFont="1" applyFill="1" applyBorder="1" applyAlignment="1">
      <alignment horizontal="center" vertical="center"/>
    </xf>
    <xf numFmtId="0" fontId="6" fillId="94" borderId="1" xfId="0" applyFont="1" applyFill="1" applyBorder="1" applyAlignment="1">
      <alignment horizontal="center" vertical="center"/>
    </xf>
    <xf numFmtId="0" fontId="4" fillId="102" borderId="1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49" fontId="6" fillId="2" borderId="60" xfId="0" applyNumberFormat="1" applyFont="1" applyFill="1" applyBorder="1" applyAlignment="1">
      <alignment horizontal="center" vertical="center"/>
    </xf>
    <xf numFmtId="49" fontId="6" fillId="2" borderId="61" xfId="0" applyNumberFormat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4" fillId="103" borderId="1" xfId="0" applyFont="1" applyFill="1" applyBorder="1" applyAlignment="1">
      <alignment horizontal="center" vertical="center" wrapText="1"/>
    </xf>
    <xf numFmtId="0" fontId="4" fillId="91" borderId="1" xfId="0" applyFont="1" applyFill="1" applyBorder="1" applyAlignment="1">
      <alignment horizontal="center" vertical="center"/>
    </xf>
    <xf numFmtId="0" fontId="4" fillId="101" borderId="2" xfId="0" applyFont="1" applyFill="1" applyBorder="1" applyAlignment="1">
      <alignment horizontal="center" vertical="center"/>
    </xf>
    <xf numFmtId="0" fontId="4" fillId="101" borderId="4" xfId="0" applyFont="1" applyFill="1" applyBorder="1" applyAlignment="1">
      <alignment horizontal="center" vertical="center"/>
    </xf>
    <xf numFmtId="0" fontId="4" fillId="101" borderId="3" xfId="0" applyFont="1" applyFill="1" applyBorder="1" applyAlignment="1">
      <alignment horizontal="center" vertical="center"/>
    </xf>
    <xf numFmtId="0" fontId="4" fillId="101" borderId="160" xfId="0" applyFont="1" applyFill="1" applyBorder="1" applyAlignment="1">
      <alignment horizontal="center" vertical="center"/>
    </xf>
    <xf numFmtId="0" fontId="4" fillId="101" borderId="148" xfId="0" applyFont="1" applyFill="1" applyBorder="1" applyAlignment="1">
      <alignment horizontal="center" vertical="center"/>
    </xf>
    <xf numFmtId="0" fontId="4" fillId="101" borderId="219" xfId="0" applyFont="1" applyFill="1" applyBorder="1" applyAlignment="1">
      <alignment horizontal="center" vertical="center"/>
    </xf>
    <xf numFmtId="0" fontId="39" fillId="12" borderId="141" xfId="0" applyFont="1" applyFill="1" applyBorder="1" applyAlignment="1">
      <alignment horizontal="center" vertical="center"/>
    </xf>
    <xf numFmtId="0" fontId="39" fillId="12" borderId="4" xfId="0" applyFont="1" applyFill="1" applyBorder="1" applyAlignment="1">
      <alignment horizontal="center" vertical="center"/>
    </xf>
    <xf numFmtId="0" fontId="39" fillId="12" borderId="191" xfId="0" applyFont="1" applyFill="1" applyBorder="1" applyAlignment="1">
      <alignment horizontal="center" vertical="center"/>
    </xf>
    <xf numFmtId="49" fontId="6" fillId="2" borderId="118" xfId="0" applyNumberFormat="1" applyFont="1" applyFill="1" applyBorder="1" applyAlignment="1">
      <alignment horizontal="center" vertical="center"/>
    </xf>
    <xf numFmtId="49" fontId="6" fillId="2" borderId="35" xfId="0" applyNumberFormat="1" applyFont="1" applyFill="1" applyBorder="1" applyAlignment="1">
      <alignment horizontal="center" vertical="center"/>
    </xf>
    <xf numFmtId="0" fontId="4" fillId="7" borderId="111" xfId="0" applyFont="1" applyFill="1" applyBorder="1" applyAlignment="1">
      <alignment horizontal="center" vertical="center"/>
    </xf>
    <xf numFmtId="0" fontId="116" fillId="107" borderId="5" xfId="0" applyFont="1" applyFill="1" applyBorder="1" applyAlignment="1">
      <alignment horizontal="center" vertical="center"/>
    </xf>
    <xf numFmtId="0" fontId="6" fillId="16" borderId="15" xfId="0" applyFont="1" applyFill="1" applyBorder="1" applyAlignment="1">
      <alignment horizontal="center" vertical="center"/>
    </xf>
    <xf numFmtId="0" fontId="116" fillId="107" borderId="32" xfId="0" applyFont="1" applyFill="1" applyBorder="1" applyAlignment="1">
      <alignment horizontal="center" vertical="center"/>
    </xf>
    <xf numFmtId="0" fontId="116" fillId="107" borderId="33" xfId="0" applyFont="1" applyFill="1" applyBorder="1" applyAlignment="1">
      <alignment horizontal="center" vertical="center"/>
    </xf>
    <xf numFmtId="0" fontId="116" fillId="107" borderId="34" xfId="0" applyFont="1" applyFill="1" applyBorder="1" applyAlignment="1">
      <alignment horizontal="center" vertical="center"/>
    </xf>
    <xf numFmtId="0" fontId="4" fillId="53" borderId="141" xfId="0" applyFont="1" applyFill="1" applyBorder="1" applyAlignment="1">
      <alignment horizontal="center" vertical="center"/>
    </xf>
    <xf numFmtId="0" fontId="4" fillId="53" borderId="4" xfId="0" applyFont="1" applyFill="1" applyBorder="1" applyAlignment="1">
      <alignment horizontal="center" vertical="center"/>
    </xf>
    <xf numFmtId="0" fontId="4" fillId="53" borderId="191" xfId="0" applyFont="1" applyFill="1" applyBorder="1" applyAlignment="1">
      <alignment horizontal="center" vertical="center"/>
    </xf>
    <xf numFmtId="0" fontId="93" fillId="8" borderId="55" xfId="0" applyFont="1" applyFill="1" applyBorder="1" applyAlignment="1">
      <alignment horizontal="center" vertical="center"/>
    </xf>
    <xf numFmtId="0" fontId="93" fillId="8" borderId="90" xfId="0" applyFont="1" applyFill="1" applyBorder="1" applyAlignment="1">
      <alignment horizontal="center" vertical="center"/>
    </xf>
    <xf numFmtId="0" fontId="64" fillId="52" borderId="98" xfId="0" applyFont="1" applyFill="1" applyBorder="1" applyAlignment="1">
      <alignment horizontal="center" vertical="center"/>
    </xf>
    <xf numFmtId="0" fontId="64" fillId="52" borderId="85" xfId="0" applyFont="1" applyFill="1" applyBorder="1" applyAlignment="1">
      <alignment horizontal="center" vertical="center"/>
    </xf>
    <xf numFmtId="0" fontId="116" fillId="107" borderId="60" xfId="0" applyFont="1" applyFill="1" applyBorder="1" applyAlignment="1">
      <alignment horizontal="center" vertical="center"/>
    </xf>
    <xf numFmtId="0" fontId="4" fillId="73" borderId="32" xfId="0" applyFont="1" applyFill="1" applyBorder="1" applyAlignment="1">
      <alignment horizontal="center" vertical="center"/>
    </xf>
    <xf numFmtId="0" fontId="4" fillId="73" borderId="34" xfId="0" applyFont="1" applyFill="1" applyBorder="1" applyAlignment="1">
      <alignment horizontal="center" vertical="center"/>
    </xf>
    <xf numFmtId="0" fontId="39" fillId="10" borderId="84" xfId="0" applyFont="1" applyFill="1" applyBorder="1" applyAlignment="1">
      <alignment horizontal="center" vertical="center" wrapText="1"/>
    </xf>
    <xf numFmtId="0" fontId="39" fillId="10" borderId="85" xfId="0" applyFont="1" applyFill="1" applyBorder="1" applyAlignment="1">
      <alignment horizontal="center" vertical="center" wrapText="1"/>
    </xf>
    <xf numFmtId="0" fontId="6" fillId="16" borderId="83" xfId="0" applyFont="1" applyFill="1" applyBorder="1" applyAlignment="1">
      <alignment horizontal="center" vertical="center"/>
    </xf>
    <xf numFmtId="0" fontId="172" fillId="10" borderId="5" xfId="0" applyFont="1" applyFill="1" applyBorder="1" applyAlignment="1">
      <alignment horizontal="center" vertical="center"/>
    </xf>
    <xf numFmtId="0" fontId="116" fillId="107" borderId="43" xfId="0" applyFont="1" applyFill="1" applyBorder="1" applyAlignment="1">
      <alignment horizontal="center" vertical="center"/>
    </xf>
    <xf numFmtId="16" fontId="176" fillId="110" borderId="112" xfId="0" applyNumberFormat="1" applyFont="1" applyFill="1" applyBorder="1" applyAlignment="1">
      <alignment horizontal="center"/>
    </xf>
    <xf numFmtId="16" fontId="176" fillId="110" borderId="35" xfId="0" applyNumberFormat="1" applyFont="1" applyFill="1" applyBorder="1" applyAlignment="1">
      <alignment horizontal="center"/>
    </xf>
    <xf numFmtId="0" fontId="173" fillId="0" borderId="0" xfId="0" applyFont="1" applyAlignment="1">
      <alignment horizontal="center"/>
    </xf>
    <xf numFmtId="0" fontId="174" fillId="0" borderId="69" xfId="0" applyFont="1" applyBorder="1" applyAlignment="1">
      <alignment horizontal="center" vertical="center" wrapText="1"/>
    </xf>
    <xf numFmtId="0" fontId="175" fillId="0" borderId="70" xfId="0" applyFont="1" applyBorder="1" applyAlignment="1"/>
    <xf numFmtId="0" fontId="175" fillId="0" borderId="139" xfId="0" applyFont="1" applyBorder="1" applyAlignment="1"/>
    <xf numFmtId="0" fontId="176" fillId="108" borderId="104" xfId="0" applyFont="1" applyFill="1" applyBorder="1" applyAlignment="1">
      <alignment horizontal="center"/>
    </xf>
    <xf numFmtId="0" fontId="176" fillId="108" borderId="107" xfId="0" applyFont="1" applyFill="1" applyBorder="1" applyAlignment="1">
      <alignment horizontal="center"/>
    </xf>
    <xf numFmtId="0" fontId="176" fillId="108" borderId="105" xfId="0" applyFont="1" applyFill="1" applyBorder="1" applyAlignment="1">
      <alignment horizontal="center"/>
    </xf>
    <xf numFmtId="0" fontId="176" fillId="108" borderId="69" xfId="0" applyFont="1" applyFill="1" applyBorder="1" applyAlignment="1">
      <alignment horizontal="center"/>
    </xf>
    <xf numFmtId="0" fontId="176" fillId="108" borderId="70" xfId="0" applyFont="1" applyFill="1" applyBorder="1" applyAlignment="1">
      <alignment horizontal="center"/>
    </xf>
    <xf numFmtId="0" fontId="176" fillId="108" borderId="139" xfId="0" applyFont="1" applyFill="1" applyBorder="1" applyAlignment="1">
      <alignment horizontal="center"/>
    </xf>
    <xf numFmtId="0" fontId="176" fillId="109" borderId="104" xfId="0" applyFont="1" applyFill="1" applyBorder="1" applyAlignment="1">
      <alignment horizontal="center"/>
    </xf>
    <xf numFmtId="0" fontId="176" fillId="109" borderId="105" xfId="0" applyFont="1" applyFill="1" applyBorder="1" applyAlignment="1">
      <alignment horizontal="center"/>
    </xf>
    <xf numFmtId="0" fontId="179" fillId="109" borderId="104" xfId="0" applyFont="1" applyFill="1" applyBorder="1" applyAlignment="1">
      <alignment horizontal="center"/>
    </xf>
    <xf numFmtId="0" fontId="179" fillId="109" borderId="105" xfId="0" applyFont="1" applyFill="1" applyBorder="1" applyAlignment="1">
      <alignment horizontal="center"/>
    </xf>
    <xf numFmtId="0" fontId="179" fillId="109" borderId="107" xfId="0" applyFont="1" applyFill="1" applyBorder="1" applyAlignment="1">
      <alignment horizontal="center"/>
    </xf>
    <xf numFmtId="0" fontId="181" fillId="0" borderId="0" xfId="0" applyFont="1" applyBorder="1" applyAlignment="1">
      <alignment horizontal="center" vertical="center"/>
    </xf>
    <xf numFmtId="0" fontId="181" fillId="0" borderId="13" xfId="0" applyFont="1" applyBorder="1" applyAlignment="1">
      <alignment horizontal="center" vertical="center"/>
    </xf>
    <xf numFmtId="0" fontId="176" fillId="109" borderId="107" xfId="0" applyFont="1" applyFill="1" applyBorder="1" applyAlignment="1">
      <alignment horizontal="center"/>
    </xf>
    <xf numFmtId="0" fontId="181" fillId="0" borderId="117" xfId="0" applyFont="1" applyBorder="1" applyAlignment="1">
      <alignment horizontal="center" vertical="center"/>
    </xf>
    <xf numFmtId="0" fontId="181" fillId="0" borderId="71" xfId="0" applyFont="1" applyBorder="1" applyAlignment="1">
      <alignment horizontal="center" vertical="center"/>
    </xf>
    <xf numFmtId="0" fontId="181" fillId="0" borderId="106" xfId="0" applyFont="1" applyBorder="1" applyAlignment="1">
      <alignment horizontal="center" vertical="center"/>
    </xf>
    <xf numFmtId="0" fontId="181" fillId="0" borderId="225" xfId="0" applyFont="1" applyBorder="1" applyAlignment="1">
      <alignment horizontal="center" vertical="center"/>
    </xf>
    <xf numFmtId="0" fontId="179" fillId="109" borderId="57" xfId="0" applyFont="1" applyFill="1" applyBorder="1" applyAlignment="1">
      <alignment horizontal="center"/>
    </xf>
    <xf numFmtId="0" fontId="179" fillId="109" borderId="138" xfId="0" applyFont="1" applyFill="1" applyBorder="1" applyAlignment="1">
      <alignment horizontal="center"/>
    </xf>
    <xf numFmtId="0" fontId="181" fillId="0" borderId="128" xfId="0" applyFont="1" applyBorder="1" applyAlignment="1">
      <alignment horizontal="center" vertical="center"/>
    </xf>
    <xf numFmtId="0" fontId="181" fillId="0" borderId="158" xfId="0" applyFont="1" applyBorder="1" applyAlignment="1">
      <alignment horizontal="center" vertical="center"/>
    </xf>
    <xf numFmtId="0" fontId="176" fillId="110" borderId="66" xfId="0" applyFont="1" applyFill="1" applyBorder="1" applyAlignment="1">
      <alignment horizontal="center" vertical="center"/>
    </xf>
    <xf numFmtId="0" fontId="176" fillId="110" borderId="159" xfId="0" applyFont="1" applyFill="1" applyBorder="1" applyAlignment="1">
      <alignment horizontal="center" vertical="center"/>
    </xf>
    <xf numFmtId="0" fontId="176" fillId="110" borderId="37" xfId="0" applyFont="1" applyFill="1" applyBorder="1" applyAlignment="1">
      <alignment horizontal="center" vertical="center"/>
    </xf>
    <xf numFmtId="0" fontId="181" fillId="0" borderId="63" xfId="0" applyFont="1" applyBorder="1" applyAlignment="1">
      <alignment horizontal="center"/>
    </xf>
    <xf numFmtId="0" fontId="181" fillId="0" borderId="10" xfId="0" applyFont="1" applyBorder="1" applyAlignment="1">
      <alignment horizontal="center"/>
    </xf>
    <xf numFmtId="16" fontId="176" fillId="110" borderId="156" xfId="0" applyNumberFormat="1" applyFont="1" applyFill="1" applyBorder="1" applyAlignment="1">
      <alignment horizontal="center"/>
    </xf>
    <xf numFmtId="0" fontId="181" fillId="0" borderId="87" xfId="0" applyFont="1" applyBorder="1" applyAlignment="1">
      <alignment horizontal="center" vertical="center"/>
    </xf>
    <xf numFmtId="0" fontId="181" fillId="0" borderId="8" xfId="0" applyFont="1" applyBorder="1" applyAlignment="1">
      <alignment horizontal="center" vertical="center"/>
    </xf>
    <xf numFmtId="0" fontId="181" fillId="0" borderId="220" xfId="0" applyFont="1" applyBorder="1" applyAlignment="1">
      <alignment horizontal="center"/>
    </xf>
    <xf numFmtId="0" fontId="181" fillId="0" borderId="117" xfId="0" applyFont="1" applyBorder="1" applyAlignment="1">
      <alignment horizontal="center"/>
    </xf>
    <xf numFmtId="0" fontId="181" fillId="0" borderId="0" xfId="0" applyFont="1" applyAlignment="1">
      <alignment horizontal="center"/>
    </xf>
    <xf numFmtId="0" fontId="181" fillId="19" borderId="91" xfId="0" applyFont="1" applyFill="1" applyBorder="1" applyAlignment="1">
      <alignment horizontal="center" vertical="center"/>
    </xf>
    <xf numFmtId="0" fontId="181" fillId="19" borderId="64" xfId="0" applyFont="1" applyFill="1" applyBorder="1" applyAlignment="1">
      <alignment horizontal="center" vertical="center"/>
    </xf>
    <xf numFmtId="0" fontId="181" fillId="0" borderId="103" xfId="0" applyFont="1" applyBorder="1" applyAlignment="1">
      <alignment horizontal="center" vertical="center"/>
    </xf>
    <xf numFmtId="0" fontId="181" fillId="0" borderId="173" xfId="0" applyFont="1" applyBorder="1" applyAlignment="1">
      <alignment horizontal="center" vertical="center"/>
    </xf>
    <xf numFmtId="0" fontId="181" fillId="7" borderId="117" xfId="0" applyFont="1" applyFill="1" applyBorder="1" applyAlignment="1">
      <alignment horizontal="center"/>
    </xf>
    <xf numFmtId="0" fontId="181" fillId="7" borderId="0" xfId="0" applyFont="1" applyFill="1" applyBorder="1" applyAlignment="1">
      <alignment horizontal="center"/>
    </xf>
    <xf numFmtId="0" fontId="181" fillId="7" borderId="70" xfId="0" applyFont="1" applyFill="1" applyBorder="1" applyAlignment="1">
      <alignment horizontal="center"/>
    </xf>
    <xf numFmtId="0" fontId="181" fillId="7" borderId="139" xfId="0" applyFont="1" applyFill="1" applyBorder="1" applyAlignment="1">
      <alignment horizontal="center"/>
    </xf>
    <xf numFmtId="0" fontId="176" fillId="109" borderId="113" xfId="0" applyFont="1" applyFill="1" applyBorder="1" applyAlignment="1">
      <alignment horizontal="center"/>
    </xf>
    <xf numFmtId="0" fontId="176" fillId="109" borderId="115" xfId="0" applyFont="1" applyFill="1" applyBorder="1" applyAlignment="1">
      <alignment horizontal="center"/>
    </xf>
    <xf numFmtId="0" fontId="176" fillId="109" borderId="134" xfId="0" applyFont="1" applyFill="1" applyBorder="1" applyAlignment="1">
      <alignment horizontal="center"/>
    </xf>
    <xf numFmtId="0" fontId="176" fillId="109" borderId="133" xfId="0" applyFont="1" applyFill="1" applyBorder="1" applyAlignment="1">
      <alignment horizontal="center"/>
    </xf>
    <xf numFmtId="0" fontId="181" fillId="7" borderId="42" xfId="0" applyFont="1" applyFill="1" applyBorder="1" applyAlignment="1">
      <alignment horizontal="center"/>
    </xf>
    <xf numFmtId="0" fontId="181" fillId="7" borderId="77" xfId="0" applyFont="1" applyFill="1" applyBorder="1" applyAlignment="1">
      <alignment horizontal="center"/>
    </xf>
    <xf numFmtId="0" fontId="181" fillId="7" borderId="105" xfId="0" applyFont="1" applyFill="1" applyBorder="1" applyAlignment="1">
      <alignment horizontal="center"/>
    </xf>
    <xf numFmtId="0" fontId="181" fillId="0" borderId="79" xfId="0" applyFont="1" applyBorder="1" applyAlignment="1">
      <alignment horizontal="center"/>
    </xf>
    <xf numFmtId="0" fontId="181" fillId="0" borderId="56" xfId="0" applyFont="1" applyBorder="1" applyAlignment="1">
      <alignment horizontal="center"/>
    </xf>
    <xf numFmtId="0" fontId="181" fillId="0" borderId="42" xfId="0" applyFont="1" applyBorder="1" applyAlignment="1">
      <alignment horizontal="center"/>
    </xf>
    <xf numFmtId="0" fontId="181" fillId="0" borderId="77" xfId="0" applyFont="1" applyBorder="1" applyAlignment="1">
      <alignment horizontal="center"/>
    </xf>
    <xf numFmtId="0" fontId="101" fillId="112" borderId="0" xfId="0" applyFont="1" applyFill="1" applyAlignment="1">
      <alignment horizontal="center" vertical="center" wrapText="1"/>
    </xf>
    <xf numFmtId="0" fontId="101" fillId="0" borderId="0" xfId="0" applyFont="1" applyAlignment="1">
      <alignment horizontal="center" vertical="center" wrapText="1"/>
    </xf>
    <xf numFmtId="0" fontId="181" fillId="0" borderId="91" xfId="0" applyFont="1" applyBorder="1" applyAlignment="1">
      <alignment horizontal="center" vertical="center"/>
    </xf>
    <xf numFmtId="0" fontId="181" fillId="0" borderId="64" xfId="0" applyFont="1" applyBorder="1" applyAlignment="1">
      <alignment horizontal="center" vertical="center"/>
    </xf>
    <xf numFmtId="0" fontId="189" fillId="0" borderId="221" xfId="0" applyFont="1" applyBorder="1" applyAlignment="1">
      <alignment horizontal="center" vertical="center"/>
    </xf>
    <xf numFmtId="0" fontId="189" fillId="0" borderId="222" xfId="0" applyFont="1" applyBorder="1" applyAlignment="1">
      <alignment horizontal="center" vertical="center"/>
    </xf>
    <xf numFmtId="0" fontId="189" fillId="0" borderId="64" xfId="0" applyFont="1" applyBorder="1" applyAlignment="1">
      <alignment horizontal="center" vertical="center"/>
    </xf>
    <xf numFmtId="0" fontId="194" fillId="0" borderId="104" xfId="0" applyFont="1" applyBorder="1" applyAlignment="1">
      <alignment horizontal="center"/>
    </xf>
    <xf numFmtId="0" fontId="194" fillId="0" borderId="107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 wrapText="1"/>
    </xf>
    <xf numFmtId="0" fontId="188" fillId="0" borderId="0" xfId="0" applyFont="1" applyAlignment="1">
      <alignment horizontal="center" vertical="center" wrapText="1"/>
    </xf>
    <xf numFmtId="0" fontId="54" fillId="8" borderId="14" xfId="0" applyFont="1" applyFill="1" applyBorder="1" applyAlignment="1">
      <alignment horizontal="center"/>
    </xf>
    <xf numFmtId="0" fontId="119" fillId="5" borderId="32" xfId="0" applyFont="1" applyFill="1" applyBorder="1" applyAlignment="1">
      <alignment horizontal="center"/>
    </xf>
    <xf numFmtId="0" fontId="145" fillId="5" borderId="33" xfId="0" applyFont="1" applyFill="1" applyBorder="1" applyAlignment="1">
      <alignment horizontal="center"/>
    </xf>
    <xf numFmtId="0" fontId="145" fillId="5" borderId="34" xfId="0" applyFont="1" applyFill="1" applyBorder="1" applyAlignment="1">
      <alignment horizontal="center"/>
    </xf>
    <xf numFmtId="0" fontId="209" fillId="53" borderId="32" xfId="0" applyFont="1" applyFill="1" applyBorder="1" applyAlignment="1">
      <alignment horizontal="center" vertical="center" wrapText="1"/>
    </xf>
    <xf numFmtId="0" fontId="209" fillId="53" borderId="34" xfId="0" applyFont="1" applyFill="1" applyBorder="1" applyAlignment="1">
      <alignment horizontal="center" vertical="center" wrapText="1"/>
    </xf>
    <xf numFmtId="0" fontId="117" fillId="44" borderId="118" xfId="0" applyFont="1" applyFill="1" applyBorder="1" applyAlignment="1">
      <alignment horizontal="center" vertical="center"/>
    </xf>
    <xf numFmtId="0" fontId="117" fillId="44" borderId="35" xfId="0" applyFont="1" applyFill="1" applyBorder="1" applyAlignment="1">
      <alignment horizontal="center" vertical="center"/>
    </xf>
    <xf numFmtId="0" fontId="117" fillId="44" borderId="110" xfId="0" applyFont="1" applyFill="1" applyBorder="1" applyAlignment="1">
      <alignment horizontal="center" vertical="center"/>
    </xf>
    <xf numFmtId="0" fontId="4" fillId="25" borderId="14" xfId="0" applyFont="1" applyFill="1" applyBorder="1" applyAlignment="1">
      <alignment horizontal="center" vertical="center"/>
    </xf>
    <xf numFmtId="0" fontId="31" fillId="23" borderId="14" xfId="0" applyFont="1" applyFill="1" applyBorder="1" applyAlignment="1">
      <alignment horizontal="center" vertical="center"/>
    </xf>
    <xf numFmtId="0" fontId="54" fillId="52" borderId="118" xfId="0" applyFont="1" applyFill="1" applyBorder="1" applyAlignment="1">
      <alignment horizontal="center"/>
    </xf>
    <xf numFmtId="0" fontId="54" fillId="52" borderId="35" xfId="0" applyFont="1" applyFill="1" applyBorder="1" applyAlignment="1">
      <alignment horizontal="center"/>
    </xf>
    <xf numFmtId="0" fontId="54" fillId="52" borderId="110" xfId="0" applyFont="1" applyFill="1" applyBorder="1" applyAlignment="1">
      <alignment horizontal="center"/>
    </xf>
    <xf numFmtId="0" fontId="4" fillId="35" borderId="14" xfId="0" applyFont="1" applyFill="1" applyBorder="1" applyAlignment="1">
      <alignment horizontal="center" vertical="center"/>
    </xf>
    <xf numFmtId="0" fontId="4" fillId="35" borderId="72" xfId="0" applyFont="1" applyFill="1" applyBorder="1" applyAlignment="1">
      <alignment horizontal="center" vertical="center"/>
    </xf>
    <xf numFmtId="0" fontId="4" fillId="35" borderId="43" xfId="0" applyFont="1" applyFill="1" applyBorder="1" applyAlignment="1">
      <alignment horizontal="center" vertical="center"/>
    </xf>
    <xf numFmtId="0" fontId="4" fillId="35" borderId="44" xfId="0" applyFont="1" applyFill="1" applyBorder="1" applyAlignment="1">
      <alignment horizontal="center" vertical="center"/>
    </xf>
    <xf numFmtId="0" fontId="54" fillId="64" borderId="5" xfId="0" applyFont="1" applyFill="1" applyBorder="1" applyAlignment="1">
      <alignment horizontal="center"/>
    </xf>
    <xf numFmtId="0" fontId="116" fillId="8" borderId="56" xfId="0" applyFont="1" applyFill="1" applyBorder="1" applyAlignment="1">
      <alignment horizontal="center" vertical="center"/>
    </xf>
    <xf numFmtId="0" fontId="116" fillId="8" borderId="57" xfId="0" applyFont="1" applyFill="1" applyBorder="1" applyAlignment="1">
      <alignment horizontal="center" vertical="center"/>
    </xf>
    <xf numFmtId="0" fontId="116" fillId="8" borderId="73" xfId="0" applyFont="1" applyFill="1" applyBorder="1" applyAlignment="1">
      <alignment horizontal="center" vertical="center"/>
    </xf>
    <xf numFmtId="0" fontId="125" fillId="65" borderId="32" xfId="0" applyFont="1" applyFill="1" applyBorder="1" applyAlignment="1">
      <alignment horizontal="center"/>
    </xf>
    <xf numFmtId="0" fontId="125" fillId="65" borderId="33" xfId="0" applyFont="1" applyFill="1" applyBorder="1" applyAlignment="1">
      <alignment horizontal="center"/>
    </xf>
    <xf numFmtId="0" fontId="125" fillId="65" borderId="34" xfId="0" applyFont="1" applyFill="1" applyBorder="1" applyAlignment="1">
      <alignment horizontal="center"/>
    </xf>
    <xf numFmtId="0" fontId="116" fillId="8" borderId="141" xfId="0" applyFont="1" applyFill="1" applyBorder="1" applyAlignment="1">
      <alignment horizontal="center" vertical="center"/>
    </xf>
    <xf numFmtId="0" fontId="116" fillId="8" borderId="4" xfId="0" applyFont="1" applyFill="1" applyBorder="1" applyAlignment="1">
      <alignment horizontal="center" vertical="center"/>
    </xf>
    <xf numFmtId="0" fontId="116" fillId="8" borderId="191" xfId="0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54" fillId="8" borderId="108" xfId="0" applyFont="1" applyFill="1" applyBorder="1" applyAlignment="1">
      <alignment horizontal="center"/>
    </xf>
    <xf numFmtId="0" fontId="54" fillId="8" borderId="70" xfId="0" applyFont="1" applyFill="1" applyBorder="1" applyAlignment="1">
      <alignment horizontal="center"/>
    </xf>
    <xf numFmtId="0" fontId="54" fillId="8" borderId="139" xfId="0" applyFont="1" applyFill="1" applyBorder="1" applyAlignment="1">
      <alignment horizontal="center"/>
    </xf>
    <xf numFmtId="0" fontId="89" fillId="8" borderId="32" xfId="0" applyFont="1" applyFill="1" applyBorder="1" applyAlignment="1">
      <alignment horizontal="center" vertical="center" wrapText="1"/>
    </xf>
    <xf numFmtId="0" fontId="39" fillId="8" borderId="33" xfId="0" applyFont="1" applyFill="1" applyBorder="1" applyAlignment="1">
      <alignment horizontal="center" vertical="center" wrapText="1"/>
    </xf>
    <xf numFmtId="0" fontId="39" fillId="8" borderId="34" xfId="0" applyFont="1" applyFill="1" applyBorder="1" applyAlignment="1">
      <alignment horizontal="center" vertical="center" wrapText="1"/>
    </xf>
    <xf numFmtId="0" fontId="204" fillId="8" borderId="141" xfId="0" applyFont="1" applyFill="1" applyBorder="1" applyAlignment="1">
      <alignment horizontal="center"/>
    </xf>
    <xf numFmtId="0" fontId="204" fillId="8" borderId="4" xfId="0" applyFont="1" applyFill="1" applyBorder="1" applyAlignment="1">
      <alignment horizontal="center"/>
    </xf>
    <xf numFmtId="0" fontId="204" fillId="8" borderId="136" xfId="0" applyFont="1" applyFill="1" applyBorder="1" applyAlignment="1">
      <alignment horizontal="center"/>
    </xf>
    <xf numFmtId="0" fontId="0" fillId="53" borderId="5" xfId="0" applyFill="1" applyBorder="1" applyAlignment="1">
      <alignment horizontal="center"/>
    </xf>
    <xf numFmtId="0" fontId="145" fillId="65" borderId="5" xfId="0" applyFont="1" applyFill="1" applyBorder="1" applyAlignment="1">
      <alignment horizontal="center"/>
    </xf>
    <xf numFmtId="0" fontId="0" fillId="65" borderId="5" xfId="0" applyFill="1" applyBorder="1" applyAlignment="1">
      <alignment horizontal="center"/>
    </xf>
    <xf numFmtId="0" fontId="69" fillId="44" borderId="5" xfId="0" applyFont="1" applyFill="1" applyBorder="1" applyAlignment="1">
      <alignment horizontal="center" vertical="center"/>
    </xf>
    <xf numFmtId="0" fontId="4" fillId="44" borderId="31" xfId="0" applyFont="1" applyFill="1" applyBorder="1" applyAlignment="1">
      <alignment horizontal="center" vertical="center"/>
    </xf>
    <xf numFmtId="0" fontId="31" fillId="23" borderId="60" xfId="0" applyFont="1" applyFill="1" applyBorder="1" applyAlignment="1">
      <alignment horizontal="center" vertical="center"/>
    </xf>
    <xf numFmtId="0" fontId="213" fillId="8" borderId="60" xfId="0" applyFont="1" applyFill="1" applyBorder="1" applyAlignment="1">
      <alignment horizontal="center" vertical="center"/>
    </xf>
    <xf numFmtId="0" fontId="197" fillId="68" borderId="2" xfId="0" applyFont="1" applyFill="1" applyBorder="1" applyAlignment="1">
      <alignment horizontal="center"/>
    </xf>
    <xf numFmtId="0" fontId="197" fillId="68" borderId="4" xfId="0" applyFont="1" applyFill="1" applyBorder="1" applyAlignment="1">
      <alignment horizontal="center"/>
    </xf>
    <xf numFmtId="0" fontId="197" fillId="68" borderId="191" xfId="0" applyFont="1" applyFill="1" applyBorder="1" applyAlignment="1">
      <alignment horizontal="center"/>
    </xf>
    <xf numFmtId="0" fontId="197" fillId="68" borderId="5" xfId="0" applyFont="1" applyFill="1" applyBorder="1" applyAlignment="1">
      <alignment horizontal="center"/>
    </xf>
    <xf numFmtId="0" fontId="196" fillId="68" borderId="5" xfId="0" applyFont="1" applyFill="1" applyBorder="1" applyAlignment="1">
      <alignment horizontal="center"/>
    </xf>
    <xf numFmtId="17" fontId="6" fillId="2" borderId="226" xfId="0" applyNumberFormat="1" applyFont="1" applyFill="1" applyBorder="1" applyAlignment="1">
      <alignment horizontal="center"/>
    </xf>
    <xf numFmtId="17" fontId="6" fillId="2" borderId="227" xfId="0" applyNumberFormat="1" applyFont="1" applyFill="1" applyBorder="1" applyAlignment="1">
      <alignment horizontal="center"/>
    </xf>
    <xf numFmtId="17" fontId="6" fillId="2" borderId="228" xfId="0" applyNumberFormat="1" applyFont="1" applyFill="1" applyBorder="1" applyAlignment="1">
      <alignment horizontal="center"/>
    </xf>
    <xf numFmtId="0" fontId="4" fillId="35" borderId="33" xfId="0" applyFont="1" applyFill="1" applyBorder="1" applyAlignment="1">
      <alignment horizontal="center" vertical="center"/>
    </xf>
    <xf numFmtId="0" fontId="176" fillId="8" borderId="69" xfId="0" applyFont="1" applyFill="1" applyBorder="1" applyAlignment="1">
      <alignment horizontal="center"/>
    </xf>
    <xf numFmtId="0" fontId="176" fillId="8" borderId="70" xfId="0" applyFont="1" applyFill="1" applyBorder="1" applyAlignment="1">
      <alignment horizontal="center"/>
    </xf>
    <xf numFmtId="0" fontId="176" fillId="8" borderId="139" xfId="0" applyFont="1" applyFill="1" applyBorder="1" applyAlignment="1">
      <alignment horizontal="center"/>
    </xf>
    <xf numFmtId="0" fontId="101" fillId="112" borderId="117" xfId="0" applyFont="1" applyFill="1" applyBorder="1" applyAlignment="1">
      <alignment horizontal="center" vertical="center" wrapText="1"/>
    </xf>
    <xf numFmtId="0" fontId="101" fillId="112" borderId="0" xfId="0" applyFont="1" applyFill="1" applyBorder="1" applyAlignment="1">
      <alignment horizontal="center" vertical="center" wrapText="1"/>
    </xf>
    <xf numFmtId="0" fontId="101" fillId="0" borderId="117" xfId="0" applyFont="1" applyBorder="1" applyAlignment="1">
      <alignment horizontal="center" vertical="center" wrapText="1"/>
    </xf>
    <xf numFmtId="0" fontId="101" fillId="0" borderId="0" xfId="0" applyFont="1" applyBorder="1" applyAlignment="1">
      <alignment horizontal="center" vertical="center" wrapText="1"/>
    </xf>
    <xf numFmtId="0" fontId="101" fillId="0" borderId="117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77" fillId="0" borderId="117" xfId="0" applyFont="1" applyBorder="1" applyAlignment="1">
      <alignment horizontal="center" vertical="center" wrapText="1"/>
    </xf>
    <xf numFmtId="0" fontId="188" fillId="0" borderId="0" xfId="0" applyFont="1" applyBorder="1" applyAlignment="1">
      <alignment horizontal="center" vertical="center" wrapText="1"/>
    </xf>
    <xf numFmtId="0" fontId="200" fillId="0" borderId="42" xfId="0" applyFont="1" applyBorder="1" applyAlignment="1">
      <alignment horizontal="center"/>
    </xf>
    <xf numFmtId="0" fontId="200" fillId="0" borderId="77" xfId="0" applyFont="1" applyBorder="1" applyAlignment="1">
      <alignment horizontal="center"/>
    </xf>
    <xf numFmtId="0" fontId="200" fillId="0" borderId="144" xfId="0" applyFont="1" applyBorder="1" applyAlignment="1">
      <alignment horizontal="center"/>
    </xf>
    <xf numFmtId="0" fontId="181" fillId="19" borderId="73" xfId="0" applyFont="1" applyFill="1" applyBorder="1" applyAlignment="1">
      <alignment horizontal="center"/>
    </xf>
    <xf numFmtId="0" fontId="181" fillId="19" borderId="56" xfId="0" applyFont="1" applyFill="1" applyBorder="1" applyAlignment="1">
      <alignment horizontal="center"/>
    </xf>
    <xf numFmtId="0" fontId="181" fillId="0" borderId="44" xfId="0" applyFont="1" applyBorder="1" applyAlignment="1">
      <alignment horizontal="center"/>
    </xf>
    <xf numFmtId="0" fontId="181" fillId="0" borderId="144" xfId="0" applyFont="1" applyBorder="1" applyAlignment="1">
      <alignment horizontal="center"/>
    </xf>
    <xf numFmtId="0" fontId="176" fillId="109" borderId="135" xfId="0" applyFont="1" applyFill="1" applyBorder="1" applyAlignment="1">
      <alignment horizontal="center"/>
    </xf>
    <xf numFmtId="0" fontId="176" fillId="109" borderId="155" xfId="0" applyFont="1" applyFill="1" applyBorder="1" applyAlignment="1">
      <alignment horizontal="center"/>
    </xf>
    <xf numFmtId="0" fontId="203" fillId="8" borderId="104" xfId="0" applyFont="1" applyFill="1" applyBorder="1" applyAlignment="1">
      <alignment horizontal="center"/>
    </xf>
    <xf numFmtId="0" fontId="176" fillId="8" borderId="107" xfId="0" applyFont="1" applyFill="1" applyBorder="1" applyAlignment="1">
      <alignment horizontal="center"/>
    </xf>
    <xf numFmtId="0" fontId="176" fillId="109" borderId="157" xfId="0" applyFont="1" applyFill="1" applyBorder="1" applyAlignment="1">
      <alignment horizontal="center"/>
    </xf>
    <xf numFmtId="0" fontId="181" fillId="19" borderId="65" xfId="0" applyFont="1" applyFill="1" applyBorder="1" applyAlignment="1">
      <alignment horizontal="center" vertical="center"/>
    </xf>
    <xf numFmtId="0" fontId="181" fillId="0" borderId="110" xfId="0" applyFont="1" applyBorder="1" applyAlignment="1">
      <alignment horizontal="center" vertical="center"/>
    </xf>
    <xf numFmtId="0" fontId="181" fillId="0" borderId="33" xfId="0" applyFont="1" applyBorder="1" applyAlignment="1">
      <alignment horizontal="center" vertical="center"/>
    </xf>
    <xf numFmtId="0" fontId="181" fillId="0" borderId="130" xfId="0" applyFont="1" applyBorder="1" applyAlignment="1">
      <alignment horizontal="center"/>
    </xf>
    <xf numFmtId="0" fontId="200" fillId="0" borderId="69" xfId="0" applyFont="1" applyBorder="1" applyAlignment="1">
      <alignment horizontal="center"/>
    </xf>
    <xf numFmtId="0" fontId="200" fillId="0" borderId="70" xfId="0" applyFont="1" applyBorder="1" applyAlignment="1">
      <alignment horizontal="center"/>
    </xf>
    <xf numFmtId="0" fontId="200" fillId="0" borderId="139" xfId="0" applyFont="1" applyBorder="1" applyAlignment="1">
      <alignment horizontal="center"/>
    </xf>
    <xf numFmtId="0" fontId="174" fillId="0" borderId="117" xfId="0" applyFont="1" applyBorder="1" applyAlignment="1">
      <alignment horizontal="center" vertical="center" wrapText="1"/>
    </xf>
    <xf numFmtId="0" fontId="175" fillId="0" borderId="0" xfId="0" applyFont="1" applyBorder="1" applyAlignment="1"/>
    <xf numFmtId="0" fontId="175" fillId="0" borderId="130" xfId="0" applyFont="1" applyBorder="1" applyAlignment="1"/>
    <xf numFmtId="17" fontId="6" fillId="2" borderId="118" xfId="0" applyNumberFormat="1" applyFont="1" applyFill="1" applyBorder="1" applyAlignment="1">
      <alignment horizontal="center"/>
    </xf>
    <xf numFmtId="17" fontId="6" fillId="2" borderId="35" xfId="0" applyNumberFormat="1" applyFont="1" applyFill="1" applyBorder="1" applyAlignment="1">
      <alignment horizontal="center"/>
    </xf>
    <xf numFmtId="0" fontId="6" fillId="94" borderId="232" xfId="0" applyFont="1" applyFill="1" applyBorder="1" applyAlignment="1">
      <alignment horizontal="center"/>
    </xf>
    <xf numFmtId="0" fontId="6" fillId="94" borderId="70" xfId="0" applyFont="1" applyFill="1" applyBorder="1" applyAlignment="1">
      <alignment horizontal="center"/>
    </xf>
    <xf numFmtId="0" fontId="6" fillId="94" borderId="109" xfId="0" applyFont="1" applyFill="1" applyBorder="1" applyAlignment="1">
      <alignment horizontal="center"/>
    </xf>
    <xf numFmtId="0" fontId="4" fillId="8" borderId="235" xfId="0" applyFont="1" applyFill="1" applyBorder="1" applyAlignment="1">
      <alignment horizontal="center" vertical="center"/>
    </xf>
    <xf numFmtId="0" fontId="4" fillId="8" borderId="59" xfId="0" applyFont="1" applyFill="1" applyBorder="1" applyAlignment="1">
      <alignment horizontal="center" vertical="center"/>
    </xf>
    <xf numFmtId="0" fontId="4" fillId="8" borderId="211" xfId="0" applyFont="1" applyFill="1" applyBorder="1" applyAlignment="1">
      <alignment horizontal="center" vertical="center"/>
    </xf>
    <xf numFmtId="0" fontId="6" fillId="77" borderId="32" xfId="0" applyFont="1" applyFill="1" applyBorder="1" applyAlignment="1">
      <alignment horizontal="center" vertical="center"/>
    </xf>
    <xf numFmtId="0" fontId="6" fillId="77" borderId="34" xfId="0" applyFont="1" applyFill="1" applyBorder="1" applyAlignment="1">
      <alignment horizontal="center" vertical="center"/>
    </xf>
    <xf numFmtId="0" fontId="0" fillId="8" borderId="15" xfId="0" applyFill="1" applyBorder="1" applyAlignment="1">
      <alignment horizontal="center"/>
    </xf>
    <xf numFmtId="0" fontId="54" fillId="8" borderId="2" xfId="0" applyFont="1" applyFill="1" applyBorder="1" applyAlignment="1">
      <alignment horizontal="center"/>
    </xf>
    <xf numFmtId="0" fontId="54" fillId="8" borderId="4" xfId="0" applyFont="1" applyFill="1" applyBorder="1" applyAlignment="1">
      <alignment horizontal="center"/>
    </xf>
    <xf numFmtId="0" fontId="54" fillId="8" borderId="3" xfId="0" applyFont="1" applyFill="1" applyBorder="1" applyAlignment="1">
      <alignment horizontal="center"/>
    </xf>
    <xf numFmtId="0" fontId="54" fillId="63" borderId="2" xfId="0" applyFont="1" applyFill="1" applyBorder="1" applyAlignment="1">
      <alignment horizontal="center"/>
    </xf>
    <xf numFmtId="0" fontId="54" fillId="63" borderId="4" xfId="0" applyFont="1" applyFill="1" applyBorder="1" applyAlignment="1">
      <alignment horizontal="center"/>
    </xf>
    <xf numFmtId="0" fontId="54" fillId="63" borderId="3" xfId="0" applyFont="1" applyFill="1" applyBorder="1" applyAlignment="1">
      <alignment horizontal="center"/>
    </xf>
    <xf numFmtId="0" fontId="54" fillId="8" borderId="9" xfId="0" applyFont="1" applyFill="1" applyBorder="1" applyAlignment="1">
      <alignment horizontal="center"/>
    </xf>
    <xf numFmtId="0" fontId="54" fillId="8" borderId="10" xfId="0" applyFont="1" applyFill="1" applyBorder="1" applyAlignment="1">
      <alignment horizontal="center"/>
    </xf>
    <xf numFmtId="0" fontId="54" fillId="8" borderId="36" xfId="0" applyFont="1" applyFill="1" applyBorder="1" applyAlignment="1">
      <alignment horizontal="center"/>
    </xf>
    <xf numFmtId="0" fontId="54" fillId="8" borderId="32" xfId="0" applyFont="1" applyFill="1" applyBorder="1" applyAlignment="1">
      <alignment horizontal="center"/>
    </xf>
    <xf numFmtId="0" fontId="54" fillId="8" borderId="34" xfId="0" applyFont="1" applyFill="1" applyBorder="1" applyAlignment="1">
      <alignment horizontal="center"/>
    </xf>
    <xf numFmtId="0" fontId="125" fillId="8" borderId="2" xfId="0" applyFont="1" applyFill="1" applyBorder="1" applyAlignment="1">
      <alignment horizontal="center"/>
    </xf>
    <xf numFmtId="0" fontId="83" fillId="8" borderId="4" xfId="0" applyFont="1" applyFill="1" applyBorder="1" applyAlignment="1">
      <alignment horizontal="center"/>
    </xf>
    <xf numFmtId="0" fontId="83" fillId="8" borderId="233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233" xfId="0" applyFont="1" applyFill="1" applyBorder="1" applyAlignment="1">
      <alignment horizontal="center" vertical="center"/>
    </xf>
    <xf numFmtId="0" fontId="208" fillId="53" borderId="2" xfId="0" applyFont="1" applyFill="1" applyBorder="1" applyAlignment="1">
      <alignment horizontal="center"/>
    </xf>
    <xf numFmtId="0" fontId="208" fillId="53" borderId="4" xfId="0" applyFont="1" applyFill="1" applyBorder="1" applyAlignment="1">
      <alignment horizontal="center"/>
    </xf>
    <xf numFmtId="0" fontId="208" fillId="53" borderId="233" xfId="0" applyFont="1" applyFill="1" applyBorder="1" applyAlignment="1">
      <alignment horizontal="center"/>
    </xf>
    <xf numFmtId="0" fontId="39" fillId="8" borderId="110" xfId="0" applyFont="1" applyFill="1" applyBorder="1" applyAlignment="1">
      <alignment horizontal="center" vertical="center"/>
    </xf>
    <xf numFmtId="0" fontId="39" fillId="8" borderId="31" xfId="0" applyFont="1" applyFill="1" applyBorder="1" applyAlignment="1">
      <alignment horizontal="center" vertical="center"/>
    </xf>
    <xf numFmtId="0" fontId="54" fillId="63" borderId="5" xfId="0" applyFont="1" applyFill="1" applyBorder="1" applyAlignment="1">
      <alignment horizontal="center"/>
    </xf>
    <xf numFmtId="0" fontId="6" fillId="94" borderId="10" xfId="0" applyFont="1" applyFill="1" applyBorder="1" applyAlignment="1">
      <alignment horizontal="center"/>
    </xf>
    <xf numFmtId="0" fontId="6" fillId="94" borderId="36" xfId="0" applyFont="1" applyFill="1" applyBorder="1" applyAlignment="1">
      <alignment horizontal="center"/>
    </xf>
    <xf numFmtId="0" fontId="54" fillId="8" borderId="129" xfId="0" applyFont="1" applyFill="1" applyBorder="1" applyAlignment="1">
      <alignment horizontal="center"/>
    </xf>
    <xf numFmtId="0" fontId="39" fillId="8" borderId="118" xfId="0" applyFont="1" applyFill="1" applyBorder="1" applyAlignment="1">
      <alignment horizontal="center" vertical="center" wrapText="1"/>
    </xf>
    <xf numFmtId="0" fontId="39" fillId="8" borderId="35" xfId="0" applyFont="1" applyFill="1" applyBorder="1" applyAlignment="1">
      <alignment horizontal="center" vertical="center" wrapText="1"/>
    </xf>
    <xf numFmtId="0" fontId="39" fillId="8" borderId="110" xfId="0" applyFont="1" applyFill="1" applyBorder="1" applyAlignment="1">
      <alignment horizontal="center" vertical="center" wrapText="1"/>
    </xf>
    <xf numFmtId="0" fontId="39" fillId="8" borderId="32" xfId="0" applyFont="1" applyFill="1" applyBorder="1" applyAlignment="1">
      <alignment horizontal="center" vertical="center" wrapText="1"/>
    </xf>
    <xf numFmtId="0" fontId="54" fillId="8" borderId="5" xfId="0" applyFont="1" applyFill="1" applyBorder="1" applyAlignment="1">
      <alignment horizontal="center"/>
    </xf>
    <xf numFmtId="0" fontId="223" fillId="16" borderId="5" xfId="0" applyFont="1" applyFill="1" applyBorder="1" applyAlignment="1">
      <alignment horizontal="center" vertical="center"/>
    </xf>
    <xf numFmtId="0" fontId="235" fillId="16" borderId="43" xfId="0" applyFont="1" applyFill="1" applyBorder="1" applyAlignment="1">
      <alignment horizontal="center" vertical="center"/>
    </xf>
    <xf numFmtId="0" fontId="219" fillId="0" borderId="112" xfId="0" applyFont="1" applyBorder="1" applyAlignment="1">
      <alignment horizontal="center" vertical="center" wrapText="1"/>
    </xf>
    <xf numFmtId="0" fontId="219" fillId="0" borderId="65" xfId="0" applyFont="1" applyBorder="1" applyAlignment="1">
      <alignment horizontal="center" vertical="center" wrapText="1"/>
    </xf>
    <xf numFmtId="0" fontId="219" fillId="0" borderId="68" xfId="0" applyFont="1" applyBorder="1" applyAlignment="1">
      <alignment horizontal="center" vertical="center" wrapText="1"/>
    </xf>
    <xf numFmtId="0" fontId="218" fillId="8" borderId="118" xfId="0" applyFont="1" applyFill="1" applyBorder="1" applyAlignment="1">
      <alignment horizontal="center" vertical="center"/>
    </xf>
    <xf numFmtId="0" fontId="218" fillId="8" borderId="110" xfId="0" applyFont="1" applyFill="1" applyBorder="1" applyAlignment="1">
      <alignment horizontal="center" vertical="center"/>
    </xf>
    <xf numFmtId="0" fontId="218" fillId="8" borderId="35" xfId="0" applyFont="1" applyFill="1" applyBorder="1" applyAlignment="1">
      <alignment horizontal="center" vertical="center"/>
    </xf>
    <xf numFmtId="0" fontId="218" fillId="8" borderId="31" xfId="0" applyFont="1" applyFill="1" applyBorder="1" applyAlignment="1">
      <alignment horizontal="center" vertical="center"/>
    </xf>
    <xf numFmtId="0" fontId="236" fillId="8" borderId="32" xfId="0" applyFont="1" applyFill="1" applyBorder="1" applyAlignment="1">
      <alignment horizontal="center" vertical="center" wrapText="1"/>
    </xf>
    <xf numFmtId="0" fontId="218" fillId="8" borderId="33" xfId="0" applyFont="1" applyFill="1" applyBorder="1" applyAlignment="1">
      <alignment horizontal="center" vertical="center" wrapText="1"/>
    </xf>
    <xf numFmtId="0" fontId="218" fillId="8" borderId="34" xfId="0" applyFont="1" applyFill="1" applyBorder="1" applyAlignment="1">
      <alignment horizontal="center" vertical="center" wrapText="1"/>
    </xf>
    <xf numFmtId="0" fontId="218" fillId="8" borderId="118" xfId="0" applyFont="1" applyFill="1" applyBorder="1" applyAlignment="1">
      <alignment horizontal="center" vertical="center" wrapText="1"/>
    </xf>
    <xf numFmtId="0" fontId="218" fillId="8" borderId="35" xfId="0" applyFont="1" applyFill="1" applyBorder="1" applyAlignment="1">
      <alignment horizontal="center" vertical="center" wrapText="1"/>
    </xf>
    <xf numFmtId="0" fontId="218" fillId="8" borderId="110" xfId="0" applyFont="1" applyFill="1" applyBorder="1" applyAlignment="1">
      <alignment horizontal="center" vertical="center" wrapText="1"/>
    </xf>
    <xf numFmtId="0" fontId="218" fillId="8" borderId="32" xfId="0" applyFont="1" applyFill="1" applyBorder="1" applyAlignment="1">
      <alignment horizontal="center" vertical="center" wrapText="1"/>
    </xf>
    <xf numFmtId="0" fontId="218" fillId="8" borderId="56" xfId="0" applyFont="1" applyFill="1" applyBorder="1" applyAlignment="1">
      <alignment horizontal="center" vertical="center"/>
    </xf>
    <xf numFmtId="0" fontId="218" fillId="8" borderId="57" xfId="0" applyFont="1" applyFill="1" applyBorder="1" applyAlignment="1">
      <alignment horizontal="center" vertical="center"/>
    </xf>
    <xf numFmtId="0" fontId="218" fillId="8" borderId="73" xfId="0" applyFont="1" applyFill="1" applyBorder="1" applyAlignment="1">
      <alignment horizontal="center" vertical="center"/>
    </xf>
    <xf numFmtId="0" fontId="223" fillId="94" borderId="5" xfId="0" applyFont="1" applyFill="1" applyBorder="1" applyAlignment="1">
      <alignment horizontal="center"/>
    </xf>
    <xf numFmtId="0" fontId="223" fillId="94" borderId="15" xfId="0" applyFont="1" applyFill="1" applyBorder="1" applyAlignment="1">
      <alignment horizontal="center"/>
    </xf>
    <xf numFmtId="0" fontId="229" fillId="0" borderId="78" xfId="0" applyFont="1" applyBorder="1" applyAlignment="1">
      <alignment horizontal="center" vertical="center"/>
    </xf>
    <xf numFmtId="0" fontId="229" fillId="0" borderId="64" xfId="0" applyFont="1" applyBorder="1" applyAlignment="1">
      <alignment horizontal="center" vertical="center"/>
    </xf>
    <xf numFmtId="0" fontId="229" fillId="0" borderId="80" xfId="0" applyFont="1" applyBorder="1" applyAlignment="1">
      <alignment horizontal="center" vertical="center"/>
    </xf>
    <xf numFmtId="0" fontId="221" fillId="8" borderId="33" xfId="0" applyFont="1" applyFill="1" applyBorder="1" applyAlignment="1">
      <alignment horizontal="center"/>
    </xf>
    <xf numFmtId="0" fontId="221" fillId="8" borderId="34" xfId="0" applyFont="1" applyFill="1" applyBorder="1" applyAlignment="1">
      <alignment horizontal="center"/>
    </xf>
    <xf numFmtId="0" fontId="223" fillId="77" borderId="15" xfId="0" applyFont="1" applyFill="1" applyBorder="1" applyAlignment="1">
      <alignment horizontal="center" vertical="center"/>
    </xf>
    <xf numFmtId="0" fontId="229" fillId="0" borderId="78" xfId="0" applyFont="1" applyBorder="1" applyAlignment="1">
      <alignment horizontal="center" vertical="center" wrapText="1"/>
    </xf>
    <xf numFmtId="0" fontId="229" fillId="0" borderId="64" xfId="0" applyFont="1" applyBorder="1" applyAlignment="1">
      <alignment horizontal="center" vertical="center" wrapText="1"/>
    </xf>
    <xf numFmtId="0" fontId="229" fillId="0" borderId="79" xfId="0" applyFont="1" applyBorder="1" applyAlignment="1">
      <alignment horizontal="center" vertical="center" wrapText="1"/>
    </xf>
    <xf numFmtId="0" fontId="223" fillId="16" borderId="60" xfId="0" applyFont="1" applyFill="1" applyBorder="1" applyAlignment="1">
      <alignment horizontal="center" vertical="center"/>
    </xf>
    <xf numFmtId="0" fontId="221" fillId="8" borderId="60" xfId="0" applyFont="1" applyFill="1" applyBorder="1" applyAlignment="1">
      <alignment horizontal="center"/>
    </xf>
    <xf numFmtId="0" fontId="221" fillId="8" borderId="61" xfId="0" applyFont="1" applyFill="1" applyBorder="1" applyAlignment="1">
      <alignment horizontal="center"/>
    </xf>
    <xf numFmtId="0" fontId="221" fillId="8" borderId="9" xfId="0" applyFont="1" applyFill="1" applyBorder="1" applyAlignment="1">
      <alignment horizontal="center"/>
    </xf>
    <xf numFmtId="0" fontId="221" fillId="8" borderId="10" xfId="0" applyFont="1" applyFill="1" applyBorder="1" applyAlignment="1">
      <alignment horizontal="center"/>
    </xf>
    <xf numFmtId="0" fontId="221" fillId="8" borderId="87" xfId="0" applyFont="1" applyFill="1" applyBorder="1" applyAlignment="1">
      <alignment horizontal="center"/>
    </xf>
    <xf numFmtId="0" fontId="223" fillId="94" borderId="60" xfId="0" applyFont="1" applyFill="1" applyBorder="1" applyAlignment="1">
      <alignment horizontal="center"/>
    </xf>
    <xf numFmtId="0" fontId="219" fillId="8" borderId="60" xfId="0" applyFont="1" applyFill="1" applyBorder="1" applyAlignment="1">
      <alignment horizontal="center" vertical="center"/>
    </xf>
    <xf numFmtId="0" fontId="219" fillId="8" borderId="61" xfId="0" applyFont="1" applyFill="1" applyBorder="1" applyAlignment="1">
      <alignment horizontal="center" vertical="center"/>
    </xf>
    <xf numFmtId="0" fontId="219" fillId="8" borderId="5" xfId="0" applyFont="1" applyFill="1" applyBorder="1" applyAlignment="1">
      <alignment horizontal="center" vertical="center"/>
    </xf>
    <xf numFmtId="0" fontId="219" fillId="8" borderId="62" xfId="0" applyFont="1" applyFill="1" applyBorder="1" applyAlignment="1">
      <alignment horizontal="center" vertical="center"/>
    </xf>
    <xf numFmtId="0" fontId="221" fillId="63" borderId="5" xfId="0" applyFont="1" applyFill="1" applyBorder="1" applyAlignment="1">
      <alignment horizontal="center"/>
    </xf>
    <xf numFmtId="0" fontId="221" fillId="8" borderId="5" xfId="0" applyFont="1" applyFill="1" applyBorder="1" applyAlignment="1">
      <alignment horizontal="center"/>
    </xf>
    <xf numFmtId="0" fontId="229" fillId="0" borderId="117" xfId="0" applyFont="1" applyBorder="1" applyAlignment="1">
      <alignment horizontal="center" vertical="center"/>
    </xf>
    <xf numFmtId="0" fontId="222" fillId="8" borderId="7" xfId="0" applyFont="1" applyFill="1" applyBorder="1" applyAlignment="1">
      <alignment horizontal="center"/>
    </xf>
    <xf numFmtId="0" fontId="222" fillId="8" borderId="13" xfId="0" applyFont="1" applyFill="1" applyBorder="1" applyAlignment="1">
      <alignment horizontal="center"/>
    </xf>
    <xf numFmtId="0" fontId="222" fillId="8" borderId="8" xfId="0" applyFont="1" applyFill="1" applyBorder="1" applyAlignment="1">
      <alignment horizontal="center"/>
    </xf>
    <xf numFmtId="0" fontId="222" fillId="8" borderId="2" xfId="0" applyFont="1" applyFill="1" applyBorder="1" applyAlignment="1">
      <alignment horizontal="center"/>
    </xf>
    <xf numFmtId="0" fontId="222" fillId="8" borderId="4" xfId="0" applyFont="1" applyFill="1" applyBorder="1" applyAlignment="1">
      <alignment horizontal="center"/>
    </xf>
    <xf numFmtId="0" fontId="222" fillId="8" borderId="3" xfId="0" applyFont="1" applyFill="1" applyBorder="1" applyAlignment="1">
      <alignment horizontal="center"/>
    </xf>
    <xf numFmtId="0" fontId="219" fillId="8" borderId="2" xfId="0" applyFont="1" applyFill="1" applyBorder="1" applyAlignment="1">
      <alignment horizontal="center"/>
    </xf>
    <xf numFmtId="0" fontId="230" fillId="8" borderId="4" xfId="0" applyFont="1" applyFill="1" applyBorder="1" applyAlignment="1">
      <alignment horizontal="center"/>
    </xf>
    <xf numFmtId="0" fontId="230" fillId="8" borderId="233" xfId="0" applyFont="1" applyFill="1" applyBorder="1" applyAlignment="1">
      <alignment horizontal="center"/>
    </xf>
    <xf numFmtId="0" fontId="219" fillId="8" borderId="2" xfId="0" applyFont="1" applyFill="1" applyBorder="1" applyAlignment="1">
      <alignment horizontal="center" vertical="center"/>
    </xf>
    <xf numFmtId="0" fontId="219" fillId="8" borderId="4" xfId="0" applyFont="1" applyFill="1" applyBorder="1" applyAlignment="1">
      <alignment horizontal="center" vertical="center"/>
    </xf>
    <xf numFmtId="0" fontId="219" fillId="8" borderId="233" xfId="0" applyFont="1" applyFill="1" applyBorder="1" applyAlignment="1">
      <alignment horizontal="center" vertical="center"/>
    </xf>
    <xf numFmtId="0" fontId="223" fillId="16" borderId="84" xfId="0" applyFont="1" applyFill="1" applyBorder="1" applyAlignment="1">
      <alignment horizontal="center" vertical="center"/>
    </xf>
    <xf numFmtId="0" fontId="223" fillId="16" borderId="83" xfId="0" applyFont="1" applyFill="1" applyBorder="1" applyAlignment="1">
      <alignment horizontal="center" vertical="center"/>
    </xf>
    <xf numFmtId="0" fontId="230" fillId="8" borderId="7" xfId="0" applyFont="1" applyFill="1" applyBorder="1" applyAlignment="1">
      <alignment horizontal="center"/>
    </xf>
    <xf numFmtId="0" fontId="230" fillId="8" borderId="13" xfId="0" applyFont="1" applyFill="1" applyBorder="1" applyAlignment="1">
      <alignment horizontal="center"/>
    </xf>
    <xf numFmtId="0" fontId="230" fillId="8" borderId="8" xfId="0" applyFont="1" applyFill="1" applyBorder="1" applyAlignment="1">
      <alignment horizontal="center"/>
    </xf>
    <xf numFmtId="0" fontId="229" fillId="0" borderId="91" xfId="0" applyFont="1" applyBorder="1" applyAlignment="1">
      <alignment horizontal="center" vertical="center"/>
    </xf>
    <xf numFmtId="0" fontId="229" fillId="0" borderId="79" xfId="0" applyFont="1" applyBorder="1" applyAlignment="1">
      <alignment horizontal="center" vertical="center"/>
    </xf>
    <xf numFmtId="0" fontId="223" fillId="77" borderId="5" xfId="0" applyFont="1" applyFill="1" applyBorder="1" applyAlignment="1">
      <alignment horizontal="center" vertical="center"/>
    </xf>
    <xf numFmtId="0" fontId="221" fillId="8" borderId="62" xfId="0" applyFont="1" applyFill="1" applyBorder="1" applyAlignment="1">
      <alignment horizontal="center"/>
    </xf>
    <xf numFmtId="0" fontId="222" fillId="8" borderId="5" xfId="0" applyFont="1" applyFill="1" applyBorder="1" applyAlignment="1">
      <alignment horizontal="center"/>
    </xf>
    <xf numFmtId="0" fontId="219" fillId="8" borderId="79" xfId="0" applyFont="1" applyFill="1" applyBorder="1" applyAlignment="1">
      <alignment horizontal="center" vertical="center"/>
    </xf>
    <xf numFmtId="0" fontId="223" fillId="8" borderId="43" xfId="0" applyFont="1" applyFill="1" applyBorder="1" applyAlignment="1">
      <alignment horizontal="center" vertical="center"/>
    </xf>
    <xf numFmtId="0" fontId="223" fillId="16" borderId="235" xfId="0" applyFont="1" applyFill="1" applyBorder="1" applyAlignment="1">
      <alignment horizontal="center" vertical="center"/>
    </xf>
    <xf numFmtId="0" fontId="223" fillId="16" borderId="59" xfId="0" applyFont="1" applyFill="1" applyBorder="1" applyAlignment="1">
      <alignment horizontal="center" vertical="center"/>
    </xf>
    <xf numFmtId="0" fontId="223" fillId="94" borderId="4" xfId="0" applyFont="1" applyFill="1" applyBorder="1" applyAlignment="1">
      <alignment horizontal="center"/>
    </xf>
    <xf numFmtId="0" fontId="223" fillId="94" borderId="191" xfId="0" applyFont="1" applyFill="1" applyBorder="1" applyAlignment="1">
      <alignment horizontal="center"/>
    </xf>
    <xf numFmtId="0" fontId="221" fillId="53" borderId="7" xfId="0" applyFont="1" applyFill="1" applyBorder="1" applyAlignment="1">
      <alignment horizontal="center"/>
    </xf>
    <xf numFmtId="0" fontId="221" fillId="53" borderId="13" xfId="0" applyFont="1" applyFill="1" applyBorder="1" applyAlignment="1">
      <alignment horizontal="center"/>
    </xf>
    <xf numFmtId="0" fontId="221" fillId="53" borderId="8" xfId="0" applyFont="1" applyFill="1" applyBorder="1" applyAlignment="1">
      <alignment horizontal="center"/>
    </xf>
    <xf numFmtId="0" fontId="216" fillId="16" borderId="32" xfId="0" applyFont="1" applyFill="1" applyBorder="1" applyAlignment="1">
      <alignment horizontal="center" vertical="center"/>
    </xf>
    <xf numFmtId="0" fontId="216" fillId="16" borderId="33" xfId="0" applyFont="1" applyFill="1" applyBorder="1" applyAlignment="1">
      <alignment horizontal="center" vertical="center"/>
    </xf>
    <xf numFmtId="0" fontId="216" fillId="16" borderId="34" xfId="0" applyFont="1" applyFill="1" applyBorder="1" applyAlignment="1">
      <alignment horizontal="center" vertical="center"/>
    </xf>
    <xf numFmtId="0" fontId="219" fillId="22" borderId="64" xfId="0" applyFont="1" applyFill="1" applyBorder="1" applyAlignment="1">
      <alignment horizontal="center" vertical="center"/>
    </xf>
    <xf numFmtId="0" fontId="219" fillId="22" borderId="5" xfId="0" applyFont="1" applyFill="1" applyBorder="1" applyAlignment="1">
      <alignment horizontal="center" vertical="center"/>
    </xf>
    <xf numFmtId="0" fontId="223" fillId="21" borderId="64" xfId="0" applyFont="1" applyFill="1" applyBorder="1" applyAlignment="1">
      <alignment horizontal="center" vertical="center"/>
    </xf>
    <xf numFmtId="0" fontId="223" fillId="21" borderId="5" xfId="0" applyFont="1" applyFill="1" applyBorder="1" applyAlignment="1">
      <alignment horizontal="center" vertical="center"/>
    </xf>
    <xf numFmtId="0" fontId="223" fillId="7" borderId="64" xfId="0" applyFont="1" applyFill="1" applyBorder="1" applyAlignment="1">
      <alignment horizontal="center" vertical="center"/>
    </xf>
    <xf numFmtId="0" fontId="223" fillId="7" borderId="5" xfId="0" applyFont="1" applyFill="1" applyBorder="1" applyAlignment="1">
      <alignment horizontal="center" vertical="center"/>
    </xf>
    <xf numFmtId="0" fontId="223" fillId="5" borderId="64" xfId="0" applyFont="1" applyFill="1" applyBorder="1" applyAlignment="1">
      <alignment horizontal="center" vertical="center"/>
    </xf>
    <xf numFmtId="0" fontId="223" fillId="5" borderId="5" xfId="0" applyFont="1" applyFill="1" applyBorder="1" applyAlignment="1">
      <alignment horizontal="center" vertical="center"/>
    </xf>
    <xf numFmtId="0" fontId="223" fillId="94" borderId="232" xfId="0" applyFont="1" applyFill="1" applyBorder="1" applyAlignment="1">
      <alignment horizontal="center"/>
    </xf>
    <xf numFmtId="0" fontId="223" fillId="94" borderId="70" xfId="0" applyFont="1" applyFill="1" applyBorder="1" applyAlignment="1">
      <alignment horizontal="center"/>
    </xf>
    <xf numFmtId="0" fontId="223" fillId="94" borderId="109" xfId="0" applyFont="1" applyFill="1" applyBorder="1" applyAlignment="1">
      <alignment horizontal="center"/>
    </xf>
    <xf numFmtId="0" fontId="221" fillId="63" borderId="65" xfId="0" applyFont="1" applyFill="1" applyBorder="1" applyAlignment="1">
      <alignment horizontal="center" vertical="center"/>
    </xf>
    <xf numFmtId="0" fontId="221" fillId="63" borderId="33" xfId="0" applyFont="1" applyFill="1" applyBorder="1" applyAlignment="1">
      <alignment horizontal="center" vertical="center"/>
    </xf>
    <xf numFmtId="0" fontId="221" fillId="63" borderId="34" xfId="0" applyFont="1" applyFill="1" applyBorder="1" applyAlignment="1">
      <alignment horizontal="center" vertical="center"/>
    </xf>
    <xf numFmtId="0" fontId="221" fillId="63" borderId="32" xfId="0" applyFont="1" applyFill="1" applyBorder="1" applyAlignment="1">
      <alignment horizontal="center" vertical="center"/>
    </xf>
    <xf numFmtId="0" fontId="219" fillId="25" borderId="65" xfId="0" applyFont="1" applyFill="1" applyBorder="1" applyAlignment="1">
      <alignment horizontal="center" vertical="center"/>
    </xf>
    <xf numFmtId="0" fontId="219" fillId="25" borderId="33" xfId="0" applyFont="1" applyFill="1" applyBorder="1" applyAlignment="1">
      <alignment horizontal="center" vertical="center"/>
    </xf>
    <xf numFmtId="0" fontId="219" fillId="25" borderId="34" xfId="0" applyFont="1" applyFill="1" applyBorder="1" applyAlignment="1">
      <alignment horizontal="center" vertical="center"/>
    </xf>
    <xf numFmtId="0" fontId="219" fillId="35" borderId="64" xfId="0" applyFont="1" applyFill="1" applyBorder="1" applyAlignment="1">
      <alignment horizontal="center" vertical="center"/>
    </xf>
    <xf numFmtId="0" fontId="219" fillId="35" borderId="5" xfId="0" applyFont="1" applyFill="1" applyBorder="1" applyAlignment="1">
      <alignment horizontal="center" vertical="center"/>
    </xf>
    <xf numFmtId="0" fontId="219" fillId="42" borderId="64" xfId="0" applyFont="1" applyFill="1" applyBorder="1" applyAlignment="1">
      <alignment horizontal="center" vertical="center"/>
    </xf>
    <xf numFmtId="0" fontId="219" fillId="42" borderId="5" xfId="0" applyFont="1" applyFill="1" applyBorder="1" applyAlignment="1">
      <alignment horizontal="center" vertical="center"/>
    </xf>
    <xf numFmtId="0" fontId="219" fillId="43" borderId="64" xfId="0" applyFont="1" applyFill="1" applyBorder="1" applyAlignment="1">
      <alignment horizontal="center" vertical="center"/>
    </xf>
    <xf numFmtId="0" fontId="219" fillId="43" borderId="5" xfId="0" applyFont="1" applyFill="1" applyBorder="1" applyAlignment="1">
      <alignment horizontal="center" vertical="center"/>
    </xf>
    <xf numFmtId="0" fontId="219" fillId="44" borderId="64" xfId="0" applyFont="1" applyFill="1" applyBorder="1" applyAlignment="1">
      <alignment horizontal="center" vertical="center"/>
    </xf>
    <xf numFmtId="0" fontId="219" fillId="44" borderId="5" xfId="0" applyFont="1" applyFill="1" applyBorder="1" applyAlignment="1">
      <alignment horizontal="center" vertical="center"/>
    </xf>
    <xf numFmtId="0" fontId="219" fillId="26" borderId="64" xfId="0" applyFont="1" applyFill="1" applyBorder="1" applyAlignment="1">
      <alignment horizontal="center" vertical="center"/>
    </xf>
    <xf numFmtId="0" fontId="219" fillId="26" borderId="5" xfId="0" applyFont="1" applyFill="1" applyBorder="1" applyAlignment="1">
      <alignment horizontal="center" vertical="center"/>
    </xf>
    <xf numFmtId="0" fontId="223" fillId="77" borderId="32" xfId="0" applyFont="1" applyFill="1" applyBorder="1" applyAlignment="1">
      <alignment horizontal="center" vertical="center"/>
    </xf>
    <xf numFmtId="0" fontId="223" fillId="77" borderId="34" xfId="0" applyFont="1" applyFill="1" applyBorder="1" applyAlignment="1">
      <alignment horizontal="center" vertical="center"/>
    </xf>
    <xf numFmtId="0" fontId="223" fillId="16" borderId="64" xfId="0" applyFont="1" applyFill="1" applyBorder="1" applyAlignment="1">
      <alignment horizontal="center" vertical="center"/>
    </xf>
    <xf numFmtId="0" fontId="223" fillId="16" borderId="32" xfId="0" applyFont="1" applyFill="1" applyBorder="1" applyAlignment="1">
      <alignment horizontal="center" vertical="center"/>
    </xf>
    <xf numFmtId="0" fontId="223" fillId="16" borderId="33" xfId="0" applyFont="1" applyFill="1" applyBorder="1" applyAlignment="1">
      <alignment horizontal="center" vertical="center"/>
    </xf>
    <xf numFmtId="0" fontId="223" fillId="16" borderId="34" xfId="0" applyFont="1" applyFill="1" applyBorder="1" applyAlignment="1">
      <alignment horizontal="center" vertical="center"/>
    </xf>
    <xf numFmtId="0" fontId="219" fillId="40" borderId="64" xfId="0" applyFont="1" applyFill="1" applyBorder="1" applyAlignment="1">
      <alignment horizontal="center" vertical="center"/>
    </xf>
    <xf numFmtId="0" fontId="219" fillId="40" borderId="5" xfId="0" applyFont="1" applyFill="1" applyBorder="1" applyAlignment="1">
      <alignment horizontal="center" vertical="center"/>
    </xf>
    <xf numFmtId="0" fontId="224" fillId="10" borderId="64" xfId="0" applyFont="1" applyFill="1" applyBorder="1" applyAlignment="1">
      <alignment horizontal="center" vertical="center"/>
    </xf>
    <xf numFmtId="0" fontId="224" fillId="10" borderId="5" xfId="0" applyFont="1" applyFill="1" applyBorder="1" applyAlignment="1">
      <alignment horizontal="center" vertical="center"/>
    </xf>
    <xf numFmtId="0" fontId="224" fillId="23" borderId="65" xfId="0" applyFont="1" applyFill="1" applyBorder="1" applyAlignment="1">
      <alignment horizontal="center" vertical="center"/>
    </xf>
    <xf numFmtId="0" fontId="224" fillId="23" borderId="33" xfId="0" applyFont="1" applyFill="1" applyBorder="1" applyAlignment="1">
      <alignment horizontal="center" vertical="center"/>
    </xf>
    <xf numFmtId="0" fontId="224" fillId="23" borderId="34" xfId="0" applyFont="1" applyFill="1" applyBorder="1" applyAlignment="1">
      <alignment horizontal="center" vertical="center"/>
    </xf>
    <xf numFmtId="0" fontId="221" fillId="65" borderId="33" xfId="0" applyFont="1" applyFill="1" applyBorder="1" applyAlignment="1">
      <alignment horizontal="center"/>
    </xf>
    <xf numFmtId="0" fontId="221" fillId="65" borderId="34" xfId="0" applyFont="1" applyFill="1" applyBorder="1" applyAlignment="1">
      <alignment horizontal="center"/>
    </xf>
    <xf numFmtId="0" fontId="223" fillId="37" borderId="64" xfId="0" applyFont="1" applyFill="1" applyBorder="1" applyAlignment="1">
      <alignment horizontal="center" vertical="center"/>
    </xf>
    <xf numFmtId="0" fontId="223" fillId="37" borderId="5" xfId="0" applyFont="1" applyFill="1" applyBorder="1" applyAlignment="1">
      <alignment horizontal="center" vertical="center"/>
    </xf>
    <xf numFmtId="0" fontId="223" fillId="38" borderId="64" xfId="0" applyFont="1" applyFill="1" applyBorder="1" applyAlignment="1">
      <alignment horizontal="center" vertical="center"/>
    </xf>
    <xf numFmtId="0" fontId="223" fillId="38" borderId="5" xfId="0" applyFont="1" applyFill="1" applyBorder="1" applyAlignment="1">
      <alignment horizontal="center" vertical="center"/>
    </xf>
    <xf numFmtId="0" fontId="223" fillId="13" borderId="64" xfId="0" applyFont="1" applyFill="1" applyBorder="1" applyAlignment="1">
      <alignment horizontal="center" vertical="center"/>
    </xf>
    <xf numFmtId="0" fontId="223" fillId="13" borderId="5" xfId="0" applyFont="1" applyFill="1" applyBorder="1" applyAlignment="1">
      <alignment horizontal="center" vertical="center"/>
    </xf>
    <xf numFmtId="0" fontId="223" fillId="77" borderId="64" xfId="0" applyFont="1" applyFill="1" applyBorder="1" applyAlignment="1">
      <alignment horizontal="center" vertical="center"/>
    </xf>
    <xf numFmtId="0" fontId="216" fillId="2" borderId="78" xfId="0" applyFont="1" applyFill="1" applyBorder="1" applyAlignment="1">
      <alignment horizontal="center" vertical="center"/>
    </xf>
    <xf numFmtId="0" fontId="216" fillId="2" borderId="60" xfId="0" applyFont="1" applyFill="1" applyBorder="1" applyAlignment="1">
      <alignment horizontal="center" vertical="center"/>
    </xf>
    <xf numFmtId="49" fontId="216" fillId="2" borderId="60" xfId="0" applyNumberFormat="1" applyFont="1" applyFill="1" applyBorder="1" applyAlignment="1">
      <alignment horizontal="center" vertical="center"/>
    </xf>
    <xf numFmtId="49" fontId="216" fillId="2" borderId="61" xfId="0" applyNumberFormat="1" applyFont="1" applyFill="1" applyBorder="1" applyAlignment="1">
      <alignment horizontal="center" vertical="center"/>
    </xf>
    <xf numFmtId="0" fontId="216" fillId="2" borderId="64" xfId="0" applyFont="1" applyFill="1" applyBorder="1" applyAlignment="1">
      <alignment horizontal="center" vertical="center"/>
    </xf>
    <xf numFmtId="0" fontId="216" fillId="2" borderId="5" xfId="0" applyFont="1" applyFill="1" applyBorder="1" applyAlignment="1">
      <alignment horizontal="center" vertical="center"/>
    </xf>
    <xf numFmtId="0" fontId="217" fillId="24" borderId="64" xfId="0" applyFont="1" applyFill="1" applyBorder="1" applyAlignment="1">
      <alignment horizontal="center" vertical="center"/>
    </xf>
    <xf numFmtId="0" fontId="217" fillId="24" borderId="5" xfId="0" applyFont="1" applyFill="1" applyBorder="1" applyAlignment="1">
      <alignment horizontal="center" vertical="center"/>
    </xf>
    <xf numFmtId="0" fontId="217" fillId="24" borderId="55" xfId="0" applyFont="1" applyFill="1" applyBorder="1" applyAlignment="1">
      <alignment horizontal="center" vertical="center"/>
    </xf>
    <xf numFmtId="0" fontId="217" fillId="24" borderId="37" xfId="0" applyFont="1" applyFill="1" applyBorder="1" applyAlignment="1">
      <alignment horizontal="center" vertical="center"/>
    </xf>
    <xf numFmtId="0" fontId="217" fillId="24" borderId="90" xfId="0" applyFont="1" applyFill="1" applyBorder="1" applyAlignment="1">
      <alignment horizontal="center" vertical="center"/>
    </xf>
    <xf numFmtId="0" fontId="176" fillId="109" borderId="42" xfId="0" applyFont="1" applyFill="1" applyBorder="1" applyAlignment="1">
      <alignment horizontal="center"/>
    </xf>
    <xf numFmtId="0" fontId="176" fillId="109" borderId="77" xfId="0" applyFont="1" applyFill="1" applyBorder="1" applyAlignment="1">
      <alignment horizontal="center"/>
    </xf>
    <xf numFmtId="0" fontId="179" fillId="82" borderId="69" xfId="0" applyFont="1" applyFill="1" applyBorder="1" applyAlignment="1">
      <alignment horizontal="center"/>
    </xf>
    <xf numFmtId="0" fontId="179" fillId="82" borderId="70" xfId="0" applyFont="1" applyFill="1" applyBorder="1" applyAlignment="1">
      <alignment horizontal="center"/>
    </xf>
    <xf numFmtId="0" fontId="179" fillId="82" borderId="139" xfId="0" applyFont="1" applyFill="1" applyBorder="1" applyAlignment="1">
      <alignment horizontal="center"/>
    </xf>
    <xf numFmtId="0" fontId="181" fillId="0" borderId="0" xfId="0" applyFont="1" applyBorder="1" applyAlignment="1">
      <alignment horizontal="center"/>
    </xf>
    <xf numFmtId="0" fontId="181" fillId="8" borderId="63" xfId="0" applyFont="1" applyFill="1" applyBorder="1" applyAlignment="1">
      <alignment horizontal="center"/>
    </xf>
    <xf numFmtId="0" fontId="181" fillId="8" borderId="10" xfId="0" applyFont="1" applyFill="1" applyBorder="1" applyAlignment="1">
      <alignment horizontal="center"/>
    </xf>
    <xf numFmtId="0" fontId="176" fillId="109" borderId="144" xfId="0" applyFont="1" applyFill="1" applyBorder="1" applyAlignment="1">
      <alignment horizontal="center"/>
    </xf>
    <xf numFmtId="0" fontId="181" fillId="19" borderId="79" xfId="0" applyFont="1" applyFill="1" applyBorder="1" applyAlignment="1">
      <alignment horizontal="center"/>
    </xf>
    <xf numFmtId="0" fontId="181" fillId="0" borderId="65" xfId="0" applyFont="1" applyBorder="1" applyAlignment="1">
      <alignment horizontal="center" vertical="center"/>
    </xf>
    <xf numFmtId="0" fontId="181" fillId="82" borderId="117" xfId="0" applyFont="1" applyFill="1" applyBorder="1" applyAlignment="1">
      <alignment horizontal="center" vertical="center"/>
    </xf>
    <xf numFmtId="0" fontId="181" fillId="82" borderId="0" xfId="0" applyFont="1" applyFill="1" applyBorder="1" applyAlignment="1">
      <alignment horizontal="center" vertical="center"/>
    </xf>
    <xf numFmtId="0" fontId="181" fillId="82" borderId="42" xfId="0" applyFont="1" applyFill="1" applyBorder="1" applyAlignment="1">
      <alignment horizontal="center"/>
    </xf>
    <xf numFmtId="0" fontId="181" fillId="82" borderId="77" xfId="0" applyFont="1" applyFill="1" applyBorder="1" applyAlignment="1">
      <alignment horizontal="center"/>
    </xf>
    <xf numFmtId="0" fontId="181" fillId="8" borderId="42" xfId="0" applyFont="1" applyFill="1" applyBorder="1" applyAlignment="1">
      <alignment horizontal="center"/>
    </xf>
    <xf numFmtId="0" fontId="181" fillId="8" borderId="77" xfId="0" applyFont="1" applyFill="1" applyBorder="1" applyAlignment="1">
      <alignment horizontal="center"/>
    </xf>
    <xf numFmtId="0" fontId="181" fillId="8" borderId="144" xfId="0" applyFont="1" applyFill="1" applyBorder="1" applyAlignment="1">
      <alignment horizontal="center"/>
    </xf>
    <xf numFmtId="0" fontId="181" fillId="19" borderId="110" xfId="0" applyFont="1" applyFill="1" applyBorder="1" applyAlignment="1">
      <alignment horizontal="center" vertical="center"/>
    </xf>
    <xf numFmtId="0" fontId="181" fillId="19" borderId="33" xfId="0" applyFont="1" applyFill="1" applyBorder="1" applyAlignment="1">
      <alignment horizontal="center" vertical="center"/>
    </xf>
    <xf numFmtId="0" fontId="179" fillId="109" borderId="68" xfId="0" applyFont="1" applyFill="1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77" xfId="0" applyBorder="1" applyAlignment="1">
      <alignment horizontal="center"/>
    </xf>
    <xf numFmtId="0" fontId="1" fillId="7" borderId="5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0" borderId="5" xfId="0" applyFont="1" applyBorder="1"/>
    <xf numFmtId="0" fontId="1" fillId="0" borderId="15" xfId="0" applyFont="1" applyBorder="1"/>
    <xf numFmtId="0" fontId="1" fillId="0" borderId="60" xfId="0" applyFont="1" applyBorder="1"/>
  </cellXfs>
  <cellStyles count="2">
    <cellStyle name="Normal" xfId="0" builtinId="0"/>
    <cellStyle name="Normal 2" xfId="1" xr:uid="{1EA7D4E1-9B06-4D05-B77B-84AC6BC04FC1}"/>
  </cellStyles>
  <dxfs count="135"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5" tint="0.79998168889431442"/>
      </font>
      <fill>
        <patternFill patternType="solid">
          <bgColor theme="5" tint="-0.499984740745262"/>
        </patternFill>
      </fill>
    </dxf>
    <dxf>
      <font>
        <color theme="4" tint="0.79998168889431442"/>
      </font>
      <fill>
        <patternFill patternType="solid">
          <bgColor theme="4" tint="0.39997558519241921"/>
        </patternFill>
      </fill>
    </dxf>
    <dxf>
      <font>
        <color theme="3" tint="0.79998168889431442"/>
      </font>
      <fill>
        <patternFill patternType="solid">
          <bgColor theme="4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00FFE5"/>
      <color rgb="FFFFFFFF"/>
      <color rgb="FFD9D9D9"/>
      <color rgb="FFF8CBAD"/>
      <color rgb="FF8EA9DB"/>
      <color rgb="FF7030A0"/>
      <color rgb="FF33CCFF"/>
      <color rgb="FFFF00DD"/>
      <color rgb="FF3D0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Work Week Required for Active LOEs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'Analytics Test'!$A$93</c:f>
              <c:strCache>
                <c:ptCount val="1"/>
                <c:pt idx="0">
                  <c:v>Maitenance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'Analytics Test'!$B$93:$AH$93</c:f>
              <c:numCache>
                <c:formatCode>General</c:formatCode>
                <c:ptCount val="33"/>
                <c:pt idx="2">
                  <c:v>0.30769230769230771</c:v>
                </c:pt>
                <c:pt idx="3">
                  <c:v>0.30769230769230771</c:v>
                </c:pt>
                <c:pt idx="4">
                  <c:v>0.30769230769230771</c:v>
                </c:pt>
                <c:pt idx="5">
                  <c:v>0.30769230769230771</c:v>
                </c:pt>
                <c:pt idx="6">
                  <c:v>0.30769230769230771</c:v>
                </c:pt>
                <c:pt idx="7">
                  <c:v>0.30769230769230771</c:v>
                </c:pt>
                <c:pt idx="8">
                  <c:v>0.30769230769230771</c:v>
                </c:pt>
                <c:pt idx="9">
                  <c:v>0.69230769230769229</c:v>
                </c:pt>
                <c:pt idx="10">
                  <c:v>0.69230769230769229</c:v>
                </c:pt>
                <c:pt idx="11">
                  <c:v>0.69230769230769229</c:v>
                </c:pt>
                <c:pt idx="12">
                  <c:v>0.69230769230769229</c:v>
                </c:pt>
                <c:pt idx="13">
                  <c:v>0.69230769230769229</c:v>
                </c:pt>
                <c:pt idx="14">
                  <c:v>0.69230769230769229</c:v>
                </c:pt>
                <c:pt idx="15">
                  <c:v>0.69230769230769229</c:v>
                </c:pt>
                <c:pt idx="16">
                  <c:v>0.69230769230769229</c:v>
                </c:pt>
                <c:pt idx="17">
                  <c:v>0.30769230769230771</c:v>
                </c:pt>
                <c:pt idx="18">
                  <c:v>0.30769230769230771</c:v>
                </c:pt>
                <c:pt idx="19">
                  <c:v>0.30769230769230771</c:v>
                </c:pt>
                <c:pt idx="20">
                  <c:v>0.30769230769230771</c:v>
                </c:pt>
                <c:pt idx="21">
                  <c:v>0.30769230769230771</c:v>
                </c:pt>
                <c:pt idx="22">
                  <c:v>0.30769230769230771</c:v>
                </c:pt>
                <c:pt idx="23">
                  <c:v>0.30769230769230771</c:v>
                </c:pt>
                <c:pt idx="24">
                  <c:v>0.30769230769230771</c:v>
                </c:pt>
                <c:pt idx="25">
                  <c:v>0.30769230769230771</c:v>
                </c:pt>
                <c:pt idx="26">
                  <c:v>0.30769230769230771</c:v>
                </c:pt>
                <c:pt idx="27">
                  <c:v>0.30769230769230771</c:v>
                </c:pt>
                <c:pt idx="28">
                  <c:v>0.30769230769230771</c:v>
                </c:pt>
                <c:pt idx="29">
                  <c:v>0.30769230769230771</c:v>
                </c:pt>
                <c:pt idx="30">
                  <c:v>0.30769230769230771</c:v>
                </c:pt>
                <c:pt idx="31">
                  <c:v>0.30769230769230771</c:v>
                </c:pt>
                <c:pt idx="32">
                  <c:v>0.30769230769230771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E-4243-999F-D3AF2BB35264}"/>
            </c:ext>
          </c:extLst>
        </c:ser>
        <c:ser>
          <c:idx val="1"/>
          <c:order val="1"/>
          <c:tx>
            <c:strRef>
              <c:f>'Analytics Test'!$A$94</c:f>
              <c:strCache>
                <c:ptCount val="1"/>
                <c:pt idx="0">
                  <c:v>CARAT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'Analytics Test'!$B$94:$AH$94</c:f>
              <c:numCache>
                <c:formatCode>General</c:formatCode>
                <c:ptCount val="33"/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2.2000000000000002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2.2000000000000002</c:v>
                </c:pt>
                <c:pt idx="13">
                  <c:v>1.8000000000000003</c:v>
                </c:pt>
                <c:pt idx="14">
                  <c:v>1.8000000000000003</c:v>
                </c:pt>
                <c:pt idx="15">
                  <c:v>3.6</c:v>
                </c:pt>
                <c:pt idx="16">
                  <c:v>2.6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0.60000000000000009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0.60000000000000009</c:v>
                </c:pt>
                <c:pt idx="31">
                  <c:v>0.60000000000000009</c:v>
                </c:pt>
                <c:pt idx="32">
                  <c:v>0.60000000000000009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E-4243-999F-D3AF2BB35264}"/>
            </c:ext>
          </c:extLst>
        </c:ser>
        <c:ser>
          <c:idx val="2"/>
          <c:order val="2"/>
          <c:tx>
            <c:strRef>
              <c:f>'Analytics Test'!$A$95</c:f>
              <c:strCache>
                <c:ptCount val="1"/>
                <c:pt idx="0">
                  <c:v>SCC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'Analytics Test'!$B$95:$AH$95</c:f>
              <c:numCache>
                <c:formatCode>General</c:formatCode>
                <c:ptCount val="33"/>
                <c:pt idx="2">
                  <c:v>0.875</c:v>
                </c:pt>
                <c:pt idx="3">
                  <c:v>0.875</c:v>
                </c:pt>
                <c:pt idx="4">
                  <c:v>0.875</c:v>
                </c:pt>
                <c:pt idx="5">
                  <c:v>0.875</c:v>
                </c:pt>
                <c:pt idx="6">
                  <c:v>0.875</c:v>
                </c:pt>
                <c:pt idx="7">
                  <c:v>2.25</c:v>
                </c:pt>
                <c:pt idx="8">
                  <c:v>0.875</c:v>
                </c:pt>
                <c:pt idx="9">
                  <c:v>0.875</c:v>
                </c:pt>
                <c:pt idx="10">
                  <c:v>0.875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0.875</c:v>
                </c:pt>
                <c:pt idx="18">
                  <c:v>0.875</c:v>
                </c:pt>
                <c:pt idx="19">
                  <c:v>0.875</c:v>
                </c:pt>
                <c:pt idx="20">
                  <c:v>0.75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0.75</c:v>
                </c:pt>
                <c:pt idx="26">
                  <c:v>0.75</c:v>
                </c:pt>
                <c:pt idx="27">
                  <c:v>3.375</c:v>
                </c:pt>
                <c:pt idx="28">
                  <c:v>3.375</c:v>
                </c:pt>
                <c:pt idx="29">
                  <c:v>3.375</c:v>
                </c:pt>
                <c:pt idx="30">
                  <c:v>3.375</c:v>
                </c:pt>
                <c:pt idx="31">
                  <c:v>3.375</c:v>
                </c:pt>
                <c:pt idx="32">
                  <c:v>3.375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5E-4243-999F-D3AF2BB35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262680"/>
        <c:axId val="822165047"/>
      </c:lineChart>
      <c:catAx>
        <c:axId val="459262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65047"/>
        <c:crosses val="autoZero"/>
        <c:auto val="1"/>
        <c:lblAlgn val="ctr"/>
        <c:lblOffset val="100"/>
        <c:noMultiLvlLbl val="0"/>
      </c:catAx>
      <c:valAx>
        <c:axId val="822165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6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Graphs!$C$2</c:f>
              <c:strCache>
                <c:ptCount val="1"/>
                <c:pt idx="0">
                  <c:v>LTJG Bailey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Graphs!$D$2:$H$2</c:f>
              <c:numCache>
                <c:formatCode>General</c:formatCode>
                <c:ptCount val="5"/>
                <c:pt idx="0">
                  <c:v>9.6310679611650478</c:v>
                </c:pt>
                <c:pt idx="1">
                  <c:v>7.333934410676445</c:v>
                </c:pt>
                <c:pt idx="2">
                  <c:v>24.175919143500874</c:v>
                </c:pt>
                <c:pt idx="3">
                  <c:v>8.6577941435008761</c:v>
                </c:pt>
                <c:pt idx="4">
                  <c:v>-7.9223777127865453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DD-4D5A-A02D-275E2E09DFD8}"/>
            </c:ext>
          </c:extLst>
        </c:ser>
        <c:ser>
          <c:idx val="1"/>
          <c:order val="1"/>
          <c:tx>
            <c:strRef>
              <c:f>Graphs!$C$3</c:f>
              <c:strCache>
                <c:ptCount val="1"/>
                <c:pt idx="0">
                  <c:v>CTTC Thompson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Graphs!$D$3:$H$3</c:f>
              <c:numCache>
                <c:formatCode>General</c:formatCode>
                <c:ptCount val="5"/>
                <c:pt idx="0">
                  <c:v>-2.0145631067961176</c:v>
                </c:pt>
                <c:pt idx="1">
                  <c:v>-23.595507732203281</c:v>
                </c:pt>
                <c:pt idx="2">
                  <c:v>-33.505431396325413</c:v>
                </c:pt>
                <c:pt idx="3">
                  <c:v>-41.023556396325411</c:v>
                </c:pt>
                <c:pt idx="4">
                  <c:v>-33.239123462193668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9DD-4D5A-A02D-275E2E09DFD8}"/>
            </c:ext>
          </c:extLst>
        </c:ser>
        <c:ser>
          <c:idx val="2"/>
          <c:order val="2"/>
          <c:tx>
            <c:strRef>
              <c:f>Graphs!$C$4</c:f>
              <c:strCache>
                <c:ptCount val="1"/>
                <c:pt idx="0">
                  <c:v>ISC Alumia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Graphs!$D$4:$H$4</c:f>
              <c:numCache>
                <c:formatCode>General</c:formatCode>
                <c:ptCount val="5"/>
                <c:pt idx="0">
                  <c:v>-28.014563106796118</c:v>
                </c:pt>
                <c:pt idx="1">
                  <c:v>-24.848838351095793</c:v>
                </c:pt>
                <c:pt idx="2">
                  <c:v>-50.653418503767547</c:v>
                </c:pt>
                <c:pt idx="3">
                  <c:v>7.0693939962324563</c:v>
                </c:pt>
                <c:pt idx="4">
                  <c:v>-1.0024616923902983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9DD-4D5A-A02D-275E2E09DFD8}"/>
            </c:ext>
          </c:extLst>
        </c:ser>
        <c:ser>
          <c:idx val="3"/>
          <c:order val="3"/>
          <c:tx>
            <c:strRef>
              <c:f>Graphs!$C$5</c:f>
              <c:strCache>
                <c:ptCount val="1"/>
                <c:pt idx="0">
                  <c:v>CDR Ivey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Graphs!$D$5:$H$5</c:f>
              <c:numCache>
                <c:formatCode>General</c:formatCode>
                <c:ptCount val="5"/>
                <c:pt idx="0">
                  <c:v>0</c:v>
                </c:pt>
                <c:pt idx="1">
                  <c:v>8</c:v>
                </c:pt>
                <c:pt idx="2">
                  <c:v>5.6000000000000014</c:v>
                </c:pt>
                <c:pt idx="3">
                  <c:v>-4.3999999999999986</c:v>
                </c:pt>
                <c:pt idx="4">
                  <c:v>-4.3999999999999986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9DD-4D5A-A02D-275E2E09DFD8}"/>
            </c:ext>
          </c:extLst>
        </c:ser>
        <c:ser>
          <c:idx val="4"/>
          <c:order val="4"/>
          <c:tx>
            <c:strRef>
              <c:f>Graphs!$C$6</c:f>
              <c:strCache>
                <c:ptCount val="1"/>
                <c:pt idx="0">
                  <c:v>LT Maligsa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Graphs!$D$6:$H$6</c:f>
              <c:numCache>
                <c:formatCode>General</c:formatCode>
                <c:ptCount val="5"/>
                <c:pt idx="0">
                  <c:v>-29.191747572815537</c:v>
                </c:pt>
                <c:pt idx="1">
                  <c:v>-31.667928354574492</c:v>
                </c:pt>
                <c:pt idx="2">
                  <c:v>-40.675561942360751</c:v>
                </c:pt>
                <c:pt idx="3">
                  <c:v>-2.193686942360749</c:v>
                </c:pt>
                <c:pt idx="4">
                  <c:v>6.9001274288967309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9DD-4D5A-A02D-275E2E09DFD8}"/>
            </c:ext>
          </c:extLst>
        </c:ser>
        <c:ser>
          <c:idx val="5"/>
          <c:order val="5"/>
          <c:tx>
            <c:strRef>
              <c:f>Graphs!$C$7</c:f>
              <c:strCache>
                <c:ptCount val="1"/>
                <c:pt idx="0">
                  <c:v>LT Hespen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Graphs!$D$7:$H$7</c:f>
              <c:numCache>
                <c:formatCode>General</c:formatCode>
                <c:ptCount val="5"/>
                <c:pt idx="0">
                  <c:v>0</c:v>
                </c:pt>
                <c:pt idx="1">
                  <c:v>19.881913680781764</c:v>
                </c:pt>
                <c:pt idx="2">
                  <c:v>-4.073048151279302</c:v>
                </c:pt>
                <c:pt idx="3">
                  <c:v>12.270944904276256</c:v>
                </c:pt>
                <c:pt idx="4">
                  <c:v>-1.8727664729692535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9DD-4D5A-A02D-275E2E09DFD8}"/>
            </c:ext>
          </c:extLst>
        </c:ser>
        <c:ser>
          <c:idx val="6"/>
          <c:order val="6"/>
          <c:tx>
            <c:strRef>
              <c:f>Graphs!$C$8</c:f>
              <c:strCache>
                <c:ptCount val="1"/>
                <c:pt idx="0">
                  <c:v>OSC Williams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Graphs!$D$8:$H$8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-6.9652777777776009E-2</c:v>
                </c:pt>
                <c:pt idx="4">
                  <c:v>-16.285219843646033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9DD-4D5A-A02D-275E2E09DFD8}"/>
            </c:ext>
          </c:extLst>
        </c:ser>
        <c:ser>
          <c:idx val="7"/>
          <c:order val="7"/>
          <c:tx>
            <c:strRef>
              <c:f>Graphs!$C$9</c:f>
              <c:strCache>
                <c:ptCount val="1"/>
                <c:pt idx="0">
                  <c:v>OS1 Tillman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Graphs!$D$9:$H$9</c:f>
              <c:numCache>
                <c:formatCode>General</c:formatCode>
                <c:ptCount val="5"/>
                <c:pt idx="0">
                  <c:v>8.708737864077662</c:v>
                </c:pt>
                <c:pt idx="1">
                  <c:v>17.158273694696561</c:v>
                </c:pt>
                <c:pt idx="2">
                  <c:v>38.646823313017173</c:v>
                </c:pt>
                <c:pt idx="3">
                  <c:v>17.128698313017175</c:v>
                </c:pt>
                <c:pt idx="4">
                  <c:v>6.2225126842746548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9DD-4D5A-A02D-275E2E09DFD8}"/>
            </c:ext>
          </c:extLst>
        </c:ser>
        <c:ser>
          <c:idx val="8"/>
          <c:order val="8"/>
          <c:tx>
            <c:strRef>
              <c:f>Graphs!$C$10</c:f>
              <c:strCache>
                <c:ptCount val="1"/>
                <c:pt idx="0">
                  <c:v>LCDR  Huntley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Graphs!$D$10:$H$10</c:f>
              <c:numCache>
                <c:formatCode>General</c:formatCode>
                <c:ptCount val="5"/>
                <c:pt idx="0">
                  <c:v>-10</c:v>
                </c:pt>
                <c:pt idx="1">
                  <c:v>-11.806451612903228</c:v>
                </c:pt>
                <c:pt idx="2">
                  <c:v>-15.539784946236562</c:v>
                </c:pt>
                <c:pt idx="3">
                  <c:v>-7.539784946236562</c:v>
                </c:pt>
                <c:pt idx="4">
                  <c:v>0.19354838709677225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9DD-4D5A-A02D-275E2E09DFD8}"/>
            </c:ext>
          </c:extLst>
        </c:ser>
        <c:ser>
          <c:idx val="9"/>
          <c:order val="9"/>
          <c:tx>
            <c:strRef>
              <c:f>Graphs!$C$11</c:f>
              <c:strCache>
                <c:ptCount val="1"/>
                <c:pt idx="0">
                  <c:v>LCDR  Despota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Graphs!$D$11:$H$11</c:f>
              <c:numCache>
                <c:formatCode>General</c:formatCode>
                <c:ptCount val="5"/>
                <c:pt idx="0">
                  <c:v>-4</c:v>
                </c:pt>
                <c:pt idx="1">
                  <c:v>4</c:v>
                </c:pt>
                <c:pt idx="2">
                  <c:v>-7.1999999999999993</c:v>
                </c:pt>
                <c:pt idx="3">
                  <c:v>-2.7483870967741932</c:v>
                </c:pt>
                <c:pt idx="4">
                  <c:v>-2.7483870967741932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9DD-4D5A-A02D-275E2E09DFD8}"/>
            </c:ext>
          </c:extLst>
        </c:ser>
        <c:ser>
          <c:idx val="10"/>
          <c:order val="10"/>
          <c:tx>
            <c:strRef>
              <c:f>Graphs!$C$12</c:f>
              <c:strCache>
                <c:ptCount val="1"/>
                <c:pt idx="0">
                  <c:v>ENC Tran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Graphs!$D$12:$H$12</c:f>
              <c:numCache>
                <c:formatCode>General</c:formatCode>
                <c:ptCount val="5"/>
                <c:pt idx="0">
                  <c:v>0</c:v>
                </c:pt>
                <c:pt idx="1">
                  <c:v>-1.550464169381101</c:v>
                </c:pt>
                <c:pt idx="2">
                  <c:v>10.840375525275391</c:v>
                </c:pt>
                <c:pt idx="3">
                  <c:v>19.114715803053173</c:v>
                </c:pt>
                <c:pt idx="4">
                  <c:v>-15.791469825689347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9DD-4D5A-A02D-275E2E09DFD8}"/>
            </c:ext>
          </c:extLst>
        </c:ser>
        <c:ser>
          <c:idx val="11"/>
          <c:order val="11"/>
          <c:tx>
            <c:strRef>
              <c:f>Graphs!$C$13</c:f>
              <c:strCache>
                <c:ptCount val="1"/>
                <c:pt idx="0">
                  <c:v>EMC Daves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Graphs!$D$13:$H$13</c:f>
              <c:numCache>
                <c:formatCode>General</c:formatCode>
                <c:ptCount val="5"/>
                <c:pt idx="0">
                  <c:v>10.708737864077662</c:v>
                </c:pt>
                <c:pt idx="1">
                  <c:v>-16.841726305303439</c:v>
                </c:pt>
                <c:pt idx="2">
                  <c:v>1.2483500305744286</c:v>
                </c:pt>
                <c:pt idx="3">
                  <c:v>-3.99401108053668</c:v>
                </c:pt>
                <c:pt idx="4">
                  <c:v>-10.756485332033684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9DD-4D5A-A02D-275E2E09DFD8}"/>
            </c:ext>
          </c:extLst>
        </c:ser>
        <c:ser>
          <c:idx val="12"/>
          <c:order val="12"/>
          <c:tx>
            <c:strRef>
              <c:f>Graphs!$C$14</c:f>
              <c:strCache>
                <c:ptCount val="1"/>
                <c:pt idx="0">
                  <c:v>GSMC Mckeown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Graphs!$D$14:$H$14</c:f>
              <c:numCache>
                <c:formatCode>General</c:formatCode>
                <c:ptCount val="5"/>
                <c:pt idx="0">
                  <c:v>34.354368932038831</c:v>
                </c:pt>
                <c:pt idx="1">
                  <c:v>40.80390476265773</c:v>
                </c:pt>
                <c:pt idx="2">
                  <c:v>31.645889495482159</c:v>
                </c:pt>
                <c:pt idx="3">
                  <c:v>-10.07977022674006</c:v>
                </c:pt>
                <c:pt idx="4">
                  <c:v>-7.3505606459017372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9DD-4D5A-A02D-275E2E09DFD8}"/>
            </c:ext>
          </c:extLst>
        </c:ser>
        <c:ser>
          <c:idx val="13"/>
          <c:order val="13"/>
          <c:tx>
            <c:strRef>
              <c:f>Graphs!$C$15</c:f>
              <c:strCache>
                <c:ptCount val="1"/>
                <c:pt idx="0">
                  <c:v>ETC Pearson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Graphs!$D$15:$H$15</c:f>
              <c:numCache>
                <c:formatCode>General</c:formatCode>
                <c:ptCount val="5"/>
                <c:pt idx="0">
                  <c:v>-14.099514563106798</c:v>
                </c:pt>
                <c:pt idx="1">
                  <c:v>-15.649978732487899</c:v>
                </c:pt>
                <c:pt idx="2">
                  <c:v>9.8385708858327128</c:v>
                </c:pt>
                <c:pt idx="3">
                  <c:v>-7.4037902252783958</c:v>
                </c:pt>
                <c:pt idx="4">
                  <c:v>17.690024145979084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9DD-4D5A-A02D-275E2E09DFD8}"/>
            </c:ext>
          </c:extLst>
        </c:ser>
        <c:ser>
          <c:idx val="14"/>
          <c:order val="14"/>
          <c:tx>
            <c:strRef>
              <c:f>Graphs!$C$16</c:f>
              <c:strCache>
                <c:ptCount val="1"/>
                <c:pt idx="0">
                  <c:v>LSC Smith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Graphs!$D$16:$H$16</c:f>
              <c:numCache>
                <c:formatCode>General</c:formatCode>
                <c:ptCount val="5"/>
                <c:pt idx="0">
                  <c:v>8.6237864077669926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9DD-4D5A-A02D-275E2E09DFD8}"/>
            </c:ext>
          </c:extLst>
        </c:ser>
        <c:ser>
          <c:idx val="15"/>
          <c:order val="15"/>
          <c:tx>
            <c:strRef>
              <c:f>Graphs!$C$17</c:f>
              <c:strCache>
                <c:ptCount val="1"/>
                <c:pt idx="0">
                  <c:v>GMC Ogle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Graphs!$D$17:$H$17</c:f>
              <c:numCache>
                <c:formatCode>General</c:formatCode>
                <c:ptCount val="5"/>
                <c:pt idx="0">
                  <c:v>0.70873786407766204</c:v>
                </c:pt>
                <c:pt idx="1">
                  <c:v>25.874462619777987</c:v>
                </c:pt>
                <c:pt idx="2">
                  <c:v>-2.2308808916723954</c:v>
                </c:pt>
                <c:pt idx="3">
                  <c:v>-6.0944225583390583</c:v>
                </c:pt>
                <c:pt idx="4">
                  <c:v>3.8337217530381871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9DD-4D5A-A02D-275E2E09DFD8}"/>
            </c:ext>
          </c:extLst>
        </c:ser>
        <c:ser>
          <c:idx val="16"/>
          <c:order val="16"/>
          <c:tx>
            <c:strRef>
              <c:f>Graphs!$C$18</c:f>
              <c:strCache>
                <c:ptCount val="1"/>
                <c:pt idx="0">
                  <c:v>DCC Allen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Graphs!$D$18:$H$18</c:f>
              <c:numCache>
                <c:formatCode>General</c:formatCode>
                <c:ptCount val="5"/>
                <c:pt idx="0">
                  <c:v>34.708737864077662</c:v>
                </c:pt>
                <c:pt idx="1">
                  <c:v>31.158273694696561</c:v>
                </c:pt>
                <c:pt idx="2">
                  <c:v>14.646823313017173</c:v>
                </c:pt>
                <c:pt idx="3">
                  <c:v>-1.0788364092050458</c:v>
                </c:pt>
                <c:pt idx="4">
                  <c:v>-1.0788364092050458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9DD-4D5A-A02D-275E2E09DFD8}"/>
            </c:ext>
          </c:extLst>
        </c:ser>
        <c:ser>
          <c:idx val="17"/>
          <c:order val="17"/>
          <c:tx>
            <c:strRef>
              <c:f>Graphs!$C$19</c:f>
              <c:strCache>
                <c:ptCount val="1"/>
                <c:pt idx="0">
                  <c:v>FC1 Fernandez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Graphs!$D$19:$H$19</c:f>
              <c:numCache>
                <c:formatCode>General</c:formatCode>
                <c:ptCount val="5"/>
                <c:pt idx="0">
                  <c:v>21.985436893203882</c:v>
                </c:pt>
                <c:pt idx="1">
                  <c:v>30.434972723822781</c:v>
                </c:pt>
                <c:pt idx="2">
                  <c:v>47.27695745664721</c:v>
                </c:pt>
                <c:pt idx="3">
                  <c:v>23.551297734424992</c:v>
                </c:pt>
                <c:pt idx="4">
                  <c:v>2.6451121056824718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9DD-4D5A-A02D-275E2E09DFD8}"/>
            </c:ext>
          </c:extLst>
        </c:ser>
        <c:ser>
          <c:idx val="18"/>
          <c:order val="18"/>
          <c:tx>
            <c:strRef>
              <c:f>Graphs!$C$20</c:f>
              <c:strCache>
                <c:ptCount val="1"/>
                <c:pt idx="0">
                  <c:v>LCDR  Kim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Graphs!$D$20:$H$20</c:f>
              <c:numCache>
                <c:formatCode>General</c:formatCode>
                <c:ptCount val="5"/>
                <c:pt idx="0">
                  <c:v>5</c:v>
                </c:pt>
                <c:pt idx="1">
                  <c:v>12.161290322580644</c:v>
                </c:pt>
                <c:pt idx="2">
                  <c:v>4.5612903225806463</c:v>
                </c:pt>
                <c:pt idx="3">
                  <c:v>7.2064516129032263</c:v>
                </c:pt>
                <c:pt idx="4">
                  <c:v>5.6064516129032267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9DD-4D5A-A02D-275E2E09DFD8}"/>
            </c:ext>
          </c:extLst>
        </c:ser>
        <c:ser>
          <c:idx val="19"/>
          <c:order val="19"/>
          <c:tx>
            <c:strRef>
              <c:f>Graphs!$C$21</c:f>
              <c:strCache>
                <c:ptCount val="1"/>
                <c:pt idx="0">
                  <c:v>LT Garcia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Graphs!$D$21:$H$21</c:f>
              <c:numCache>
                <c:formatCode>General</c:formatCode>
                <c:ptCount val="5"/>
                <c:pt idx="0">
                  <c:v>0</c:v>
                </c:pt>
                <c:pt idx="1">
                  <c:v>0.95619706840390961</c:v>
                </c:pt>
                <c:pt idx="2">
                  <c:v>15.001235236342843</c:v>
                </c:pt>
                <c:pt idx="3">
                  <c:v>14.034638014120631</c:v>
                </c:pt>
                <c:pt idx="4">
                  <c:v>-3.7217674502123543E-2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9DD-4D5A-A02D-275E2E09DFD8}"/>
            </c:ext>
          </c:extLst>
        </c:ser>
        <c:ser>
          <c:idx val="20"/>
          <c:order val="20"/>
          <c:tx>
            <c:strRef>
              <c:f>Graphs!$C$22</c:f>
              <c:strCache>
                <c:ptCount val="1"/>
                <c:pt idx="0">
                  <c:v>LT Graham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Graphs!$D$22:$H$22</c:f>
              <c:numCache>
                <c:formatCode>General</c:formatCode>
                <c:ptCount val="5"/>
                <c:pt idx="0">
                  <c:v>2.453883495145631</c:v>
                </c:pt>
                <c:pt idx="1">
                  <c:v>-15.336588817557951</c:v>
                </c:pt>
                <c:pt idx="2">
                  <c:v>-34.344222405344212</c:v>
                </c:pt>
                <c:pt idx="3">
                  <c:v>-28.413875183121988</c:v>
                </c:pt>
                <c:pt idx="4">
                  <c:v>-18.922191350786662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09DD-4D5A-A02D-275E2E09DFD8}"/>
            </c:ext>
          </c:extLst>
        </c:ser>
        <c:ser>
          <c:idx val="21"/>
          <c:order val="21"/>
          <c:tx>
            <c:strRef>
              <c:f>Graphs!$C$23</c:f>
              <c:strCache>
                <c:ptCount val="1"/>
                <c:pt idx="0">
                  <c:v>LT Decker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Graphs!$D$23:$H$23</c:f>
              <c:numCache>
                <c:formatCode>General</c:formatCode>
                <c:ptCount val="5"/>
                <c:pt idx="0">
                  <c:v>0</c:v>
                </c:pt>
                <c:pt idx="1">
                  <c:v>-9.5809446254071631</c:v>
                </c:pt>
                <c:pt idx="2">
                  <c:v>-26.137433175025485</c:v>
                </c:pt>
                <c:pt idx="3">
                  <c:v>-8.2070859528032614</c:v>
                </c:pt>
                <c:pt idx="4">
                  <c:v>8.522123628035061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09DD-4D5A-A02D-275E2E09DFD8}"/>
            </c:ext>
          </c:extLst>
        </c:ser>
        <c:ser>
          <c:idx val="22"/>
          <c:order val="22"/>
          <c:tx>
            <c:strRef>
              <c:f>Graphs!$C$24</c:f>
              <c:strCache>
                <c:ptCount val="1"/>
                <c:pt idx="0">
                  <c:v>STGC Placencia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Graphs!$D$24:$H$24</c:f>
              <c:numCache>
                <c:formatCode>General</c:formatCode>
                <c:ptCount val="5"/>
                <c:pt idx="0">
                  <c:v>-13.83009708737864</c:v>
                </c:pt>
                <c:pt idx="1">
                  <c:v>-12.485325100407955</c:v>
                </c:pt>
                <c:pt idx="2">
                  <c:v>-23.492958688194214</c:v>
                </c:pt>
                <c:pt idx="3">
                  <c:v>-23.148965632638657</c:v>
                </c:pt>
                <c:pt idx="4">
                  <c:v>-3.4749794050937481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09DD-4D5A-A02D-275E2E09DFD8}"/>
            </c:ext>
          </c:extLst>
        </c:ser>
        <c:ser>
          <c:idx val="23"/>
          <c:order val="23"/>
          <c:tx>
            <c:strRef>
              <c:f>Graphs!$C$25</c:f>
              <c:strCache>
                <c:ptCount val="1"/>
                <c:pt idx="0">
                  <c:v>OS1 Lara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Graphs!$D$25:$H$25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0.3439930555555577</c:v>
                </c:pt>
                <c:pt idx="4">
                  <c:v>12.017979283100466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09DD-4D5A-A02D-275E2E09DFD8}"/>
            </c:ext>
          </c:extLst>
        </c:ser>
        <c:ser>
          <c:idx val="24"/>
          <c:order val="24"/>
          <c:tx>
            <c:strRef>
              <c:f>Graphs!$C$26</c:f>
              <c:strCache>
                <c:ptCount val="1"/>
                <c:pt idx="0">
                  <c:v>ITC Antero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Graphs!$D$26:$H$26</c:f>
              <c:numCache>
                <c:formatCode>General</c:formatCode>
                <c:ptCount val="5"/>
                <c:pt idx="0">
                  <c:v>-13.645631067961169</c:v>
                </c:pt>
                <c:pt idx="1">
                  <c:v>-27.584670155909045</c:v>
                </c:pt>
                <c:pt idx="2">
                  <c:v>-27.344212140641865</c:v>
                </c:pt>
                <c:pt idx="3">
                  <c:v>8.3786003593581384</c:v>
                </c:pt>
                <c:pt idx="4">
                  <c:v>1.5442704192383729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09DD-4D5A-A02D-275E2E09DFD8}"/>
            </c:ext>
          </c:extLst>
        </c:ser>
        <c:ser>
          <c:idx val="25"/>
          <c:order val="25"/>
          <c:tx>
            <c:strRef>
              <c:f>Graphs!$C$27</c:f>
              <c:strCache>
                <c:ptCount val="1"/>
                <c:pt idx="0">
                  <c:v>ITCS Valencia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Graphs!$D$27:$H$27</c:f>
              <c:numCache>
                <c:formatCode>General</c:formatCode>
                <c:ptCount val="5"/>
                <c:pt idx="0">
                  <c:v>-1.3762135922330074</c:v>
                </c:pt>
                <c:pt idx="1">
                  <c:v>-26.926677761614108</c:v>
                </c:pt>
                <c:pt idx="2">
                  <c:v>18.561871856706503</c:v>
                </c:pt>
                <c:pt idx="3">
                  <c:v>48.492219078928727</c:v>
                </c:pt>
                <c:pt idx="4">
                  <c:v>35.586033450186207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09DD-4D5A-A02D-275E2E09DFD8}"/>
            </c:ext>
          </c:extLst>
        </c:ser>
        <c:ser>
          <c:idx val="26"/>
          <c:order val="26"/>
          <c:tx>
            <c:strRef>
              <c:f>Graphs!$C$28</c:f>
              <c:strCache>
                <c:ptCount val="1"/>
                <c:pt idx="0">
                  <c:v>IT1 Lucas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Graphs!$D$28:$H$28</c:f>
              <c:numCache>
                <c:formatCode>General</c:formatCode>
                <c:ptCount val="5"/>
                <c:pt idx="0">
                  <c:v>-11.106796116504853</c:v>
                </c:pt>
                <c:pt idx="1">
                  <c:v>1.342739714114046</c:v>
                </c:pt>
                <c:pt idx="2">
                  <c:v>23.583197729381226</c:v>
                </c:pt>
                <c:pt idx="3">
                  <c:v>-18.556107826174326</c:v>
                </c:pt>
                <c:pt idx="4">
                  <c:v>3.3720364852029192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09DD-4D5A-A02D-275E2E09DFD8}"/>
            </c:ext>
          </c:extLst>
        </c:ser>
        <c:ser>
          <c:idx val="27"/>
          <c:order val="27"/>
          <c:tx>
            <c:strRef>
              <c:f>Graphs!$C$29</c:f>
              <c:strCache>
                <c:ptCount val="1"/>
                <c:pt idx="0">
                  <c:v>LCDR  DeSormier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Graphs!$D$29:$H$29</c:f>
              <c:numCache>
                <c:formatCode>General</c:formatCode>
                <c:ptCount val="5"/>
                <c:pt idx="0">
                  <c:v>-8</c:v>
                </c:pt>
                <c:pt idx="1">
                  <c:v>-5.4193548387096797</c:v>
                </c:pt>
                <c:pt idx="2">
                  <c:v>2.3139784946236546</c:v>
                </c:pt>
                <c:pt idx="3">
                  <c:v>5.7978494623655905</c:v>
                </c:pt>
                <c:pt idx="4">
                  <c:v>-19.002150537634407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09DD-4D5A-A02D-275E2E09DFD8}"/>
            </c:ext>
          </c:extLst>
        </c:ser>
        <c:ser>
          <c:idx val="28"/>
          <c:order val="28"/>
          <c:tx>
            <c:strRef>
              <c:f>Graphs!$C$30</c:f>
              <c:strCache>
                <c:ptCount val="1"/>
                <c:pt idx="0">
                  <c:v>BMC Fuentes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Graphs!$D$30:$H$30</c:f>
              <c:numCache>
                <c:formatCode>General</c:formatCode>
                <c:ptCount val="5"/>
                <c:pt idx="0">
                  <c:v>26.708737864077662</c:v>
                </c:pt>
                <c:pt idx="1">
                  <c:v>30.411604313589059</c:v>
                </c:pt>
                <c:pt idx="2">
                  <c:v>37.900153931909671</c:v>
                </c:pt>
                <c:pt idx="3">
                  <c:v>0.17449420968745244</c:v>
                </c:pt>
                <c:pt idx="4">
                  <c:v>-10.731691419055068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09DD-4D5A-A02D-275E2E09DFD8}"/>
            </c:ext>
          </c:extLst>
        </c:ser>
        <c:ser>
          <c:idx val="29"/>
          <c:order val="29"/>
          <c:tx>
            <c:strRef>
              <c:f>Graphs!$C$31</c:f>
              <c:strCache>
                <c:ptCount val="1"/>
                <c:pt idx="0">
                  <c:v>LTJG Moore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Graphs!$D$31:$H$31</c:f>
              <c:numCache>
                <c:formatCode>General</c:formatCode>
                <c:ptCount val="5"/>
                <c:pt idx="0">
                  <c:v>-16.099514563106798</c:v>
                </c:pt>
                <c:pt idx="1">
                  <c:v>-13.859506419784321</c:v>
                </c:pt>
                <c:pt idx="2">
                  <c:v>-2.7167583281812675</c:v>
                </c:pt>
                <c:pt idx="3">
                  <c:v>-21.131827772625709</c:v>
                </c:pt>
                <c:pt idx="4">
                  <c:v>-4.1484601079550565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09DD-4D5A-A02D-275E2E09DFD8}"/>
            </c:ext>
          </c:extLst>
        </c:ser>
        <c:ser>
          <c:idx val="30"/>
          <c:order val="30"/>
          <c:tx>
            <c:strRef>
              <c:f>Graphs!$C$32</c:f>
              <c:strCache>
                <c:ptCount val="1"/>
                <c:pt idx="0">
                  <c:v>LT Parra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Graphs!$D$32:$H$32</c:f>
              <c:numCache>
                <c:formatCode>General</c:formatCode>
                <c:ptCount val="5"/>
                <c:pt idx="0">
                  <c:v>10.708737864077662</c:v>
                </c:pt>
                <c:pt idx="1">
                  <c:v>2.2325570823187064</c:v>
                </c:pt>
                <c:pt idx="2">
                  <c:v>-1.2262215436354964</c:v>
                </c:pt>
                <c:pt idx="3">
                  <c:v>-2.3307007103021604</c:v>
                </c:pt>
                <c:pt idx="4">
                  <c:v>18.652666954368492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09DD-4D5A-A02D-275E2E09DFD8}"/>
            </c:ext>
          </c:extLst>
        </c:ser>
        <c:ser>
          <c:idx val="31"/>
          <c:order val="31"/>
          <c:tx>
            <c:strRef>
              <c:f>Graphs!$C$33</c:f>
              <c:strCache>
                <c:ptCount val="1"/>
                <c:pt idx="0">
                  <c:v>GMC Bartelmey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Graphs!$D$1:$H$1</c:f>
              <c:strCache>
                <c:ptCount val="5"/>
                <c:pt idx="0">
                  <c:v>Feb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</c:strCache>
            </c:strRef>
          </c:xVal>
          <c:yVal>
            <c:numRef>
              <c:f>Graphs!$D$33:$H$33</c:f>
              <c:numCache>
                <c:formatCode>General</c:formatCode>
                <c:ptCount val="5"/>
                <c:pt idx="0">
                  <c:v>-22.922330097087382</c:v>
                </c:pt>
                <c:pt idx="1">
                  <c:v>-3.219463647575985</c:v>
                </c:pt>
                <c:pt idx="2">
                  <c:v>-25.324807159026367</c:v>
                </c:pt>
                <c:pt idx="3">
                  <c:v>7.570713674306969</c:v>
                </c:pt>
                <c:pt idx="4">
                  <c:v>27.355146608438712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09DD-4D5A-A02D-275E2E09DFD8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37736967"/>
        <c:axId val="1437739527"/>
      </c:scatterChart>
      <c:valAx>
        <c:axId val="1437736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Rolling Sum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39527"/>
        <c:crosses val="autoZero"/>
        <c:crossBetween val="midCat"/>
      </c:valAx>
      <c:valAx>
        <c:axId val="1437739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36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600075</xdr:colOff>
      <xdr:row>95</xdr:row>
      <xdr:rowOff>104775</xdr:rowOff>
    </xdr:from>
    <xdr:to>
      <xdr:col>24</xdr:col>
      <xdr:colOff>400050</xdr:colOff>
      <xdr:row>118</xdr:row>
      <xdr:rowOff>133350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28E05B0E-A723-493F-8F0B-E0F1B1E99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581025</xdr:colOff>
      <xdr:row>1</xdr:row>
      <xdr:rowOff>47625</xdr:rowOff>
    </xdr:from>
    <xdr:to>
      <xdr:col>13</xdr:col>
      <xdr:colOff>1304925</xdr:colOff>
      <xdr:row>1</xdr:row>
      <xdr:rowOff>771525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CEC70-9425-412B-9D1A-C61401D8BF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7063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161925</xdr:colOff>
      <xdr:row>1</xdr:row>
      <xdr:rowOff>771525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32E581-96EE-440D-8E74-A0DE0B5414DA}"/>
            </a:ext>
            <a:ext uri="{147F2762-F138-4A5C-976F-8EAC2B608ADB}">
              <a16:predDERef xmlns:a16="http://schemas.microsoft.com/office/drawing/2014/main" pred="{BE9CEC70-9425-412B-9D1A-C61401D8BF0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400050</xdr:colOff>
      <xdr:row>1</xdr:row>
      <xdr:rowOff>942975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7F6119-18C7-4856-A9FA-70C8A5443F71}"/>
            </a:ext>
            <a:ext uri="{147F2762-F138-4A5C-976F-8EAC2B608ADB}">
              <a16:predDERef xmlns:a16="http://schemas.microsoft.com/office/drawing/2014/main" pred="{9D32E581-96EE-440D-8E74-A0DE0B5414D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9620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361950</xdr:colOff>
      <xdr:row>1</xdr:row>
      <xdr:rowOff>47625</xdr:rowOff>
    </xdr:from>
    <xdr:to>
      <xdr:col>13</xdr:col>
      <xdr:colOff>1323975</xdr:colOff>
      <xdr:row>1</xdr:row>
      <xdr:rowOff>942975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E4BCBD-E62A-452A-A1E2-328071352CF6}"/>
            </a:ext>
            <a:ext uri="{147F2762-F138-4A5C-976F-8EAC2B608ADB}">
              <a16:predDERef xmlns:a16="http://schemas.microsoft.com/office/drawing/2014/main" pred="{E97F6119-18C7-4856-A9FA-70C8A5443F7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87275" y="381000"/>
          <a:ext cx="962025" cy="89535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581025</xdr:colOff>
      <xdr:row>1</xdr:row>
      <xdr:rowOff>47625</xdr:rowOff>
    </xdr:from>
    <xdr:to>
      <xdr:col>13</xdr:col>
      <xdr:colOff>1304925</xdr:colOff>
      <xdr:row>1</xdr:row>
      <xdr:rowOff>771525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99852-C113-4B71-9F59-46CC1697EB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7063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161925</xdr:colOff>
      <xdr:row>1</xdr:row>
      <xdr:rowOff>771525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E964FB-613D-4469-84B5-B8B5DAD7BFD8}"/>
            </a:ext>
            <a:ext uri="{147F2762-F138-4A5C-976F-8EAC2B608ADB}">
              <a16:predDERef xmlns:a16="http://schemas.microsoft.com/office/drawing/2014/main" pred="{8C499852-C113-4B71-9F59-46CC1697EB5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400050</xdr:colOff>
      <xdr:row>1</xdr:row>
      <xdr:rowOff>942975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192529-22CB-4003-8F51-43136208798D}"/>
            </a:ext>
            <a:ext uri="{147F2762-F138-4A5C-976F-8EAC2B608ADB}">
              <a16:predDERef xmlns:a16="http://schemas.microsoft.com/office/drawing/2014/main" pred="{99E964FB-613D-4469-84B5-B8B5DAD7BFD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9620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361950</xdr:colOff>
      <xdr:row>1</xdr:row>
      <xdr:rowOff>47625</xdr:rowOff>
    </xdr:from>
    <xdr:to>
      <xdr:col>13</xdr:col>
      <xdr:colOff>1323975</xdr:colOff>
      <xdr:row>1</xdr:row>
      <xdr:rowOff>942975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979762-70AA-44CD-947A-7E9ECC72652D}"/>
            </a:ext>
            <a:ext uri="{147F2762-F138-4A5C-976F-8EAC2B608ADB}">
              <a16:predDERef xmlns:a16="http://schemas.microsoft.com/office/drawing/2014/main" pred="{40192529-22CB-4003-8F51-4313620879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87275" y="381000"/>
          <a:ext cx="962025" cy="8953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581025</xdr:colOff>
      <xdr:row>1</xdr:row>
      <xdr:rowOff>47625</xdr:rowOff>
    </xdr:from>
    <xdr:to>
      <xdr:col>13</xdr:col>
      <xdr:colOff>1304925</xdr:colOff>
      <xdr:row>1</xdr:row>
      <xdr:rowOff>771525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CD535A-9013-4E35-BEAE-DD1EDAC2FE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7063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161925</xdr:colOff>
      <xdr:row>1</xdr:row>
      <xdr:rowOff>771525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F0603F-B4ED-48D9-906D-0E09AE68C212}"/>
            </a:ext>
            <a:ext uri="{147F2762-F138-4A5C-976F-8EAC2B608ADB}">
              <a16:predDERef xmlns:a16="http://schemas.microsoft.com/office/drawing/2014/main" pred="{43CD535A-9013-4E35-BEAE-DD1EDAC2FE6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723900" cy="723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</xdr:row>
      <xdr:rowOff>47625</xdr:rowOff>
    </xdr:from>
    <xdr:to>
      <xdr:col>1</xdr:col>
      <xdr:colOff>400050</xdr:colOff>
      <xdr:row>1</xdr:row>
      <xdr:rowOff>942975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F5B84-ECDB-4A19-9B3E-B011F7BDADC4}"/>
            </a:ext>
            <a:ext uri="{147F2762-F138-4A5C-976F-8EAC2B608ADB}">
              <a16:predDERef xmlns:a16="http://schemas.microsoft.com/office/drawing/2014/main" pred="{9FF0603F-B4ED-48D9-906D-0E09AE68C2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381000"/>
          <a:ext cx="9620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361950</xdr:colOff>
      <xdr:row>1</xdr:row>
      <xdr:rowOff>47625</xdr:rowOff>
    </xdr:from>
    <xdr:to>
      <xdr:col>13</xdr:col>
      <xdr:colOff>1323975</xdr:colOff>
      <xdr:row>1</xdr:row>
      <xdr:rowOff>942975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FFDD48-57D6-4E21-982C-15A9D3D6FEE2}"/>
            </a:ext>
            <a:ext uri="{147F2762-F138-4A5C-976F-8EAC2B608ADB}">
              <a16:predDERef xmlns:a16="http://schemas.microsoft.com/office/drawing/2014/main" pred="{6A0F5B84-ECDB-4A19-9B3E-B011F7BDAD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87275" y="381000"/>
          <a:ext cx="962025" cy="8953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33</xdr:row>
      <xdr:rowOff>104775</xdr:rowOff>
    </xdr:from>
    <xdr:to>
      <xdr:col>28</xdr:col>
      <xdr:colOff>152400</xdr:colOff>
      <xdr:row>102</xdr:row>
      <xdr:rowOff>47625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1F764AD-43C4-0F9D-F098-805D4D775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Woewiyu, Monconjay T Sr LCDR USN (USA)" id="{2C876879-341D-4484-960F-2EA31F97F867}" userId="S::monconjay.t.woewiyu.mil@mail.mil::d39a185d-69dc-4319-bc08-b78743fed14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25" dT="2023-01-24T03:35:06.62" personId="{2C876879-341D-4484-960F-2EA31F97F867}" id="{2A8ED815-F8B1-440D-A7B2-7A0E0BD90C8C}">
    <text>Virtual most likely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8C40-0490-41F9-B45E-B702BF59E7D5}">
  <dimension ref="A1:J14"/>
  <sheetViews>
    <sheetView workbookViewId="0">
      <selection activeCell="A8" sqref="A8"/>
    </sheetView>
  </sheetViews>
  <sheetFormatPr defaultRowHeight="15"/>
  <cols>
    <col min="1" max="1" width="19.7109375" customWidth="1"/>
    <col min="7" max="7" width="10.28515625" customWidth="1"/>
    <col min="10" max="10" width="14" customWidth="1"/>
    <col min="14" max="14" width="10.85546875" bestFit="1" customWidth="1"/>
  </cols>
  <sheetData>
    <row r="1" spans="1:10">
      <c r="A1" s="3863" t="s">
        <v>0</v>
      </c>
      <c r="B1" s="3864"/>
      <c r="C1" s="3864"/>
      <c r="D1" s="3864"/>
      <c r="E1" s="3864"/>
      <c r="F1" s="3864"/>
      <c r="G1" s="3864"/>
      <c r="H1" s="3864"/>
      <c r="I1" s="3864"/>
      <c r="J1" s="3865"/>
    </row>
    <row r="2" spans="1:10">
      <c r="A2" s="3866" t="s">
        <v>1</v>
      </c>
      <c r="B2" s="3867"/>
      <c r="C2" s="3867"/>
      <c r="D2" s="3867"/>
      <c r="E2" s="3867"/>
      <c r="F2" s="3867"/>
      <c r="G2" s="3867"/>
      <c r="H2" s="3867"/>
      <c r="I2" s="3867"/>
      <c r="J2" s="3868"/>
    </row>
    <row r="3" spans="1:10">
      <c r="A3" s="281" t="s">
        <v>2</v>
      </c>
      <c r="B3" s="281" t="s">
        <v>3</v>
      </c>
      <c r="C3" s="281" t="s">
        <v>4</v>
      </c>
      <c r="D3" s="281" t="s">
        <v>5</v>
      </c>
      <c r="E3" s="281" t="s">
        <v>6</v>
      </c>
      <c r="F3" s="281" t="s">
        <v>7</v>
      </c>
      <c r="G3" s="281" t="s">
        <v>8</v>
      </c>
      <c r="H3" s="281" t="s">
        <v>9</v>
      </c>
      <c r="I3" s="281" t="s">
        <v>10</v>
      </c>
      <c r="J3" s="281" t="s">
        <v>11</v>
      </c>
    </row>
    <row r="4" spans="1:10">
      <c r="A4" s="280" t="s">
        <v>12</v>
      </c>
      <c r="B4" s="325" t="s">
        <v>13</v>
      </c>
      <c r="C4" s="326">
        <v>44886</v>
      </c>
      <c r="D4" s="326">
        <v>44848</v>
      </c>
      <c r="E4" s="327"/>
      <c r="F4" s="326">
        <v>44886</v>
      </c>
      <c r="G4" s="325" t="s">
        <v>14</v>
      </c>
      <c r="H4" s="326">
        <v>44896</v>
      </c>
      <c r="I4" s="326">
        <v>44897</v>
      </c>
      <c r="J4" s="326">
        <v>44565</v>
      </c>
    </row>
    <row r="5" spans="1:10">
      <c r="A5" s="280" t="s">
        <v>15</v>
      </c>
      <c r="B5" s="325" t="s">
        <v>13</v>
      </c>
      <c r="C5" s="326">
        <v>44858</v>
      </c>
      <c r="D5" s="328"/>
      <c r="E5" s="325" t="s">
        <v>16</v>
      </c>
      <c r="F5" s="326">
        <v>44854</v>
      </c>
      <c r="G5" s="325" t="s">
        <v>17</v>
      </c>
      <c r="H5" s="326">
        <v>44880</v>
      </c>
      <c r="I5" s="326">
        <v>44887</v>
      </c>
      <c r="J5" s="326">
        <v>44901</v>
      </c>
    </row>
    <row r="6" spans="1:10">
      <c r="A6" s="280" t="s">
        <v>18</v>
      </c>
      <c r="B6" s="332" t="s">
        <v>19</v>
      </c>
      <c r="C6" s="331"/>
      <c r="D6" s="329"/>
      <c r="E6" s="329"/>
      <c r="F6" s="330"/>
      <c r="G6" s="325" t="s">
        <v>20</v>
      </c>
      <c r="H6" s="328"/>
      <c r="I6" s="328"/>
      <c r="J6" s="326">
        <v>44886</v>
      </c>
    </row>
    <row r="7" spans="1:10">
      <c r="A7" s="280" t="s">
        <v>21</v>
      </c>
      <c r="B7" s="325" t="s">
        <v>13</v>
      </c>
      <c r="C7" s="326">
        <v>44898</v>
      </c>
      <c r="D7" s="326">
        <v>44861</v>
      </c>
      <c r="E7" s="328"/>
      <c r="F7" s="326">
        <v>44910</v>
      </c>
      <c r="G7" s="326">
        <v>44895</v>
      </c>
      <c r="H7" s="326">
        <v>44916</v>
      </c>
      <c r="I7" s="326">
        <v>44564</v>
      </c>
      <c r="J7" s="326">
        <v>44579</v>
      </c>
    </row>
    <row r="8" spans="1:10">
      <c r="A8" s="280" t="s">
        <v>22</v>
      </c>
      <c r="B8" s="325"/>
      <c r="C8" s="325"/>
      <c r="D8" s="325"/>
      <c r="E8" s="325"/>
      <c r="F8" s="326">
        <v>44866</v>
      </c>
      <c r="G8" s="325"/>
      <c r="H8" s="325"/>
      <c r="I8" s="325"/>
      <c r="J8" s="325"/>
    </row>
    <row r="9" spans="1:10">
      <c r="A9" s="3869" t="s">
        <v>23</v>
      </c>
      <c r="B9" s="3869"/>
      <c r="C9" s="3869"/>
      <c r="D9" s="3869"/>
      <c r="E9" s="3869"/>
      <c r="F9" s="3869"/>
      <c r="G9" s="3869"/>
      <c r="H9" s="3869"/>
      <c r="I9" s="3869"/>
      <c r="J9" s="3869"/>
    </row>
    <row r="10" spans="1:10">
      <c r="A10" s="282" t="s">
        <v>24</v>
      </c>
      <c r="B10" s="282" t="s">
        <v>3</v>
      </c>
      <c r="C10" s="282"/>
      <c r="D10" s="282" t="s">
        <v>5</v>
      </c>
      <c r="E10" s="282"/>
      <c r="F10" s="282"/>
      <c r="G10" s="282" t="s">
        <v>8</v>
      </c>
      <c r="H10" s="282" t="s">
        <v>9</v>
      </c>
      <c r="I10" s="282" t="s">
        <v>10</v>
      </c>
      <c r="J10" s="282" t="s">
        <v>11</v>
      </c>
    </row>
    <row r="11" spans="1:10">
      <c r="A11" s="280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280" t="s">
        <v>26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280" t="s">
        <v>27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280" t="s">
        <v>28</v>
      </c>
      <c r="B14" s="2"/>
      <c r="C14" s="2"/>
      <c r="D14" s="2"/>
      <c r="E14" s="2"/>
      <c r="F14" s="2"/>
      <c r="G14" s="2"/>
      <c r="H14" s="2"/>
      <c r="I14" s="2"/>
      <c r="J14" s="2"/>
    </row>
  </sheetData>
  <mergeCells count="3">
    <mergeCell ref="A1:J1"/>
    <mergeCell ref="A2:J2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53"/>
  <sheetViews>
    <sheetView workbookViewId="0">
      <selection activeCell="G11" sqref="G11"/>
    </sheetView>
  </sheetViews>
  <sheetFormatPr defaultRowHeight="15"/>
  <cols>
    <col min="2" max="2" width="8.5703125" bestFit="1" customWidth="1"/>
    <col min="3" max="3" width="11.28515625" bestFit="1" customWidth="1"/>
    <col min="12" max="12" width="10.5703125" customWidth="1"/>
    <col min="16" max="16" width="8.85546875" customWidth="1"/>
  </cols>
  <sheetData>
    <row r="1" spans="1:33" ht="15.75">
      <c r="A1" s="3932" t="s">
        <v>29</v>
      </c>
      <c r="B1" s="3932"/>
      <c r="C1" s="3932"/>
      <c r="D1" s="3933" t="s">
        <v>30</v>
      </c>
      <c r="E1" s="3933"/>
      <c r="F1" s="3933"/>
      <c r="G1" s="3933"/>
      <c r="H1" s="3933"/>
      <c r="I1" s="3933"/>
      <c r="J1" s="3933"/>
      <c r="K1" s="3933"/>
      <c r="L1" s="3933"/>
      <c r="M1" s="3933"/>
      <c r="N1" s="3933"/>
      <c r="O1" s="3933"/>
      <c r="P1" s="3933"/>
      <c r="Q1" s="3933"/>
      <c r="R1" s="3933"/>
      <c r="S1" s="3933"/>
      <c r="T1" s="3933"/>
      <c r="U1" s="3933"/>
      <c r="V1" s="3933"/>
      <c r="W1" s="3933"/>
      <c r="X1" s="3933"/>
      <c r="Y1" s="3933"/>
      <c r="Z1" s="3933"/>
      <c r="AA1" s="3933"/>
      <c r="AB1" s="3933"/>
      <c r="AC1" s="3933"/>
      <c r="AD1" s="3933"/>
      <c r="AE1" s="3933"/>
      <c r="AF1" s="3933"/>
      <c r="AG1" s="3934"/>
    </row>
    <row r="2" spans="1:33" ht="15.75">
      <c r="A2" s="3932" t="s">
        <v>31</v>
      </c>
      <c r="B2" s="3932"/>
      <c r="C2" s="3932"/>
      <c r="D2" s="3557">
        <v>1</v>
      </c>
      <c r="E2" s="3557">
        <v>2</v>
      </c>
      <c r="F2" s="3557">
        <v>3</v>
      </c>
      <c r="G2" s="3557">
        <v>4</v>
      </c>
      <c r="H2" s="3557">
        <v>5</v>
      </c>
      <c r="I2" s="3557">
        <v>6</v>
      </c>
      <c r="J2" s="3557">
        <v>7</v>
      </c>
      <c r="K2" s="3557">
        <v>8</v>
      </c>
      <c r="L2" s="3557">
        <v>9</v>
      </c>
      <c r="M2" s="3557">
        <v>10</v>
      </c>
      <c r="N2" s="3557">
        <v>11</v>
      </c>
      <c r="O2" s="3557">
        <v>12</v>
      </c>
      <c r="P2" s="3557">
        <v>13</v>
      </c>
      <c r="Q2" s="3557">
        <v>14</v>
      </c>
      <c r="R2" s="3557">
        <v>15</v>
      </c>
      <c r="S2" s="3557">
        <v>16</v>
      </c>
      <c r="T2" s="3557">
        <v>17</v>
      </c>
      <c r="U2" s="3557">
        <v>18</v>
      </c>
      <c r="V2" s="3557">
        <v>19</v>
      </c>
      <c r="W2" s="3557">
        <v>20</v>
      </c>
      <c r="X2" s="3557">
        <v>21</v>
      </c>
      <c r="Y2" s="3557">
        <v>22</v>
      </c>
      <c r="Z2" s="3557">
        <v>23</v>
      </c>
      <c r="AA2" s="3557">
        <v>24</v>
      </c>
      <c r="AB2" s="3557">
        <v>25</v>
      </c>
      <c r="AC2" s="3557">
        <v>26</v>
      </c>
      <c r="AD2" s="3557">
        <v>27</v>
      </c>
      <c r="AE2" s="3557">
        <v>28</v>
      </c>
      <c r="AF2" s="3557">
        <v>29</v>
      </c>
      <c r="AG2" s="358">
        <v>30</v>
      </c>
    </row>
    <row r="3" spans="1:33" ht="15.75">
      <c r="A3" s="3932" t="s">
        <v>32</v>
      </c>
      <c r="B3" s="3932"/>
      <c r="C3" s="3932"/>
      <c r="D3" s="101" t="s">
        <v>33</v>
      </c>
      <c r="E3" s="101" t="s">
        <v>34</v>
      </c>
      <c r="F3" s="101" t="s">
        <v>33</v>
      </c>
      <c r="G3" s="101" t="s">
        <v>35</v>
      </c>
      <c r="H3" s="333" t="s">
        <v>36</v>
      </c>
      <c r="I3" s="333" t="s">
        <v>36</v>
      </c>
      <c r="J3" s="101" t="s">
        <v>37</v>
      </c>
      <c r="K3" s="101" t="s">
        <v>33</v>
      </c>
      <c r="L3" s="101" t="s">
        <v>34</v>
      </c>
      <c r="M3" s="101" t="s">
        <v>33</v>
      </c>
      <c r="N3" s="334" t="s">
        <v>35</v>
      </c>
      <c r="O3" s="333" t="s">
        <v>36</v>
      </c>
      <c r="P3" s="333" t="s">
        <v>36</v>
      </c>
      <c r="Q3" s="101" t="s">
        <v>37</v>
      </c>
      <c r="R3" s="101" t="s">
        <v>33</v>
      </c>
      <c r="S3" s="101" t="s">
        <v>34</v>
      </c>
      <c r="T3" s="101" t="s">
        <v>33</v>
      </c>
      <c r="U3" s="101" t="s">
        <v>35</v>
      </c>
      <c r="V3" s="333" t="s">
        <v>36</v>
      </c>
      <c r="W3" s="333" t="s">
        <v>36</v>
      </c>
      <c r="X3" s="101" t="s">
        <v>37</v>
      </c>
      <c r="Y3" s="101" t="s">
        <v>33</v>
      </c>
      <c r="Z3" s="101" t="s">
        <v>34</v>
      </c>
      <c r="AA3" s="334" t="s">
        <v>33</v>
      </c>
      <c r="AB3" s="101" t="s">
        <v>35</v>
      </c>
      <c r="AC3" s="333" t="s">
        <v>36</v>
      </c>
      <c r="AD3" s="333" t="s">
        <v>36</v>
      </c>
      <c r="AE3" s="101" t="s">
        <v>37</v>
      </c>
      <c r="AF3" s="101" t="s">
        <v>33</v>
      </c>
      <c r="AG3" s="359" t="s">
        <v>34</v>
      </c>
    </row>
    <row r="4" spans="1:33" s="1" customFormat="1" ht="15.75">
      <c r="A4" s="3935" t="s">
        <v>38</v>
      </c>
      <c r="B4" s="3936"/>
      <c r="C4" s="3937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3941" t="s">
        <v>39</v>
      </c>
      <c r="O4" s="3941"/>
      <c r="P4" s="3941"/>
      <c r="Q4" s="171"/>
      <c r="R4" s="171"/>
      <c r="S4" s="171"/>
      <c r="T4" s="171"/>
      <c r="U4" s="171"/>
      <c r="V4" s="171"/>
      <c r="W4" s="171"/>
      <c r="X4" s="171"/>
      <c r="Y4" s="171"/>
      <c r="Z4" s="572" t="s">
        <v>40</v>
      </c>
      <c r="AA4" s="3938" t="s">
        <v>41</v>
      </c>
      <c r="AB4" s="3938"/>
      <c r="AC4" s="3938"/>
      <c r="AD4" s="3938"/>
      <c r="AE4" s="171"/>
      <c r="AF4" s="171"/>
      <c r="AG4" s="305"/>
    </row>
    <row r="5" spans="1:33" s="1" customFormat="1" ht="15.75">
      <c r="A5" s="3939" t="s">
        <v>42</v>
      </c>
      <c r="B5" s="3940"/>
      <c r="C5" s="3940"/>
      <c r="D5" s="573" t="s">
        <v>43</v>
      </c>
      <c r="E5" s="117" t="s">
        <v>9</v>
      </c>
      <c r="F5" s="171"/>
      <c r="G5" s="171"/>
      <c r="H5" s="171"/>
      <c r="I5" s="3560" t="s">
        <v>44</v>
      </c>
      <c r="J5" s="171"/>
      <c r="K5" s="171"/>
      <c r="L5" s="103" t="s">
        <v>45</v>
      </c>
      <c r="M5" s="3942" t="s">
        <v>46</v>
      </c>
      <c r="N5" s="3942"/>
      <c r="O5" s="3942"/>
      <c r="P5" s="3942"/>
      <c r="Q5" s="3942"/>
      <c r="R5" s="3942"/>
      <c r="S5" s="3942"/>
      <c r="T5" s="3942"/>
      <c r="U5" s="3942"/>
      <c r="V5" s="3942"/>
      <c r="W5" s="3942"/>
      <c r="X5" s="3942"/>
      <c r="Y5" s="3942"/>
      <c r="Z5" s="3929" t="s">
        <v>47</v>
      </c>
      <c r="AA5" s="3930"/>
      <c r="AB5" s="3560" t="s">
        <v>48</v>
      </c>
      <c r="AC5" s="3929" t="s">
        <v>47</v>
      </c>
      <c r="AD5" s="3931"/>
      <c r="AE5" s="3931"/>
      <c r="AF5" s="3930"/>
      <c r="AG5" s="353"/>
    </row>
    <row r="6" spans="1:33" s="1" customFormat="1" ht="15.75">
      <c r="A6" s="3953" t="s">
        <v>49</v>
      </c>
      <c r="B6" s="3954"/>
      <c r="C6" s="3954"/>
      <c r="D6" s="171"/>
      <c r="E6" s="3955" t="s">
        <v>46</v>
      </c>
      <c r="F6" s="3956"/>
      <c r="G6" s="3956"/>
      <c r="H6" s="3956"/>
      <c r="I6" s="3956"/>
      <c r="J6" s="3957"/>
      <c r="K6" s="3559" t="s">
        <v>44</v>
      </c>
      <c r="L6" s="3955" t="s">
        <v>46</v>
      </c>
      <c r="M6" s="3956"/>
      <c r="N6" s="3956"/>
      <c r="O6" s="3956"/>
      <c r="P6" s="3956"/>
      <c r="Q6" s="3956"/>
      <c r="R6" s="3957"/>
      <c r="S6" s="171"/>
      <c r="T6" s="171"/>
      <c r="U6" s="171"/>
      <c r="V6" s="171"/>
      <c r="W6" s="171"/>
      <c r="X6" s="3943" t="s">
        <v>50</v>
      </c>
      <c r="Y6" s="3943"/>
      <c r="Z6" s="3943"/>
      <c r="AA6" s="3943"/>
      <c r="AB6" s="3943"/>
      <c r="AC6" s="3943"/>
      <c r="AD6" s="3943"/>
      <c r="AE6" s="3943"/>
      <c r="AF6" s="3943"/>
      <c r="AG6" s="3944"/>
    </row>
    <row r="7" spans="1:33" s="1" customFormat="1" ht="15.75">
      <c r="A7" s="3958" t="s">
        <v>51</v>
      </c>
      <c r="B7" s="3959"/>
      <c r="C7" s="3959"/>
      <c r="D7" s="171"/>
      <c r="E7" s="366"/>
      <c r="F7" s="381" t="s">
        <v>52</v>
      </c>
      <c r="G7" s="366"/>
      <c r="H7" s="366"/>
      <c r="I7" s="366"/>
      <c r="J7" s="3960" t="s">
        <v>53</v>
      </c>
      <c r="K7" s="3960"/>
      <c r="L7" s="3960"/>
      <c r="M7" s="3960"/>
      <c r="N7" s="366"/>
      <c r="O7" s="366"/>
      <c r="P7" s="366"/>
      <c r="Q7" s="366"/>
      <c r="R7" s="366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F7" s="171"/>
      <c r="AG7" s="305"/>
    </row>
    <row r="8" spans="1:33" ht="15.75">
      <c r="A8" s="3945" t="s">
        <v>54</v>
      </c>
      <c r="B8" s="3946"/>
      <c r="C8" s="3946"/>
      <c r="D8" s="3570" t="s">
        <v>7</v>
      </c>
      <c r="E8" s="3570" t="s">
        <v>7</v>
      </c>
      <c r="F8" s="89"/>
      <c r="G8" s="89"/>
      <c r="H8" s="89"/>
      <c r="I8" s="89"/>
      <c r="J8" s="89"/>
      <c r="K8" s="179" t="s">
        <v>55</v>
      </c>
      <c r="L8" s="3896" t="s">
        <v>56</v>
      </c>
      <c r="M8" s="3897"/>
      <c r="N8" s="3898"/>
      <c r="O8" s="89"/>
      <c r="P8" s="89"/>
      <c r="Q8" s="89"/>
      <c r="R8" s="646" t="s">
        <v>9</v>
      </c>
      <c r="S8" s="89"/>
      <c r="T8" s="3570" t="s">
        <v>45</v>
      </c>
      <c r="U8" s="74"/>
      <c r="V8" s="89"/>
      <c r="W8" s="89"/>
      <c r="X8" s="89"/>
      <c r="Y8" s="74"/>
      <c r="Z8" s="89"/>
      <c r="AA8" s="89"/>
      <c r="AB8" s="74"/>
      <c r="AC8" s="74"/>
      <c r="AD8" s="74"/>
      <c r="AE8" s="89"/>
      <c r="AF8" s="89"/>
      <c r="AG8" s="87"/>
    </row>
    <row r="9" spans="1:33" ht="15.75">
      <c r="A9" s="3961" t="s">
        <v>57</v>
      </c>
      <c r="B9" s="3962"/>
      <c r="C9" s="3962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R9" s="576" t="s">
        <v>58</v>
      </c>
      <c r="S9" s="414"/>
      <c r="T9" s="74" t="s">
        <v>59</v>
      </c>
      <c r="U9" s="74"/>
      <c r="V9" s="89"/>
      <c r="W9" s="89"/>
      <c r="X9" s="576" t="s">
        <v>8</v>
      </c>
      <c r="Y9" s="160"/>
      <c r="Z9" s="415"/>
      <c r="AA9" s="89"/>
      <c r="AB9" s="89"/>
      <c r="AC9" s="89"/>
      <c r="AD9" s="89"/>
      <c r="AE9" s="89"/>
      <c r="AF9" s="89"/>
      <c r="AG9" s="91"/>
    </row>
    <row r="10" spans="1:33" ht="15" customHeight="1">
      <c r="A10" s="3963" t="s">
        <v>60</v>
      </c>
      <c r="B10" s="3964"/>
      <c r="C10" s="3965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575"/>
      <c r="S10" s="109"/>
      <c r="T10" s="109"/>
      <c r="U10" s="109"/>
      <c r="V10" s="109"/>
      <c r="W10" s="109"/>
      <c r="X10" s="3982" t="s">
        <v>50</v>
      </c>
      <c r="Y10" s="3982"/>
      <c r="Z10" s="3982"/>
      <c r="AA10" s="3982"/>
      <c r="AB10" s="3982"/>
      <c r="AC10" s="3982"/>
      <c r="AD10" s="3982"/>
      <c r="AE10" s="3982"/>
      <c r="AF10" s="3982"/>
      <c r="AG10" s="3983"/>
    </row>
    <row r="11" spans="1:33" ht="15" customHeight="1">
      <c r="A11" s="3880" t="s">
        <v>61</v>
      </c>
      <c r="B11" s="3881"/>
      <c r="C11" s="3882"/>
      <c r="D11" s="109"/>
      <c r="E11" s="378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412"/>
      <c r="T11" s="3881" t="s">
        <v>62</v>
      </c>
      <c r="U11" s="3882"/>
      <c r="V11" s="102"/>
      <c r="W11" s="102"/>
      <c r="X11" s="407"/>
      <c r="Y11" s="407"/>
      <c r="Z11" s="407"/>
      <c r="AA11" s="407"/>
      <c r="AB11" s="407"/>
      <c r="AC11" s="407"/>
      <c r="AD11" s="407"/>
      <c r="AE11" s="407"/>
      <c r="AF11" s="407"/>
      <c r="AG11" s="408"/>
    </row>
    <row r="12" spans="1:33" ht="15.75">
      <c r="A12" s="3979" t="s">
        <v>63</v>
      </c>
      <c r="B12" s="3980"/>
      <c r="C12" s="3981"/>
      <c r="D12" s="89"/>
      <c r="E12" s="338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3576" t="s">
        <v>6</v>
      </c>
      <c r="S12" s="89"/>
      <c r="T12" s="89"/>
      <c r="U12" s="89"/>
      <c r="V12" s="89"/>
      <c r="W12" s="89"/>
      <c r="X12" s="335"/>
      <c r="Y12" s="335"/>
      <c r="Z12" s="335"/>
      <c r="AA12" s="335"/>
      <c r="AB12" s="335"/>
      <c r="AC12" s="335"/>
      <c r="AD12" s="335"/>
      <c r="AE12" s="335"/>
      <c r="AF12" s="335"/>
      <c r="AG12" s="111"/>
    </row>
    <row r="13" spans="1:33" ht="15.75">
      <c r="A13" s="3877" t="s">
        <v>64</v>
      </c>
      <c r="B13" s="3878"/>
      <c r="C13" s="3879"/>
      <c r="D13" s="89"/>
      <c r="E13" s="338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335"/>
      <c r="Y13" s="3888" t="s">
        <v>65</v>
      </c>
      <c r="Z13" s="3889"/>
      <c r="AA13" s="335"/>
      <c r="AB13" s="335"/>
      <c r="AC13" s="335"/>
      <c r="AD13" s="335"/>
      <c r="AE13" s="335"/>
      <c r="AF13" s="335"/>
      <c r="AG13" s="408"/>
    </row>
    <row r="14" spans="1:33" ht="15.75">
      <c r="A14" s="3966" t="s">
        <v>26</v>
      </c>
      <c r="B14" s="3967"/>
      <c r="C14" s="3968"/>
      <c r="D14" s="338"/>
      <c r="E14" s="338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384"/>
      <c r="AE14" s="160"/>
      <c r="AF14" s="336" t="s">
        <v>55</v>
      </c>
      <c r="AG14" s="413"/>
    </row>
    <row r="15" spans="1:33" ht="7.5" customHeight="1">
      <c r="A15" s="339"/>
      <c r="B15" s="340"/>
      <c r="C15" s="340"/>
      <c r="D15" s="341"/>
      <c r="E15" s="342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57"/>
    </row>
    <row r="16" spans="1:33" ht="15.75" customHeight="1">
      <c r="A16" s="3547" t="s">
        <v>66</v>
      </c>
      <c r="B16" s="11" t="s">
        <v>67</v>
      </c>
      <c r="C16" s="337" t="s">
        <v>68</v>
      </c>
      <c r="D16" s="3989" t="s">
        <v>69</v>
      </c>
      <c r="E16" s="3990"/>
      <c r="F16" s="3991"/>
      <c r="G16" s="3950" t="s">
        <v>70</v>
      </c>
      <c r="H16" s="3951"/>
      <c r="I16" s="3952"/>
      <c r="J16" s="3984" t="s">
        <v>53</v>
      </c>
      <c r="K16" s="3985"/>
      <c r="L16" s="3985"/>
      <c r="M16" s="3986"/>
      <c r="N16" s="175" t="s">
        <v>55</v>
      </c>
      <c r="O16" s="247"/>
      <c r="P16" s="247"/>
      <c r="Q16" s="247"/>
      <c r="R16" s="3570" t="s">
        <v>9</v>
      </c>
      <c r="S16" s="3880" t="s">
        <v>62</v>
      </c>
      <c r="T16" s="3881"/>
      <c r="U16" s="3882"/>
      <c r="V16" s="86"/>
      <c r="W16" s="86"/>
      <c r="X16" s="577" t="s">
        <v>71</v>
      </c>
      <c r="Y16" s="86"/>
      <c r="Z16" s="3950" t="s">
        <v>72</v>
      </c>
      <c r="AA16" s="3951"/>
      <c r="AB16" s="3951"/>
      <c r="AC16" s="3951"/>
      <c r="AD16" s="3952"/>
      <c r="AE16" s="247"/>
      <c r="AF16" s="247"/>
      <c r="AG16" s="111"/>
    </row>
    <row r="17" spans="1:33" ht="15.75">
      <c r="A17" s="3548" t="s">
        <v>73</v>
      </c>
      <c r="B17" s="5" t="s">
        <v>67</v>
      </c>
      <c r="C17" s="13" t="s">
        <v>74</v>
      </c>
      <c r="D17" s="115"/>
      <c r="E17" s="404" t="s">
        <v>7</v>
      </c>
      <c r="F17" s="117" t="s">
        <v>9</v>
      </c>
      <c r="G17" s="247"/>
      <c r="H17" s="247"/>
      <c r="I17" s="314"/>
      <c r="J17" s="314"/>
      <c r="K17" s="440" t="s">
        <v>55</v>
      </c>
      <c r="L17" s="3916" t="s">
        <v>56</v>
      </c>
      <c r="M17" s="3917"/>
      <c r="N17" s="3918"/>
      <c r="O17" s="440" t="s">
        <v>55</v>
      </c>
      <c r="P17" s="314"/>
      <c r="Q17" s="88"/>
      <c r="R17" s="3570" t="s">
        <v>9</v>
      </c>
      <c r="S17" s="3880" t="s">
        <v>62</v>
      </c>
      <c r="T17" s="3881"/>
      <c r="U17" s="3882"/>
      <c r="V17" s="86"/>
      <c r="W17" s="442"/>
      <c r="X17" s="291"/>
      <c r="Y17" s="443"/>
      <c r="Z17" s="415"/>
      <c r="AA17" s="3995" t="s">
        <v>75</v>
      </c>
      <c r="AB17" s="3996"/>
      <c r="AC17" s="3996"/>
      <c r="AD17" s="3997"/>
      <c r="AE17" s="314"/>
      <c r="AF17" s="583"/>
      <c r="AG17" s="111"/>
    </row>
    <row r="18" spans="1:33" ht="15.75">
      <c r="A18" s="3549" t="s">
        <v>76</v>
      </c>
      <c r="B18" s="7" t="s">
        <v>77</v>
      </c>
      <c r="C18" s="15" t="s">
        <v>78</v>
      </c>
      <c r="D18" s="115"/>
      <c r="E18" s="404" t="s">
        <v>7</v>
      </c>
      <c r="F18" s="117"/>
      <c r="G18" s="247"/>
      <c r="H18" s="394"/>
      <c r="I18" s="246"/>
      <c r="J18" s="246"/>
      <c r="K18" s="246"/>
      <c r="L18" s="179"/>
      <c r="M18" s="179"/>
      <c r="N18" s="179"/>
      <c r="O18" s="246"/>
      <c r="P18" s="246"/>
      <c r="Q18" s="439"/>
      <c r="R18" s="3570" t="s">
        <v>9</v>
      </c>
      <c r="S18" s="3880" t="s">
        <v>62</v>
      </c>
      <c r="T18" s="3881"/>
      <c r="U18" s="3882"/>
      <c r="V18" s="441"/>
      <c r="W18" s="94"/>
      <c r="X18" s="246"/>
      <c r="Y18" s="304"/>
      <c r="Z18" s="179"/>
      <c r="AA18" s="3950" t="s">
        <v>79</v>
      </c>
      <c r="AB18" s="3951"/>
      <c r="AC18" s="3951"/>
      <c r="AD18" s="3952"/>
      <c r="AE18" s="246"/>
      <c r="AF18" s="565"/>
      <c r="AG18" s="111"/>
    </row>
    <row r="19" spans="1:33" ht="15.75">
      <c r="A19" s="3549" t="s">
        <v>80</v>
      </c>
      <c r="B19" s="7" t="s">
        <v>81</v>
      </c>
      <c r="C19" s="15" t="s">
        <v>82</v>
      </c>
      <c r="D19" s="115"/>
      <c r="E19" s="114"/>
      <c r="F19" s="247"/>
      <c r="G19" s="247"/>
      <c r="H19" s="247"/>
      <c r="I19" s="169"/>
      <c r="J19" s="169"/>
      <c r="K19" s="169"/>
      <c r="L19" s="169"/>
      <c r="M19" s="3987" t="s">
        <v>83</v>
      </c>
      <c r="N19" s="3987"/>
      <c r="O19" s="3987"/>
      <c r="P19" s="3987"/>
      <c r="Q19" s="3988"/>
      <c r="R19" s="3988"/>
      <c r="S19" s="88"/>
      <c r="T19" s="74" t="s">
        <v>59</v>
      </c>
      <c r="U19" s="74"/>
      <c r="V19" s="247"/>
      <c r="W19" s="169"/>
      <c r="X19" s="577" t="s">
        <v>71</v>
      </c>
      <c r="Y19" s="86"/>
      <c r="Z19" s="169"/>
      <c r="AA19" s="169"/>
      <c r="AB19" s="169"/>
      <c r="AC19" s="169"/>
      <c r="AD19" s="169"/>
      <c r="AE19" s="169"/>
      <c r="AF19" s="584"/>
      <c r="AG19" s="111"/>
    </row>
    <row r="20" spans="1:33" ht="15.75">
      <c r="A20" s="3976" t="s">
        <v>84</v>
      </c>
      <c r="B20" s="11" t="s">
        <v>85</v>
      </c>
      <c r="C20" s="12" t="s">
        <v>86</v>
      </c>
      <c r="D20" s="115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111"/>
    </row>
    <row r="21" spans="1:33" ht="15.75">
      <c r="A21" s="3977"/>
      <c r="B21" s="5" t="s">
        <v>87</v>
      </c>
      <c r="C21" s="13" t="s">
        <v>88</v>
      </c>
      <c r="D21" s="115"/>
      <c r="E21" s="5"/>
      <c r="F21" s="5"/>
      <c r="G21" s="5"/>
      <c r="H21" s="5"/>
      <c r="I21" s="5"/>
      <c r="J21" s="3893" t="s">
        <v>89</v>
      </c>
      <c r="K21" s="3894"/>
      <c r="L21" s="3894"/>
      <c r="M21" s="3894"/>
      <c r="N21" s="3894"/>
      <c r="O21" s="3894"/>
      <c r="P21" s="3894"/>
      <c r="Q21" s="3894"/>
      <c r="R21" s="3894"/>
      <c r="S21" s="389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347"/>
    </row>
    <row r="22" spans="1:33" ht="15.75">
      <c r="A22" s="3978"/>
      <c r="B22" s="7" t="s">
        <v>90</v>
      </c>
      <c r="C22" s="15" t="s">
        <v>91</v>
      </c>
      <c r="D22" s="114"/>
      <c r="E22" s="5"/>
      <c r="F22" s="5"/>
      <c r="G22" s="5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5"/>
      <c r="AG22" s="348"/>
    </row>
    <row r="23" spans="1:33" ht="15.75">
      <c r="A23" s="3883" t="s">
        <v>92</v>
      </c>
      <c r="B23" s="83" t="s">
        <v>81</v>
      </c>
      <c r="C23" s="300" t="s">
        <v>93</v>
      </c>
      <c r="D23" s="114"/>
      <c r="E23" s="404" t="s">
        <v>7</v>
      </c>
      <c r="F23" s="5"/>
      <c r="G23" s="5"/>
      <c r="H23" s="6"/>
      <c r="I23" s="6"/>
      <c r="J23" s="6"/>
      <c r="K23" s="112" t="s">
        <v>55</v>
      </c>
      <c r="L23" s="3896" t="s">
        <v>56</v>
      </c>
      <c r="M23" s="3897"/>
      <c r="N23" s="3898"/>
      <c r="O23" s="112" t="s">
        <v>55</v>
      </c>
      <c r="P23" s="6"/>
      <c r="Q23" s="6"/>
      <c r="R23" s="344" t="s">
        <v>9</v>
      </c>
      <c r="S23" s="6"/>
      <c r="T23" s="6"/>
      <c r="U23" s="6"/>
      <c r="V23" s="6"/>
      <c r="W23" s="6"/>
      <c r="X23" s="6"/>
      <c r="Y23" s="3893" t="s">
        <v>94</v>
      </c>
      <c r="Z23" s="3894"/>
      <c r="AA23" s="3894"/>
      <c r="AB23" s="3894"/>
      <c r="AC23" s="3894"/>
      <c r="AD23" s="3894"/>
      <c r="AE23" s="3895"/>
      <c r="AF23" s="5"/>
      <c r="AG23" s="348"/>
    </row>
    <row r="24" spans="1:33" ht="15.75">
      <c r="A24" s="3884"/>
      <c r="B24" s="310" t="s">
        <v>95</v>
      </c>
      <c r="C24" s="87" t="s">
        <v>96</v>
      </c>
      <c r="D24" s="307"/>
      <c r="E24" s="308"/>
      <c r="F24" s="308"/>
      <c r="G24" s="309"/>
      <c r="H24" s="309"/>
      <c r="I24" s="8"/>
      <c r="K24" s="112" t="s">
        <v>55</v>
      </c>
      <c r="L24" s="3896" t="s">
        <v>56</v>
      </c>
      <c r="M24" s="3897"/>
      <c r="N24" s="3898"/>
      <c r="O24" s="112" t="s">
        <v>55</v>
      </c>
      <c r="P24" s="8"/>
      <c r="Q24" s="8"/>
      <c r="R24" s="344" t="s">
        <v>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7"/>
      <c r="AF24" s="7"/>
      <c r="AG24" s="349"/>
    </row>
    <row r="25" spans="1:33" ht="15.75">
      <c r="A25" s="3885"/>
      <c r="B25" s="313" t="s">
        <v>97</v>
      </c>
      <c r="C25" s="166" t="s">
        <v>98</v>
      </c>
      <c r="D25" s="311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350"/>
    </row>
    <row r="26" spans="1:33" ht="15.75">
      <c r="A26" s="3883" t="s">
        <v>99</v>
      </c>
      <c r="B26" s="83" t="s">
        <v>100</v>
      </c>
      <c r="C26" s="300" t="s">
        <v>101</v>
      </c>
      <c r="D26" s="114"/>
      <c r="E26" s="3555" t="s">
        <v>7</v>
      </c>
      <c r="F26" s="117" t="s">
        <v>9</v>
      </c>
      <c r="G26" s="172"/>
      <c r="H26" s="172"/>
      <c r="I26" s="172"/>
      <c r="J26" s="409"/>
      <c r="K26" s="410"/>
      <c r="L26" s="3919"/>
      <c r="M26" s="3920"/>
      <c r="N26" s="3921"/>
      <c r="O26" s="410"/>
      <c r="P26" s="409"/>
      <c r="Q26" s="4"/>
      <c r="R26" s="406" t="s">
        <v>9</v>
      </c>
      <c r="S26" s="3880" t="s">
        <v>62</v>
      </c>
      <c r="T26" s="3881"/>
      <c r="U26" s="3882"/>
      <c r="V26" s="4"/>
      <c r="W26" s="4"/>
      <c r="X26" s="4"/>
      <c r="Y26" s="4"/>
      <c r="Z26" s="4"/>
      <c r="AA26" s="4"/>
      <c r="AB26" s="4"/>
      <c r="AC26" s="4"/>
      <c r="AD26" s="4"/>
      <c r="AE26" s="3"/>
      <c r="AF26" s="3"/>
      <c r="AG26" s="351"/>
    </row>
    <row r="27" spans="1:33" ht="15.75">
      <c r="A27" s="3884"/>
      <c r="B27" s="247" t="s">
        <v>77</v>
      </c>
      <c r="C27" s="173" t="s">
        <v>102</v>
      </c>
      <c r="D27" s="126"/>
      <c r="E27" s="117"/>
      <c r="F27" s="115"/>
      <c r="G27" s="116"/>
      <c r="H27" s="116"/>
      <c r="I27" s="116"/>
      <c r="J27" s="116"/>
      <c r="K27" s="116"/>
      <c r="L27" s="116"/>
      <c r="M27" s="6"/>
      <c r="N27" s="6"/>
      <c r="O27" s="6"/>
      <c r="P27" s="118" t="s">
        <v>55</v>
      </c>
      <c r="Q27" s="3947" t="s">
        <v>103</v>
      </c>
      <c r="R27" s="3948"/>
      <c r="S27" s="3948"/>
      <c r="T27" s="3948"/>
      <c r="U27" s="3949"/>
      <c r="V27" s="3947" t="s">
        <v>104</v>
      </c>
      <c r="W27" s="3948"/>
      <c r="X27" s="3949"/>
      <c r="Y27" s="118" t="s">
        <v>55</v>
      </c>
      <c r="Z27" s="6"/>
      <c r="AA27" s="6"/>
      <c r="AB27" s="6"/>
      <c r="AC27" s="6"/>
      <c r="AD27" s="6"/>
      <c r="AE27" s="5"/>
      <c r="AF27" s="5"/>
      <c r="AG27" s="348"/>
    </row>
    <row r="28" spans="1:33" ht="15.75">
      <c r="A28" s="3884"/>
      <c r="B28" s="247" t="s">
        <v>95</v>
      </c>
      <c r="C28" s="173" t="s">
        <v>105</v>
      </c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3880" t="s">
        <v>62</v>
      </c>
      <c r="T28" s="3881"/>
      <c r="U28" s="3882"/>
      <c r="V28" s="6"/>
      <c r="W28" s="6"/>
      <c r="X28" s="6"/>
      <c r="Y28" s="119"/>
      <c r="Z28" s="6"/>
      <c r="AA28" s="6"/>
      <c r="AB28" s="4"/>
      <c r="AC28" s="4"/>
      <c r="AD28" s="4"/>
      <c r="AE28" s="4"/>
      <c r="AF28" s="4"/>
      <c r="AG28" s="352"/>
    </row>
    <row r="29" spans="1:33" ht="15.75">
      <c r="A29" s="3884"/>
      <c r="B29" s="247" t="s">
        <v>106</v>
      </c>
      <c r="C29" s="173" t="s">
        <v>107</v>
      </c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6"/>
      <c r="T29" s="6"/>
      <c r="U29" s="6"/>
      <c r="V29" s="6"/>
      <c r="W29" s="6"/>
      <c r="X29" s="6"/>
      <c r="Y29" s="6"/>
      <c r="Z29" s="6"/>
      <c r="AA29" s="6"/>
      <c r="AB29" s="4"/>
      <c r="AC29" s="4"/>
      <c r="AD29" s="4"/>
      <c r="AE29" s="4"/>
      <c r="AF29" s="4"/>
      <c r="AG29" s="87"/>
    </row>
    <row r="30" spans="1:33" ht="15.75">
      <c r="A30" s="3885"/>
      <c r="B30" s="314" t="s">
        <v>108</v>
      </c>
      <c r="C30" s="315" t="s">
        <v>109</v>
      </c>
      <c r="D30" s="126"/>
      <c r="E30" s="121"/>
      <c r="F30" s="122"/>
      <c r="G30" s="123"/>
      <c r="H30" s="123"/>
      <c r="I30" s="123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6"/>
      <c r="AA30" s="6"/>
      <c r="AB30" s="6"/>
      <c r="AC30" s="6"/>
      <c r="AD30" s="6"/>
      <c r="AE30" s="5"/>
      <c r="AF30" s="120"/>
      <c r="AG30" s="87"/>
    </row>
    <row r="31" spans="1:33" ht="15.75">
      <c r="A31" s="3883" t="s">
        <v>110</v>
      </c>
      <c r="B31" s="83" t="s">
        <v>77</v>
      </c>
      <c r="C31" s="300" t="s">
        <v>111</v>
      </c>
      <c r="D31" s="124"/>
      <c r="E31" s="411" t="s">
        <v>46</v>
      </c>
      <c r="F31" s="411"/>
      <c r="G31" s="411"/>
      <c r="H31" s="411"/>
      <c r="I31" s="3873" t="s">
        <v>112</v>
      </c>
      <c r="J31" s="3874"/>
      <c r="K31" s="3874"/>
      <c r="L31" s="3874"/>
      <c r="M31" s="3874"/>
      <c r="N31" s="3874"/>
      <c r="O31" s="3875"/>
      <c r="P31" s="3875"/>
      <c r="Q31" s="3875"/>
      <c r="R31" s="3876"/>
      <c r="S31" s="3890" t="s">
        <v>46</v>
      </c>
      <c r="T31" s="3890"/>
      <c r="U31" s="3890"/>
      <c r="V31" s="3890"/>
      <c r="W31" s="3890"/>
      <c r="X31" s="3890"/>
      <c r="Y31" s="3890"/>
      <c r="Z31" s="114"/>
      <c r="AA31" s="6"/>
      <c r="AB31" s="6"/>
      <c r="AC31" s="6"/>
      <c r="AD31" s="6"/>
      <c r="AE31" s="6"/>
      <c r="AF31" s="120"/>
      <c r="AG31" s="305"/>
    </row>
    <row r="32" spans="1:33" ht="15.75">
      <c r="A32" s="3884"/>
      <c r="B32" s="247" t="s">
        <v>113</v>
      </c>
      <c r="C32" s="316" t="s">
        <v>114</v>
      </c>
      <c r="D32" s="125"/>
      <c r="E32" s="3886" t="s">
        <v>46</v>
      </c>
      <c r="F32" s="3886"/>
      <c r="G32" s="3886"/>
      <c r="H32" s="3886"/>
      <c r="I32" s="3886"/>
      <c r="J32" s="3886"/>
      <c r="K32" s="3886"/>
      <c r="L32" s="3886"/>
      <c r="M32" s="3886"/>
      <c r="N32" s="3886"/>
      <c r="O32" s="3886"/>
      <c r="P32" s="3886"/>
      <c r="Q32" s="3886"/>
      <c r="R32" s="3923"/>
      <c r="S32" s="3907" t="s">
        <v>46</v>
      </c>
      <c r="T32" s="3908"/>
      <c r="U32" s="3908"/>
      <c r="V32" s="3908"/>
      <c r="W32" s="3908"/>
      <c r="X32" s="3908"/>
      <c r="Y32" s="3909"/>
      <c r="Z32" s="3905" t="s">
        <v>115</v>
      </c>
      <c r="AA32" s="3906"/>
      <c r="AB32" s="105"/>
      <c r="AC32" s="105"/>
      <c r="AD32" s="105"/>
      <c r="AE32" s="105"/>
      <c r="AF32" s="120"/>
      <c r="AG32" s="305"/>
    </row>
    <row r="33" spans="1:33" ht="15.75">
      <c r="A33" s="3884"/>
      <c r="B33" s="247" t="s">
        <v>113</v>
      </c>
      <c r="C33" s="173" t="s">
        <v>116</v>
      </c>
      <c r="D33" s="125"/>
      <c r="E33" s="3923" t="s">
        <v>46</v>
      </c>
      <c r="F33" s="3924"/>
      <c r="G33" s="3925"/>
      <c r="H33" s="3873" t="s">
        <v>117</v>
      </c>
      <c r="I33" s="3874"/>
      <c r="J33" s="3874"/>
      <c r="K33" s="3874"/>
      <c r="L33" s="3874"/>
      <c r="M33" s="3874"/>
      <c r="N33" s="3926"/>
      <c r="O33" s="3923" t="s">
        <v>46</v>
      </c>
      <c r="P33" s="3924"/>
      <c r="Q33" s="3924"/>
      <c r="R33" s="3924"/>
      <c r="S33" s="3890" t="s">
        <v>46</v>
      </c>
      <c r="T33" s="3890"/>
      <c r="U33" s="3890"/>
      <c r="V33" s="3890"/>
      <c r="W33" s="3890"/>
      <c r="X33" s="3890"/>
      <c r="Y33" s="3890"/>
      <c r="Z33" s="107"/>
      <c r="AA33" s="105"/>
      <c r="AB33" s="105"/>
      <c r="AC33" s="105"/>
      <c r="AD33" s="105"/>
      <c r="AE33" s="105"/>
      <c r="AF33" s="120"/>
      <c r="AG33" s="305"/>
    </row>
    <row r="34" spans="1:33" ht="15.75">
      <c r="A34" s="3884"/>
      <c r="B34" s="247" t="s">
        <v>118</v>
      </c>
      <c r="C34" s="173" t="s">
        <v>119</v>
      </c>
      <c r="D34" s="125"/>
      <c r="E34" s="3886" t="s">
        <v>46</v>
      </c>
      <c r="F34" s="3886"/>
      <c r="G34" s="3886"/>
      <c r="H34" s="3886"/>
      <c r="I34" s="3886"/>
      <c r="J34" s="3886"/>
      <c r="K34" s="3886"/>
      <c r="L34" s="3886"/>
      <c r="M34" s="3886"/>
      <c r="N34" s="3886"/>
      <c r="O34" s="3886"/>
      <c r="P34" s="3886"/>
      <c r="Q34" s="3886"/>
      <c r="R34" s="3886"/>
      <c r="S34" s="3927" t="s">
        <v>46</v>
      </c>
      <c r="T34" s="3927"/>
      <c r="U34" s="3927"/>
      <c r="V34" s="3927"/>
      <c r="W34" s="3927"/>
      <c r="X34" s="3927"/>
      <c r="Y34" s="3928"/>
      <c r="Z34" s="116"/>
      <c r="AA34" s="116"/>
      <c r="AB34" s="116"/>
      <c r="AC34" s="116"/>
      <c r="AD34" s="116"/>
      <c r="AE34" s="116"/>
      <c r="AF34" s="5"/>
      <c r="AG34" s="347"/>
    </row>
    <row r="35" spans="1:33" ht="15.75">
      <c r="A35" s="3884"/>
      <c r="B35" s="247" t="s">
        <v>120</v>
      </c>
      <c r="C35" s="315" t="s">
        <v>121</v>
      </c>
      <c r="D35" s="395"/>
      <c r="E35" s="3887" t="s">
        <v>46</v>
      </c>
      <c r="F35" s="3887"/>
      <c r="G35" s="3887"/>
      <c r="H35" s="3887"/>
      <c r="I35" s="3887"/>
      <c r="J35" s="3887"/>
      <c r="K35" s="3887"/>
      <c r="L35" s="3887"/>
      <c r="M35" s="3887"/>
      <c r="N35" s="3887"/>
      <c r="O35" s="3887"/>
      <c r="P35" s="3887"/>
      <c r="Q35" s="3887"/>
      <c r="R35" s="3887"/>
      <c r="S35" s="3891" t="s">
        <v>46</v>
      </c>
      <c r="T35" s="3891"/>
      <c r="U35" s="3891"/>
      <c r="V35" s="3891"/>
      <c r="W35" s="3891"/>
      <c r="X35" s="3891"/>
      <c r="Y35" s="3892"/>
      <c r="Z35" s="391"/>
      <c r="AA35" s="3913" t="s">
        <v>112</v>
      </c>
      <c r="AB35" s="3914"/>
      <c r="AC35" s="3914"/>
      <c r="AD35" s="3914"/>
      <c r="AE35" s="3914"/>
      <c r="AF35" s="3915"/>
      <c r="AG35" s="416"/>
    </row>
    <row r="36" spans="1:33" ht="15.75">
      <c r="A36" s="3884"/>
      <c r="B36" s="394" t="s">
        <v>122</v>
      </c>
      <c r="C36" s="315" t="s">
        <v>123</v>
      </c>
      <c r="D36" s="158"/>
      <c r="E36" s="399"/>
      <c r="F36" s="383"/>
      <c r="G36" s="383"/>
      <c r="H36" s="383"/>
      <c r="I36" s="383"/>
      <c r="J36" s="383"/>
      <c r="K36" s="383"/>
      <c r="L36" s="383"/>
      <c r="M36" s="383"/>
      <c r="N36" s="383"/>
      <c r="O36" s="383"/>
      <c r="P36" s="383"/>
      <c r="Q36" s="383"/>
      <c r="R36" s="383"/>
      <c r="S36" s="384"/>
      <c r="T36" s="384"/>
      <c r="U36" s="384"/>
      <c r="V36" s="384"/>
      <c r="W36" s="384"/>
      <c r="X36" s="384"/>
      <c r="Y36" s="384"/>
      <c r="Z36" s="301"/>
      <c r="AA36" s="390"/>
      <c r="AB36" s="390"/>
      <c r="AC36" s="390"/>
      <c r="AD36" s="390"/>
      <c r="AE36" s="390"/>
      <c r="AF36" s="390"/>
      <c r="AG36" s="417"/>
    </row>
    <row r="37" spans="1:33" ht="15.75">
      <c r="A37" s="3884"/>
      <c r="B37" s="247" t="s">
        <v>124</v>
      </c>
      <c r="C37" s="170" t="s">
        <v>125</v>
      </c>
      <c r="D37" s="396"/>
      <c r="E37" s="3922" t="s">
        <v>46</v>
      </c>
      <c r="F37" s="3922"/>
      <c r="G37" s="3922"/>
      <c r="H37" s="3922"/>
      <c r="I37" s="3922"/>
      <c r="J37" s="3922"/>
      <c r="K37" s="3922"/>
      <c r="L37" s="3922"/>
      <c r="M37" s="3922"/>
      <c r="N37" s="3922"/>
      <c r="O37" s="3922"/>
      <c r="P37" s="3922"/>
      <c r="Q37" s="3922"/>
      <c r="R37" s="3922"/>
      <c r="S37" s="3912" t="s">
        <v>46</v>
      </c>
      <c r="T37" s="3912"/>
      <c r="U37" s="3912"/>
      <c r="V37" s="3912"/>
      <c r="W37" s="3912"/>
      <c r="X37" s="3912"/>
      <c r="Y37" s="3912"/>
      <c r="Z37" s="397"/>
      <c r="AA37" s="397"/>
      <c r="AB37" s="397"/>
      <c r="AC37" s="385"/>
      <c r="AD37" s="131"/>
      <c r="AE37" s="131"/>
      <c r="AF37" s="398"/>
      <c r="AG37" s="417"/>
    </row>
    <row r="38" spans="1:33" ht="15.75">
      <c r="A38" s="3884"/>
      <c r="B38" s="247" t="s">
        <v>124</v>
      </c>
      <c r="C38" s="173" t="s">
        <v>126</v>
      </c>
      <c r="D38" s="125"/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392"/>
      <c r="Q38" s="392"/>
      <c r="R38" s="392"/>
      <c r="S38" s="393"/>
      <c r="T38" s="393"/>
      <c r="U38" s="393"/>
      <c r="V38" s="393"/>
      <c r="W38" s="393"/>
      <c r="X38" s="393"/>
      <c r="Y38" s="393"/>
      <c r="Z38" s="155"/>
      <c r="AA38" s="155"/>
      <c r="AB38" s="155"/>
      <c r="AC38" s="161"/>
      <c r="AD38" s="107"/>
      <c r="AE38" s="105"/>
      <c r="AF38" s="120"/>
      <c r="AG38" s="417"/>
    </row>
    <row r="39" spans="1:33" ht="15.75">
      <c r="A39" s="3884"/>
      <c r="B39" s="247" t="s">
        <v>127</v>
      </c>
      <c r="C39" s="173" t="s">
        <v>128</v>
      </c>
      <c r="D39" s="125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382"/>
      <c r="Q39" s="382"/>
      <c r="R39" s="382"/>
      <c r="S39" s="199"/>
      <c r="T39" s="199"/>
      <c r="U39" s="199"/>
      <c r="V39" s="199"/>
      <c r="W39" s="199"/>
      <c r="X39" s="199"/>
      <c r="Y39" s="199"/>
      <c r="Z39" s="205"/>
      <c r="AA39" s="131"/>
      <c r="AB39" s="131"/>
      <c r="AC39" s="131"/>
      <c r="AD39" s="105"/>
      <c r="AE39" s="105"/>
      <c r="AF39" s="5"/>
      <c r="AG39" s="347"/>
    </row>
    <row r="40" spans="1:33" ht="15.75">
      <c r="A40" s="3884"/>
      <c r="B40" s="247" t="s">
        <v>129</v>
      </c>
      <c r="C40" s="173" t="s">
        <v>130</v>
      </c>
      <c r="D40" s="128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94"/>
      <c r="T40" s="94"/>
      <c r="U40" s="94"/>
      <c r="V40" s="94"/>
      <c r="W40" s="94"/>
      <c r="X40" s="94"/>
      <c r="Y40" s="94"/>
      <c r="Z40" s="129"/>
      <c r="AA40" s="3992" t="s">
        <v>94</v>
      </c>
      <c r="AB40" s="3993"/>
      <c r="AC40" s="3993"/>
      <c r="AD40" s="3994"/>
      <c r="AE40" s="130"/>
      <c r="AF40" s="5"/>
      <c r="AG40" s="348"/>
    </row>
    <row r="41" spans="1:33" ht="15.75">
      <c r="A41" s="3884"/>
      <c r="B41" s="247" t="s">
        <v>131</v>
      </c>
      <c r="C41" s="173" t="s">
        <v>132</v>
      </c>
      <c r="D41" s="114"/>
      <c r="E41" s="114"/>
      <c r="F41" s="131"/>
      <c r="G41" s="131"/>
      <c r="H41" s="131"/>
      <c r="I41" s="131"/>
      <c r="J41" s="131"/>
      <c r="K41" s="110" t="s">
        <v>55</v>
      </c>
      <c r="L41" s="3896" t="s">
        <v>56</v>
      </c>
      <c r="M41" s="3897"/>
      <c r="N41" s="3898"/>
      <c r="O41" s="110" t="s">
        <v>55</v>
      </c>
      <c r="P41" s="131"/>
      <c r="Q41" s="131"/>
      <c r="R41" s="406" t="s">
        <v>9</v>
      </c>
      <c r="S41" s="131"/>
      <c r="T41" s="131"/>
      <c r="U41" s="131"/>
      <c r="V41" s="131"/>
      <c r="W41" s="131"/>
      <c r="X41" s="577" t="s">
        <v>71</v>
      </c>
      <c r="Y41" s="131"/>
      <c r="Z41" s="105"/>
      <c r="AA41" s="105"/>
      <c r="AB41" s="3910" t="s">
        <v>133</v>
      </c>
      <c r="AC41" s="3911"/>
      <c r="AD41" s="3906"/>
      <c r="AE41" s="105"/>
      <c r="AF41" s="5"/>
      <c r="AG41" s="354"/>
    </row>
    <row r="42" spans="1:33" ht="15.75">
      <c r="A42" s="3885"/>
      <c r="B42" s="314" t="s">
        <v>134</v>
      </c>
      <c r="C42" s="315" t="s">
        <v>135</v>
      </c>
      <c r="D42" s="115"/>
      <c r="E42" s="131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347"/>
    </row>
    <row r="43" spans="1:33" ht="15.75">
      <c r="A43" s="3883" t="s">
        <v>136</v>
      </c>
      <c r="B43" s="83" t="s">
        <v>77</v>
      </c>
      <c r="C43" s="300" t="s">
        <v>137</v>
      </c>
      <c r="D43" s="132"/>
      <c r="E43" s="117" t="s">
        <v>9</v>
      </c>
      <c r="F43" s="5"/>
      <c r="G43" s="133"/>
      <c r="H43" s="133"/>
      <c r="I43" s="112" t="s">
        <v>55</v>
      </c>
      <c r="J43" s="3902" t="s">
        <v>53</v>
      </c>
      <c r="K43" s="3903"/>
      <c r="L43" s="3903"/>
      <c r="M43" s="3904"/>
      <c r="N43" s="112" t="s">
        <v>55</v>
      </c>
      <c r="O43" s="6"/>
      <c r="P43" s="6"/>
      <c r="Q43" s="6"/>
      <c r="R43" s="105"/>
      <c r="S43" s="3880" t="s">
        <v>62</v>
      </c>
      <c r="T43" s="3881"/>
      <c r="U43" s="3882"/>
      <c r="V43" s="105"/>
      <c r="W43" s="105"/>
      <c r="X43" s="105"/>
      <c r="Y43" s="3888" t="s">
        <v>65</v>
      </c>
      <c r="Z43" s="3889"/>
      <c r="AA43" s="106"/>
      <c r="AB43" s="134"/>
      <c r="AC43" s="75"/>
      <c r="AD43" s="118" t="s">
        <v>55</v>
      </c>
      <c r="AE43" s="3998" t="s">
        <v>138</v>
      </c>
      <c r="AF43" s="3999"/>
      <c r="AG43" s="4000"/>
    </row>
    <row r="44" spans="1:33" ht="15.75">
      <c r="A44" s="3884"/>
      <c r="B44" s="247" t="s">
        <v>95</v>
      </c>
      <c r="C44" s="173" t="s">
        <v>139</v>
      </c>
      <c r="D44" s="115"/>
      <c r="E44" s="135" t="s">
        <v>55</v>
      </c>
      <c r="F44" s="3899" t="s">
        <v>83</v>
      </c>
      <c r="G44" s="3900"/>
      <c r="H44" s="3900"/>
      <c r="I44" s="3900"/>
      <c r="J44" s="3900"/>
      <c r="K44" s="3901"/>
      <c r="L44" s="136" t="s">
        <v>55</v>
      </c>
      <c r="M44" s="5"/>
      <c r="N44" s="5"/>
      <c r="O44" s="6"/>
      <c r="P44" s="136" t="s">
        <v>55</v>
      </c>
      <c r="Q44" s="3870" t="s">
        <v>140</v>
      </c>
      <c r="R44" s="3871"/>
      <c r="S44" s="3871"/>
      <c r="T44" s="136" t="s">
        <v>55</v>
      </c>
      <c r="U44" s="176"/>
      <c r="V44" s="174"/>
      <c r="W44" s="6"/>
      <c r="X44" s="6"/>
      <c r="Y44" s="3888" t="s">
        <v>65</v>
      </c>
      <c r="Z44" s="3889"/>
      <c r="AA44" s="6"/>
      <c r="AB44" s="4"/>
      <c r="AC44" s="131"/>
      <c r="AD44" s="118" t="s">
        <v>55</v>
      </c>
      <c r="AE44" s="3870" t="s">
        <v>141</v>
      </c>
      <c r="AF44" s="3871"/>
      <c r="AG44" s="3872"/>
    </row>
    <row r="45" spans="1:33" ht="15.75">
      <c r="A45" s="3885"/>
      <c r="B45" s="314" t="s">
        <v>142</v>
      </c>
      <c r="C45" s="315" t="s">
        <v>143</v>
      </c>
      <c r="D45" s="127"/>
      <c r="E45" s="117" t="s">
        <v>9</v>
      </c>
      <c r="F45" s="117" t="s">
        <v>9</v>
      </c>
      <c r="G45" s="116"/>
      <c r="H45" s="116"/>
      <c r="I45" s="116"/>
      <c r="J45" s="116"/>
      <c r="K45" s="116"/>
      <c r="L45" s="1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3"/>
      <c r="AF45" s="182"/>
      <c r="AG45" s="351"/>
    </row>
    <row r="46" spans="1:33" ht="15.75">
      <c r="A46" s="3883" t="s">
        <v>144</v>
      </c>
      <c r="B46" s="83" t="s">
        <v>145</v>
      </c>
      <c r="C46" s="300" t="s">
        <v>146</v>
      </c>
      <c r="D46" s="115"/>
      <c r="E46" s="105"/>
      <c r="F46" s="105"/>
      <c r="G46" s="5"/>
      <c r="H46" s="137"/>
      <c r="I46" s="116"/>
      <c r="J46" s="116"/>
      <c r="K46" s="116"/>
      <c r="L46" s="116"/>
      <c r="M46" s="6"/>
      <c r="N46" s="3893" t="s">
        <v>147</v>
      </c>
      <c r="O46" s="3894"/>
      <c r="P46" s="3894"/>
      <c r="Q46" s="3894"/>
      <c r="R46" s="3894"/>
      <c r="S46" s="3895"/>
      <c r="T46" s="206" t="s">
        <v>59</v>
      </c>
      <c r="U46" s="206"/>
      <c r="V46" s="5"/>
      <c r="W46" s="5"/>
      <c r="X46" s="5"/>
      <c r="Y46" s="86"/>
      <c r="Z46" s="5"/>
      <c r="AA46" s="138"/>
      <c r="AB46" s="138"/>
      <c r="AC46" s="138"/>
      <c r="AD46" s="138"/>
      <c r="AE46" s="5"/>
      <c r="AF46" s="5"/>
      <c r="AG46" s="355"/>
    </row>
    <row r="47" spans="1:33" ht="15.75">
      <c r="A47" s="3884"/>
      <c r="B47" s="247" t="s">
        <v>145</v>
      </c>
      <c r="C47" s="173" t="s">
        <v>148</v>
      </c>
      <c r="D47" s="114"/>
      <c r="E47" s="404" t="s">
        <v>7</v>
      </c>
      <c r="F47" s="5"/>
      <c r="G47" s="5"/>
      <c r="H47" s="5"/>
      <c r="I47" s="5"/>
      <c r="J47" s="5"/>
      <c r="K47" s="112" t="s">
        <v>55</v>
      </c>
      <c r="L47" s="3896" t="s">
        <v>56</v>
      </c>
      <c r="M47" s="3897"/>
      <c r="N47" s="3898"/>
      <c r="O47" s="110" t="s">
        <v>55</v>
      </c>
      <c r="P47" s="5"/>
      <c r="Q47" s="5"/>
      <c r="R47" s="403" t="s">
        <v>9</v>
      </c>
      <c r="S47" s="139"/>
      <c r="T47" s="6"/>
      <c r="U47" s="6"/>
      <c r="V47" s="5"/>
      <c r="W47" s="5"/>
      <c r="X47" s="577" t="s">
        <v>71</v>
      </c>
      <c r="Y47" s="86"/>
      <c r="Z47" s="5"/>
      <c r="AA47" s="138"/>
      <c r="AB47" s="138"/>
      <c r="AC47" s="138"/>
      <c r="AD47" s="138"/>
      <c r="AE47" s="5"/>
      <c r="AF47" s="5"/>
      <c r="AG47" s="347"/>
    </row>
    <row r="48" spans="1:33" ht="15.75">
      <c r="A48" s="3884"/>
      <c r="B48" s="247" t="s">
        <v>149</v>
      </c>
      <c r="C48" s="173" t="s">
        <v>150</v>
      </c>
      <c r="D48" s="11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139"/>
      <c r="T48" s="6"/>
      <c r="U48" s="6"/>
      <c r="V48" s="5"/>
      <c r="W48" s="5"/>
      <c r="X48" s="5"/>
      <c r="Y48" s="5"/>
      <c r="Z48" s="5"/>
      <c r="AA48" s="138"/>
      <c r="AB48" s="138"/>
      <c r="AC48" s="138"/>
      <c r="AD48" s="138"/>
      <c r="AE48" s="5"/>
      <c r="AF48" s="5"/>
      <c r="AG48" s="111"/>
    </row>
    <row r="49" spans="1:33" ht="15.75">
      <c r="A49" s="3885"/>
      <c r="B49" s="314" t="s">
        <v>149</v>
      </c>
      <c r="C49" s="315" t="s">
        <v>151</v>
      </c>
      <c r="D49" s="114"/>
      <c r="E49" s="6"/>
      <c r="F49" s="6"/>
      <c r="G49" s="6"/>
      <c r="H49" s="6"/>
      <c r="I49" s="6"/>
      <c r="J49" s="8"/>
      <c r="K49" s="6"/>
      <c r="L49" s="6"/>
      <c r="M49" s="6"/>
      <c r="N49" s="6"/>
      <c r="O49" s="6"/>
      <c r="P49" s="6"/>
      <c r="Q49" s="6"/>
      <c r="R49" s="6"/>
      <c r="S49" s="139"/>
      <c r="T49" s="6"/>
      <c r="U49" s="6"/>
      <c r="V49" s="6"/>
      <c r="W49" s="6"/>
      <c r="X49" s="6"/>
      <c r="Y49" s="6"/>
      <c r="Z49" s="3893" t="s">
        <v>152</v>
      </c>
      <c r="AA49" s="3894"/>
      <c r="AB49" s="3894"/>
      <c r="AC49" s="3894"/>
      <c r="AD49" s="3895"/>
      <c r="AE49" s="6"/>
      <c r="AF49" s="5"/>
      <c r="AG49" s="111"/>
    </row>
    <row r="50" spans="1:33" ht="15.75">
      <c r="A50" s="3883" t="s">
        <v>13</v>
      </c>
      <c r="B50" s="83" t="s">
        <v>77</v>
      </c>
      <c r="C50" s="300" t="s">
        <v>153</v>
      </c>
      <c r="D50" s="6"/>
      <c r="E50" s="3555" t="s">
        <v>7</v>
      </c>
      <c r="F50" s="140" t="s">
        <v>7</v>
      </c>
      <c r="G50" s="8"/>
      <c r="H50" s="8"/>
      <c r="I50" s="570"/>
      <c r="J50" s="96"/>
      <c r="K50" s="141" t="s">
        <v>55</v>
      </c>
      <c r="L50" s="3896" t="s">
        <v>56</v>
      </c>
      <c r="M50" s="3897"/>
      <c r="N50" s="3898"/>
      <c r="O50" s="110" t="s">
        <v>55</v>
      </c>
      <c r="P50" s="6"/>
      <c r="R50" s="3556" t="s">
        <v>58</v>
      </c>
      <c r="S50" s="3880" t="s">
        <v>62</v>
      </c>
      <c r="T50" s="3881"/>
      <c r="U50" s="3882"/>
      <c r="V50" s="6"/>
      <c r="W50" s="6"/>
      <c r="X50" s="577" t="s">
        <v>71</v>
      </c>
      <c r="Y50" s="6"/>
      <c r="Z50" s="5"/>
      <c r="AA50" s="138"/>
      <c r="AB50" s="138"/>
      <c r="AC50" s="138"/>
      <c r="AD50" s="138"/>
      <c r="AE50" s="5"/>
      <c r="AF50" s="5"/>
      <c r="AG50" s="111"/>
    </row>
    <row r="51" spans="1:33" ht="15.75">
      <c r="A51" s="3884"/>
      <c r="B51" s="247" t="s">
        <v>95</v>
      </c>
      <c r="C51" s="173" t="s">
        <v>86</v>
      </c>
      <c r="D51" s="7"/>
      <c r="E51" s="3555" t="s">
        <v>7</v>
      </c>
      <c r="F51" s="3950" t="s">
        <v>154</v>
      </c>
      <c r="G51" s="3951"/>
      <c r="H51" s="3951"/>
      <c r="I51" s="3952"/>
      <c r="J51" s="113"/>
      <c r="K51" s="141" t="s">
        <v>55</v>
      </c>
      <c r="L51" s="3896" t="s">
        <v>56</v>
      </c>
      <c r="M51" s="3897"/>
      <c r="N51" s="3898"/>
      <c r="O51" s="110" t="s">
        <v>55</v>
      </c>
      <c r="P51" s="7"/>
      <c r="Q51" s="7"/>
      <c r="R51" s="344" t="s">
        <v>9</v>
      </c>
      <c r="S51" s="3880" t="s">
        <v>62</v>
      </c>
      <c r="T51" s="3881"/>
      <c r="U51" s="3882"/>
      <c r="V51" s="7"/>
      <c r="W51" s="7"/>
      <c r="X51" s="6"/>
      <c r="Y51" s="108" t="s">
        <v>45</v>
      </c>
      <c r="Z51" s="415"/>
      <c r="AA51" s="7"/>
      <c r="AB51" s="7"/>
      <c r="AC51" s="7"/>
      <c r="AD51" s="7"/>
      <c r="AE51" s="7"/>
      <c r="AF51" s="7"/>
      <c r="AG51" s="111"/>
    </row>
    <row r="52" spans="1:33" ht="15.75">
      <c r="A52" s="3969"/>
      <c r="B52" s="99" t="s">
        <v>155</v>
      </c>
      <c r="C52" s="177" t="s">
        <v>156</v>
      </c>
      <c r="D52" s="145"/>
      <c r="E52" s="405" t="s">
        <v>7</v>
      </c>
      <c r="F52" s="143"/>
      <c r="G52" s="143"/>
      <c r="H52" s="143"/>
      <c r="I52" s="143"/>
      <c r="J52" s="142"/>
      <c r="K52" s="144" t="s">
        <v>55</v>
      </c>
      <c r="L52" s="3973" t="s">
        <v>56</v>
      </c>
      <c r="M52" s="3974"/>
      <c r="N52" s="3975"/>
      <c r="O52" s="360" t="s">
        <v>55</v>
      </c>
      <c r="P52" s="145"/>
      <c r="Q52" s="145"/>
      <c r="R52" s="356" t="s">
        <v>157</v>
      </c>
      <c r="S52" s="146"/>
      <c r="T52" s="146"/>
      <c r="U52" s="146"/>
      <c r="V52" s="145"/>
      <c r="W52" s="145"/>
      <c r="X52" s="578" t="s">
        <v>71</v>
      </c>
      <c r="Y52" s="145"/>
      <c r="Z52" s="145"/>
      <c r="AA52" s="145"/>
      <c r="AB52" s="3970" t="s">
        <v>158</v>
      </c>
      <c r="AC52" s="3971"/>
      <c r="AD52" s="3972"/>
      <c r="AE52" s="147"/>
      <c r="AF52" s="142"/>
      <c r="AG52" s="70"/>
    </row>
    <row r="53" spans="1:33">
      <c r="A53" s="10"/>
      <c r="B53" s="10"/>
      <c r="C53" s="10"/>
    </row>
  </sheetData>
  <mergeCells count="93">
    <mergeCell ref="Z49:AD49"/>
    <mergeCell ref="A20:A22"/>
    <mergeCell ref="A12:C12"/>
    <mergeCell ref="X10:AG10"/>
    <mergeCell ref="J16:M16"/>
    <mergeCell ref="M19:R19"/>
    <mergeCell ref="D16:F16"/>
    <mergeCell ref="G16:I16"/>
    <mergeCell ref="A26:A30"/>
    <mergeCell ref="Y23:AE23"/>
    <mergeCell ref="AA40:AD40"/>
    <mergeCell ref="AA17:AD17"/>
    <mergeCell ref="Z16:AD16"/>
    <mergeCell ref="S16:U16"/>
    <mergeCell ref="S26:U26"/>
    <mergeCell ref="AE43:AG43"/>
    <mergeCell ref="A50:A52"/>
    <mergeCell ref="F51:I51"/>
    <mergeCell ref="AB52:AD52"/>
    <mergeCell ref="L51:N51"/>
    <mergeCell ref="L52:N52"/>
    <mergeCell ref="S50:U50"/>
    <mergeCell ref="S51:U51"/>
    <mergeCell ref="L50:N50"/>
    <mergeCell ref="X6:AG6"/>
    <mergeCell ref="A8:C8"/>
    <mergeCell ref="Q27:U27"/>
    <mergeCell ref="V27:X27"/>
    <mergeCell ref="A23:A25"/>
    <mergeCell ref="L24:N24"/>
    <mergeCell ref="S18:U18"/>
    <mergeCell ref="AA18:AD18"/>
    <mergeCell ref="A6:C6"/>
    <mergeCell ref="E6:J6"/>
    <mergeCell ref="L6:R6"/>
    <mergeCell ref="A7:C7"/>
    <mergeCell ref="J7:M7"/>
    <mergeCell ref="A9:C9"/>
    <mergeCell ref="A10:C10"/>
    <mergeCell ref="A14:C14"/>
    <mergeCell ref="Z5:AA5"/>
    <mergeCell ref="AC5:AF5"/>
    <mergeCell ref="A1:C1"/>
    <mergeCell ref="D1:AG1"/>
    <mergeCell ref="A2:C2"/>
    <mergeCell ref="A3:C3"/>
    <mergeCell ref="A4:C4"/>
    <mergeCell ref="AA4:AD4"/>
    <mergeCell ref="A5:C5"/>
    <mergeCell ref="N4:P4"/>
    <mergeCell ref="M5:Y5"/>
    <mergeCell ref="L8:N8"/>
    <mergeCell ref="L17:N17"/>
    <mergeCell ref="L23:N23"/>
    <mergeCell ref="L26:N26"/>
    <mergeCell ref="L41:N41"/>
    <mergeCell ref="E37:R37"/>
    <mergeCell ref="J21:S21"/>
    <mergeCell ref="E32:R32"/>
    <mergeCell ref="S31:Y31"/>
    <mergeCell ref="E33:G33"/>
    <mergeCell ref="H33:N33"/>
    <mergeCell ref="O33:R33"/>
    <mergeCell ref="S34:Y34"/>
    <mergeCell ref="Z32:AA32"/>
    <mergeCell ref="S32:Y32"/>
    <mergeCell ref="AB41:AD41"/>
    <mergeCell ref="S37:Y37"/>
    <mergeCell ref="AA35:AF35"/>
    <mergeCell ref="A46:A49"/>
    <mergeCell ref="A43:A45"/>
    <mergeCell ref="N46:S46"/>
    <mergeCell ref="L47:N47"/>
    <mergeCell ref="Q44:S44"/>
    <mergeCell ref="F44:K44"/>
    <mergeCell ref="J43:M43"/>
    <mergeCell ref="S43:U43"/>
    <mergeCell ref="AE44:AG44"/>
    <mergeCell ref="I31:N31"/>
    <mergeCell ref="O31:R31"/>
    <mergeCell ref="A13:C13"/>
    <mergeCell ref="A11:C11"/>
    <mergeCell ref="A31:A42"/>
    <mergeCell ref="E34:R34"/>
    <mergeCell ref="E35:R35"/>
    <mergeCell ref="Y44:Z44"/>
    <mergeCell ref="S33:Y33"/>
    <mergeCell ref="T11:U11"/>
    <mergeCell ref="Y13:Z13"/>
    <mergeCell ref="S35:Y35"/>
    <mergeCell ref="S28:U28"/>
    <mergeCell ref="S17:U17"/>
    <mergeCell ref="Y43:Z43"/>
  </mergeCells>
  <pageMargins left="0.7" right="0.7" top="0.75" bottom="0.75" header="0.3" footer="0.3"/>
  <pageSetup fitToHeight="0"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9DB8-1C82-483A-8D8E-74E8945A27C6}">
  <sheetPr>
    <pageSetUpPr fitToPage="1"/>
  </sheetPr>
  <dimension ref="A1:AI59"/>
  <sheetViews>
    <sheetView topLeftCell="A7" workbookViewId="0">
      <pane xSplit="3" topLeftCell="AJ1" activePane="topRight" state="frozen"/>
      <selection pane="topRight" activeCell="AJ61" sqref="AJ61"/>
    </sheetView>
  </sheetViews>
  <sheetFormatPr defaultColWidth="9.140625" defaultRowHeight="15"/>
  <cols>
    <col min="3" max="3" width="11.28515625" bestFit="1" customWidth="1"/>
    <col min="30" max="33" width="9.140625" bestFit="1" customWidth="1"/>
  </cols>
  <sheetData>
    <row r="1" spans="1:34" ht="15.75">
      <c r="A1" s="4035" t="s">
        <v>29</v>
      </c>
      <c r="B1" s="4036"/>
      <c r="C1" s="4036"/>
      <c r="D1" s="4037" t="s">
        <v>159</v>
      </c>
      <c r="E1" s="4037"/>
      <c r="F1" s="4037"/>
      <c r="G1" s="4037"/>
      <c r="H1" s="4037"/>
      <c r="I1" s="4037"/>
      <c r="J1" s="4037"/>
      <c r="K1" s="4037"/>
      <c r="L1" s="4037"/>
      <c r="M1" s="4037"/>
      <c r="N1" s="4037"/>
      <c r="O1" s="4037"/>
      <c r="P1" s="4037"/>
      <c r="Q1" s="4037"/>
      <c r="R1" s="4037"/>
      <c r="S1" s="4037"/>
      <c r="T1" s="4037"/>
      <c r="U1" s="4037"/>
      <c r="V1" s="4037"/>
      <c r="W1" s="4037"/>
      <c r="X1" s="4037"/>
      <c r="Y1" s="4037"/>
      <c r="Z1" s="4037"/>
      <c r="AA1" s="4037"/>
      <c r="AB1" s="4037"/>
      <c r="AC1" s="4037"/>
      <c r="AD1" s="4037"/>
      <c r="AE1" s="4037"/>
      <c r="AF1" s="4037"/>
      <c r="AG1" s="4037"/>
      <c r="AH1" s="4038"/>
    </row>
    <row r="2" spans="1:34" ht="15.75">
      <c r="A2" s="4039" t="s">
        <v>31</v>
      </c>
      <c r="B2" s="4040"/>
      <c r="C2" s="4040"/>
      <c r="D2" s="3566">
        <v>1</v>
      </c>
      <c r="E2" s="3566">
        <v>2</v>
      </c>
      <c r="F2" s="3566">
        <v>3</v>
      </c>
      <c r="G2" s="3566">
        <v>4</v>
      </c>
      <c r="H2" s="3566">
        <v>5</v>
      </c>
      <c r="I2" s="3566">
        <v>6</v>
      </c>
      <c r="J2" s="3566">
        <v>7</v>
      </c>
      <c r="K2" s="3566">
        <v>8</v>
      </c>
      <c r="L2" s="3566">
        <v>9</v>
      </c>
      <c r="M2" s="3566">
        <v>10</v>
      </c>
      <c r="N2" s="3566">
        <v>11</v>
      </c>
      <c r="O2" s="3566">
        <v>12</v>
      </c>
      <c r="P2" s="3566">
        <v>13</v>
      </c>
      <c r="Q2" s="3566">
        <v>14</v>
      </c>
      <c r="R2" s="3566">
        <v>15</v>
      </c>
      <c r="S2" s="3566">
        <v>16</v>
      </c>
      <c r="T2" s="3566">
        <v>17</v>
      </c>
      <c r="U2" s="3566">
        <v>18</v>
      </c>
      <c r="V2" s="3566">
        <v>19</v>
      </c>
      <c r="W2" s="3566">
        <v>20</v>
      </c>
      <c r="X2" s="3566">
        <v>21</v>
      </c>
      <c r="Y2" s="3566">
        <v>22</v>
      </c>
      <c r="Z2" s="3566">
        <v>23</v>
      </c>
      <c r="AA2" s="3566">
        <v>24</v>
      </c>
      <c r="AB2" s="3566">
        <v>25</v>
      </c>
      <c r="AC2" s="3566">
        <v>26</v>
      </c>
      <c r="AD2" s="3566">
        <v>27</v>
      </c>
      <c r="AE2" s="3566">
        <v>28</v>
      </c>
      <c r="AF2" s="3566">
        <v>29</v>
      </c>
      <c r="AG2" s="3566">
        <v>30</v>
      </c>
      <c r="AH2" s="346">
        <v>31</v>
      </c>
    </row>
    <row r="3" spans="1:34" ht="15.75">
      <c r="A3" s="4041" t="s">
        <v>32</v>
      </c>
      <c r="B3" s="4042"/>
      <c r="C3" s="4042"/>
      <c r="D3" s="3567" t="s">
        <v>33</v>
      </c>
      <c r="E3" s="3567" t="s">
        <v>35</v>
      </c>
      <c r="F3" s="71" t="s">
        <v>36</v>
      </c>
      <c r="G3" s="71" t="s">
        <v>36</v>
      </c>
      <c r="H3" s="3567" t="s">
        <v>37</v>
      </c>
      <c r="I3" s="3567" t="s">
        <v>33</v>
      </c>
      <c r="J3" s="3567" t="s">
        <v>34</v>
      </c>
      <c r="K3" s="3567" t="s">
        <v>33</v>
      </c>
      <c r="L3" s="3567" t="s">
        <v>35</v>
      </c>
      <c r="M3" s="71" t="s">
        <v>36</v>
      </c>
      <c r="N3" s="71" t="s">
        <v>36</v>
      </c>
      <c r="O3" s="3567" t="s">
        <v>37</v>
      </c>
      <c r="P3" s="3567" t="s">
        <v>33</v>
      </c>
      <c r="Q3" s="3567" t="s">
        <v>34</v>
      </c>
      <c r="R3" s="3567" t="s">
        <v>33</v>
      </c>
      <c r="S3" s="3567" t="s">
        <v>35</v>
      </c>
      <c r="T3" s="71" t="s">
        <v>36</v>
      </c>
      <c r="U3" s="71" t="s">
        <v>36</v>
      </c>
      <c r="V3" s="3567" t="s">
        <v>37</v>
      </c>
      <c r="W3" s="3567" t="s">
        <v>33</v>
      </c>
      <c r="X3" s="3567" t="s">
        <v>34</v>
      </c>
      <c r="Y3" s="3567" t="s">
        <v>33</v>
      </c>
      <c r="Z3" s="3567" t="s">
        <v>35</v>
      </c>
      <c r="AA3" s="71" t="s">
        <v>36</v>
      </c>
      <c r="AB3" s="71" t="s">
        <v>36</v>
      </c>
      <c r="AC3" s="148" t="s">
        <v>37</v>
      </c>
      <c r="AD3" s="3567" t="s">
        <v>33</v>
      </c>
      <c r="AE3" s="3567" t="s">
        <v>34</v>
      </c>
      <c r="AF3" s="3567" t="s">
        <v>33</v>
      </c>
      <c r="AG3" s="3567" t="s">
        <v>35</v>
      </c>
      <c r="AH3" s="453" t="s">
        <v>36</v>
      </c>
    </row>
    <row r="4" spans="1:34" s="1" customFormat="1" ht="15.75">
      <c r="A4" s="4049" t="s">
        <v>38</v>
      </c>
      <c r="B4" s="4050"/>
      <c r="C4" s="4050"/>
      <c r="D4" s="151"/>
      <c r="E4" s="454" t="s">
        <v>160</v>
      </c>
      <c r="F4" s="151"/>
      <c r="G4" s="151"/>
      <c r="H4" s="151"/>
      <c r="I4" s="151"/>
      <c r="J4" s="151"/>
      <c r="K4" s="151"/>
      <c r="L4" s="455"/>
      <c r="M4" s="456"/>
      <c r="N4" s="456"/>
      <c r="O4" s="457"/>
      <c r="P4" s="457"/>
      <c r="Q4" s="151"/>
      <c r="R4" s="151"/>
      <c r="S4" s="151"/>
      <c r="T4" s="151"/>
      <c r="U4" s="151"/>
      <c r="V4" s="151"/>
      <c r="W4" s="151"/>
      <c r="X4" s="151"/>
      <c r="Y4" s="151"/>
      <c r="Z4" s="4055" t="s">
        <v>161</v>
      </c>
      <c r="AA4" s="4055"/>
      <c r="AB4" s="4055"/>
      <c r="AC4" s="4055"/>
      <c r="AD4" s="456"/>
      <c r="AE4" s="151"/>
      <c r="AF4" s="151"/>
      <c r="AG4" s="4053" t="s">
        <v>162</v>
      </c>
      <c r="AH4" s="4054"/>
    </row>
    <row r="5" spans="1:34" s="1" customFormat="1" ht="15.75">
      <c r="A5" s="4051" t="s">
        <v>42</v>
      </c>
      <c r="B5" s="4052"/>
      <c r="C5" s="4052"/>
      <c r="D5" s="150"/>
      <c r="E5" s="150"/>
      <c r="F5" s="150"/>
      <c r="G5" s="150"/>
      <c r="H5" s="150"/>
      <c r="I5" s="150"/>
      <c r="J5" s="150"/>
      <c r="K5" s="150"/>
      <c r="L5" s="3569" t="s">
        <v>44</v>
      </c>
      <c r="M5" s="150"/>
      <c r="N5" s="150"/>
      <c r="O5" s="150"/>
      <c r="P5" s="587" t="s">
        <v>163</v>
      </c>
      <c r="Q5" s="150"/>
      <c r="R5" s="150"/>
      <c r="S5" s="150"/>
      <c r="T5" s="4052" t="s">
        <v>164</v>
      </c>
      <c r="U5" s="4052"/>
      <c r="V5" s="4052"/>
      <c r="W5" s="4052"/>
      <c r="X5" s="4052"/>
      <c r="Y5" s="187"/>
      <c r="Z5" s="188"/>
      <c r="AA5" s="152"/>
      <c r="AB5" s="152"/>
      <c r="AC5" s="152"/>
      <c r="AD5" s="152"/>
      <c r="AE5" s="150"/>
      <c r="AF5" s="150"/>
      <c r="AG5" s="150"/>
      <c r="AH5" s="153"/>
    </row>
    <row r="6" spans="1:34" s="1" customFormat="1" ht="15.75">
      <c r="A6" s="4061" t="s">
        <v>165</v>
      </c>
      <c r="B6" s="4062"/>
      <c r="C6" s="4062"/>
      <c r="D6" s="548"/>
      <c r="E6" s="548"/>
      <c r="F6" s="548"/>
      <c r="G6" s="548"/>
      <c r="H6" s="548"/>
      <c r="I6" s="548"/>
      <c r="J6" s="548"/>
      <c r="K6" s="548"/>
      <c r="L6" s="549"/>
      <c r="M6" s="548"/>
      <c r="N6" s="548"/>
      <c r="O6" s="548"/>
      <c r="P6" s="548"/>
      <c r="Q6" s="548"/>
      <c r="R6" s="548" t="s">
        <v>48</v>
      </c>
      <c r="S6" s="548"/>
      <c r="T6" s="549"/>
      <c r="U6" s="549"/>
      <c r="V6" s="549"/>
      <c r="W6" s="549"/>
      <c r="X6" s="549"/>
      <c r="Y6" s="548"/>
      <c r="Z6" s="550"/>
      <c r="AA6" s="550"/>
      <c r="AB6" s="550"/>
      <c r="AC6" s="550"/>
      <c r="AD6" s="550"/>
      <c r="AE6" s="548"/>
      <c r="AF6" s="548" t="s">
        <v>44</v>
      </c>
      <c r="AG6" s="548"/>
      <c r="AH6" s="551"/>
    </row>
    <row r="7" spans="1:34" s="1" customFormat="1" ht="15.75">
      <c r="A7" s="4063" t="s">
        <v>49</v>
      </c>
      <c r="B7" s="4043"/>
      <c r="C7" s="4043"/>
      <c r="D7" s="586" t="s">
        <v>166</v>
      </c>
      <c r="E7" s="460" t="s">
        <v>167</v>
      </c>
      <c r="F7" s="4043" t="s">
        <v>168</v>
      </c>
      <c r="G7" s="4043"/>
      <c r="H7" s="4043"/>
      <c r="I7" s="4043"/>
      <c r="J7" s="4043" t="s">
        <v>169</v>
      </c>
      <c r="K7" s="4043"/>
      <c r="L7" s="4043"/>
      <c r="M7" s="4043"/>
      <c r="N7" s="4043"/>
      <c r="O7" s="4043"/>
      <c r="P7" s="587" t="s">
        <v>163</v>
      </c>
      <c r="Q7" s="149"/>
      <c r="R7" s="149"/>
      <c r="S7" s="547" t="s">
        <v>48</v>
      </c>
      <c r="T7" s="4043" t="s">
        <v>170</v>
      </c>
      <c r="U7" s="4043"/>
      <c r="V7" s="4043"/>
      <c r="W7" s="149"/>
      <c r="X7" s="149"/>
      <c r="Y7" s="149"/>
      <c r="Z7" s="149"/>
      <c r="AA7" s="102"/>
      <c r="AB7" s="102"/>
      <c r="AC7" s="102"/>
      <c r="AD7" s="102"/>
      <c r="AE7" s="149"/>
      <c r="AF7" s="149"/>
      <c r="AG7" s="547" t="s">
        <v>44</v>
      </c>
      <c r="AH7" s="186"/>
    </row>
    <row r="8" spans="1:34" s="1" customFormat="1" ht="15.75">
      <c r="A8" s="4056" t="s">
        <v>171</v>
      </c>
      <c r="B8" s="4057"/>
      <c r="C8" s="4057"/>
      <c r="D8" s="171"/>
      <c r="E8" s="160"/>
      <c r="F8" s="160"/>
      <c r="G8" s="160"/>
      <c r="H8" s="160"/>
      <c r="I8" s="4058" t="s">
        <v>172</v>
      </c>
      <c r="J8" s="4059"/>
      <c r="K8" s="4059"/>
      <c r="L8" s="4060"/>
      <c r="M8" s="160"/>
      <c r="N8" s="160"/>
      <c r="O8" s="160"/>
      <c r="P8" s="160"/>
      <c r="Q8" s="160"/>
      <c r="R8" s="160"/>
      <c r="S8" s="171"/>
      <c r="T8" s="171"/>
      <c r="U8" s="171"/>
      <c r="V8" s="171"/>
      <c r="W8" s="171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459"/>
    </row>
    <row r="9" spans="1:34" ht="15" customHeight="1">
      <c r="A9" s="4068" t="s">
        <v>54</v>
      </c>
      <c r="B9" s="4069"/>
      <c r="C9" s="4069"/>
      <c r="D9" s="156"/>
      <c r="E9" s="156"/>
      <c r="F9" s="157"/>
      <c r="G9" s="157"/>
      <c r="H9" s="157"/>
      <c r="I9" s="4001" t="s">
        <v>173</v>
      </c>
      <c r="J9" s="4001"/>
      <c r="K9" s="4001"/>
      <c r="L9" s="4001"/>
      <c r="M9" s="4001"/>
      <c r="N9" s="4001"/>
      <c r="O9" s="4001" t="s">
        <v>174</v>
      </c>
      <c r="P9" s="4001"/>
      <c r="Q9" s="4001"/>
      <c r="R9" s="4001"/>
      <c r="S9" s="4001"/>
      <c r="T9" s="4001" t="s">
        <v>175</v>
      </c>
      <c r="U9" s="4001"/>
      <c r="V9" s="4001"/>
      <c r="W9" s="4001"/>
      <c r="X9" s="4001"/>
      <c r="Y9" s="157"/>
      <c r="Z9" s="157"/>
      <c r="AA9" s="158"/>
      <c r="AB9" s="158"/>
      <c r="AC9" s="158"/>
      <c r="AD9" s="158"/>
      <c r="AE9" s="157"/>
      <c r="AF9" s="157"/>
      <c r="AG9" s="96"/>
      <c r="AH9" s="87"/>
    </row>
    <row r="10" spans="1:34" ht="15.75">
      <c r="A10" s="4006" t="s">
        <v>57</v>
      </c>
      <c r="B10" s="4007"/>
      <c r="C10" s="4007"/>
      <c r="D10" s="159" t="s">
        <v>9</v>
      </c>
      <c r="E10" s="159" t="s">
        <v>45</v>
      </c>
      <c r="F10" s="157"/>
      <c r="G10" s="88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88"/>
      <c r="S10" s="157"/>
      <c r="T10" s="160"/>
      <c r="U10" s="160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61"/>
      <c r="AH10" s="87"/>
    </row>
    <row r="11" spans="1:34" ht="15" customHeight="1">
      <c r="A11" s="4011" t="s">
        <v>176</v>
      </c>
      <c r="B11" s="4012"/>
      <c r="C11" s="4012"/>
      <c r="D11" s="156"/>
      <c r="E11" s="156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62" t="s">
        <v>163</v>
      </c>
      <c r="Q11" s="157"/>
      <c r="S11" s="157"/>
      <c r="T11" s="157"/>
      <c r="U11" s="157"/>
      <c r="V11" s="157"/>
      <c r="W11" s="157"/>
      <c r="X11" s="4003" t="s">
        <v>177</v>
      </c>
      <c r="Y11" s="4003"/>
      <c r="Z11" s="163"/>
      <c r="AA11" s="163"/>
      <c r="AB11" s="163"/>
      <c r="AC11" s="163"/>
      <c r="AD11" s="163"/>
      <c r="AE11" s="163"/>
      <c r="AF11" s="163"/>
      <c r="AG11" s="163"/>
      <c r="AH11" s="87"/>
    </row>
    <row r="12" spans="1:34" ht="15" customHeight="1">
      <c r="A12" s="4044" t="s">
        <v>63</v>
      </c>
      <c r="B12" s="4045"/>
      <c r="C12" s="4045"/>
      <c r="D12" s="3568" t="s">
        <v>178</v>
      </c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3568" t="s">
        <v>9</v>
      </c>
      <c r="R12" s="164"/>
      <c r="T12" s="164"/>
      <c r="U12" s="164"/>
      <c r="V12" s="323"/>
      <c r="W12" s="164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6"/>
    </row>
    <row r="13" spans="1:34" ht="15" customHeight="1">
      <c r="A13" s="4013" t="s">
        <v>179</v>
      </c>
      <c r="B13" s="4014"/>
      <c r="C13" s="4014"/>
      <c r="D13" s="187"/>
      <c r="E13" s="187"/>
      <c r="F13" s="458"/>
      <c r="G13" s="458"/>
      <c r="H13" s="461"/>
      <c r="I13" s="4014" t="s">
        <v>180</v>
      </c>
      <c r="J13" s="4014"/>
      <c r="K13" s="4014"/>
      <c r="L13" s="461"/>
      <c r="M13" s="458"/>
      <c r="N13" s="458"/>
      <c r="O13" s="445"/>
      <c r="P13" s="445"/>
      <c r="Q13" s="445"/>
      <c r="R13" s="445"/>
      <c r="S13" s="445"/>
      <c r="T13" s="458"/>
      <c r="U13" s="458"/>
      <c r="V13" s="458"/>
      <c r="W13" s="458"/>
      <c r="X13" s="462"/>
      <c r="Y13" s="462"/>
      <c r="Z13" s="462"/>
      <c r="AA13" s="462"/>
      <c r="AB13" s="462"/>
      <c r="AC13" s="462"/>
      <c r="AD13" s="462"/>
      <c r="AE13" s="462"/>
      <c r="AF13" s="462"/>
      <c r="AG13" s="462"/>
      <c r="AH13" s="85"/>
    </row>
    <row r="14" spans="1:34" ht="15.75">
      <c r="A14" s="4046" t="s">
        <v>26</v>
      </c>
      <c r="B14" s="4047"/>
      <c r="C14" s="4047"/>
      <c r="D14" s="4048" t="s">
        <v>181</v>
      </c>
      <c r="E14" s="4048"/>
      <c r="F14" s="4048"/>
      <c r="G14" s="4048"/>
      <c r="H14" s="4048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4"/>
    </row>
    <row r="15" spans="1:34" ht="9.75" customHeight="1">
      <c r="A15" s="469"/>
      <c r="B15" s="469"/>
      <c r="C15" s="469"/>
      <c r="D15" s="446"/>
      <c r="E15" s="446"/>
      <c r="F15" s="446"/>
      <c r="G15" s="446"/>
      <c r="H15" s="446"/>
      <c r="I15" s="444"/>
      <c r="J15" s="444"/>
      <c r="K15" s="444"/>
      <c r="L15" s="444"/>
      <c r="M15" s="444"/>
      <c r="N15" s="444"/>
      <c r="O15" s="444"/>
      <c r="P15" s="444"/>
      <c r="Q15" s="444"/>
      <c r="R15" s="444"/>
      <c r="S15" s="444"/>
      <c r="T15" s="444"/>
      <c r="U15" s="444"/>
      <c r="V15" s="444"/>
      <c r="W15" s="444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470"/>
    </row>
    <row r="16" spans="1:34" ht="15.75">
      <c r="A16" s="3552" t="s">
        <v>66</v>
      </c>
      <c r="B16" s="83" t="s">
        <v>67</v>
      </c>
      <c r="C16" s="463" t="s">
        <v>68</v>
      </c>
      <c r="D16" s="464" t="s">
        <v>9</v>
      </c>
      <c r="E16" s="463"/>
      <c r="F16" s="463"/>
      <c r="G16" s="463"/>
      <c r="H16" s="445"/>
      <c r="I16" s="465"/>
      <c r="J16" s="465"/>
      <c r="K16" s="465"/>
      <c r="L16" s="465"/>
      <c r="M16" s="445"/>
      <c r="N16" s="445"/>
      <c r="O16" s="445"/>
      <c r="P16" s="651" t="s">
        <v>163</v>
      </c>
      <c r="Q16" s="94"/>
      <c r="R16" s="94"/>
      <c r="S16" s="445"/>
      <c r="T16" s="445"/>
      <c r="U16" s="445"/>
      <c r="V16" s="4065" t="s">
        <v>72</v>
      </c>
      <c r="W16" s="4066"/>
      <c r="X16" s="4066"/>
      <c r="Y16" s="4066"/>
      <c r="Z16" s="4066"/>
      <c r="AA16" s="4066"/>
      <c r="AB16" s="4066"/>
      <c r="AC16" s="4067"/>
      <c r="AD16" s="445"/>
      <c r="AE16" s="84"/>
      <c r="AF16" s="84"/>
      <c r="AG16" s="84"/>
      <c r="AH16" s="466"/>
    </row>
    <row r="17" spans="1:34" ht="15.75">
      <c r="A17" s="3553" t="s">
        <v>73</v>
      </c>
      <c r="B17" s="247" t="s">
        <v>67</v>
      </c>
      <c r="C17" s="86" t="s">
        <v>74</v>
      </c>
      <c r="D17" s="3561" t="s">
        <v>178</v>
      </c>
      <c r="E17" s="418" t="s">
        <v>167</v>
      </c>
      <c r="F17" s="297"/>
      <c r="G17" s="297"/>
      <c r="H17" s="175" t="s">
        <v>55</v>
      </c>
      <c r="I17" s="3896" t="s">
        <v>182</v>
      </c>
      <c r="J17" s="3897"/>
      <c r="K17" s="3898"/>
      <c r="L17" s="175" t="s">
        <v>55</v>
      </c>
      <c r="M17" s="94"/>
      <c r="N17" s="94"/>
      <c r="O17" s="94"/>
      <c r="P17" s="649" t="s">
        <v>163</v>
      </c>
      <c r="Q17" s="3576" t="s">
        <v>9</v>
      </c>
      <c r="R17" s="199" t="s">
        <v>30</v>
      </c>
      <c r="T17" s="4020" t="s">
        <v>170</v>
      </c>
      <c r="U17" s="4020"/>
      <c r="V17" s="4020"/>
      <c r="W17" s="175" t="s">
        <v>55</v>
      </c>
      <c r="X17" s="4003" t="s">
        <v>177</v>
      </c>
      <c r="Y17" s="4003"/>
      <c r="Z17" s="175" t="s">
        <v>55</v>
      </c>
      <c r="AA17" s="247"/>
      <c r="AB17" s="247"/>
      <c r="AC17" s="247"/>
      <c r="AD17" s="247"/>
      <c r="AE17" s="94"/>
      <c r="AF17" s="94"/>
      <c r="AG17" s="3950" t="s">
        <v>183</v>
      </c>
      <c r="AH17" s="4064"/>
    </row>
    <row r="18" spans="1:34" ht="15.75" customHeight="1">
      <c r="A18" s="3553" t="s">
        <v>76</v>
      </c>
      <c r="B18" s="247" t="s">
        <v>77</v>
      </c>
      <c r="C18" s="86" t="s">
        <v>78</v>
      </c>
      <c r="D18" s="159" t="s">
        <v>9</v>
      </c>
      <c r="E18" s="297"/>
      <c r="F18" s="297"/>
      <c r="G18" s="297"/>
      <c r="H18" s="175" t="s">
        <v>55</v>
      </c>
      <c r="I18" s="3896" t="s">
        <v>182</v>
      </c>
      <c r="J18" s="3897"/>
      <c r="K18" s="3897"/>
      <c r="L18" s="3897"/>
      <c r="M18" s="3897"/>
      <c r="N18" s="3897"/>
      <c r="O18" s="777" t="s">
        <v>55</v>
      </c>
      <c r="P18" s="649" t="s">
        <v>163</v>
      </c>
      <c r="Q18" s="3988" t="s">
        <v>184</v>
      </c>
      <c r="R18" s="3988"/>
      <c r="S18" s="3988"/>
      <c r="T18" s="3988"/>
      <c r="U18" s="3988"/>
      <c r="V18" s="3988"/>
      <c r="W18" s="3988"/>
      <c r="X18" s="3988"/>
      <c r="Y18" s="3988"/>
      <c r="Z18" s="3988"/>
      <c r="AA18" s="3988"/>
      <c r="AB18" s="3988"/>
      <c r="AC18" s="3988"/>
      <c r="AD18" s="3988"/>
      <c r="AE18" s="3988"/>
      <c r="AF18" s="3988"/>
      <c r="AG18" s="246"/>
      <c r="AH18" s="467"/>
    </row>
    <row r="19" spans="1:34" ht="15.75">
      <c r="A19" s="3554" t="s">
        <v>80</v>
      </c>
      <c r="B19" s="314" t="s">
        <v>81</v>
      </c>
      <c r="C19" s="442" t="s">
        <v>82</v>
      </c>
      <c r="D19" s="472" t="s">
        <v>9</v>
      </c>
      <c r="E19" s="102" t="s">
        <v>9</v>
      </c>
      <c r="F19" s="317"/>
      <c r="G19" s="317"/>
      <c r="H19" s="440" t="s">
        <v>55</v>
      </c>
      <c r="I19" s="3973" t="s">
        <v>185</v>
      </c>
      <c r="J19" s="3974"/>
      <c r="K19" s="3974"/>
      <c r="L19" s="3974"/>
      <c r="M19" s="3974"/>
      <c r="N19" s="3974"/>
      <c r="O19" s="3974"/>
      <c r="P19" s="3974"/>
      <c r="Q19" s="3974"/>
      <c r="R19" s="3974"/>
      <c r="S19" s="3974"/>
      <c r="T19" s="3974"/>
      <c r="U19" s="3974"/>
      <c r="V19" s="3974"/>
      <c r="W19" s="3974"/>
      <c r="X19" s="3975"/>
      <c r="Y19" s="318" t="s">
        <v>55</v>
      </c>
      <c r="Z19" s="507"/>
      <c r="AA19" s="507"/>
      <c r="AB19" s="507"/>
      <c r="AC19" s="507"/>
      <c r="AD19" s="508"/>
      <c r="AE19" s="4072" t="s">
        <v>186</v>
      </c>
      <c r="AF19" s="3971"/>
      <c r="AG19" s="3971"/>
      <c r="AH19" s="4086"/>
    </row>
    <row r="20" spans="1:34" ht="15.75">
      <c r="A20" s="3883" t="s">
        <v>84</v>
      </c>
      <c r="B20" s="83" t="s">
        <v>85</v>
      </c>
      <c r="C20" s="463" t="s">
        <v>86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4008" t="s">
        <v>187</v>
      </c>
      <c r="AA20" s="4008"/>
      <c r="AB20" s="4008"/>
      <c r="AC20" s="4008"/>
      <c r="AD20" s="83"/>
      <c r="AE20" s="83"/>
      <c r="AF20" s="83"/>
      <c r="AG20" s="83"/>
      <c r="AH20" s="471"/>
    </row>
    <row r="21" spans="1:34" ht="15.75">
      <c r="A21" s="3884"/>
      <c r="B21" s="247" t="s">
        <v>87</v>
      </c>
      <c r="C21" s="86" t="s">
        <v>88</v>
      </c>
      <c r="D21" s="384"/>
      <c r="E21" s="384"/>
      <c r="F21" s="447"/>
      <c r="G21" s="384"/>
      <c r="H21" s="384"/>
      <c r="I21" s="384"/>
      <c r="J21" s="3551"/>
      <c r="K21" s="3988" t="s">
        <v>188</v>
      </c>
      <c r="L21" s="3988"/>
      <c r="M21" s="3988"/>
      <c r="N21" s="3988"/>
      <c r="O21" s="3988"/>
      <c r="P21" s="3988"/>
      <c r="Q21" s="3988"/>
      <c r="R21" s="3988"/>
      <c r="S21" s="3988"/>
      <c r="T21" s="3988"/>
      <c r="U21" s="3988"/>
      <c r="V21" s="3988"/>
      <c r="W21" s="3988"/>
      <c r="X21" s="384"/>
      <c r="Y21" s="247"/>
      <c r="Z21" s="247"/>
      <c r="AA21" s="247"/>
      <c r="AB21" s="247"/>
      <c r="AC21" s="247"/>
      <c r="AD21" s="247"/>
      <c r="AE21" s="247"/>
      <c r="AF21" s="247"/>
      <c r="AG21" s="247"/>
      <c r="AH21" s="90"/>
    </row>
    <row r="22" spans="1:34" ht="15.75">
      <c r="A22" s="3885"/>
      <c r="B22" s="314" t="s">
        <v>90</v>
      </c>
      <c r="C22" s="442" t="s">
        <v>91</v>
      </c>
      <c r="D22" s="442"/>
      <c r="E22" s="442"/>
      <c r="F22" s="442"/>
      <c r="G22" s="314"/>
      <c r="H22" s="314"/>
      <c r="I22" s="442"/>
      <c r="J22" s="442"/>
      <c r="K22" s="442"/>
      <c r="L22" s="442"/>
      <c r="M22" s="442"/>
      <c r="N22" s="442"/>
      <c r="O22" s="442"/>
      <c r="P22" s="442"/>
      <c r="Q22" s="442"/>
      <c r="R22" s="442"/>
      <c r="S22" s="442"/>
      <c r="T22" s="4002" t="s">
        <v>189</v>
      </c>
      <c r="U22" s="4002"/>
      <c r="V22" s="4002"/>
      <c r="W22" s="4002"/>
      <c r="X22" s="4002"/>
      <c r="Y22" s="4002"/>
      <c r="Z22" s="4002"/>
      <c r="AA22" s="4002"/>
      <c r="AB22" s="4002"/>
      <c r="AC22" s="4002"/>
      <c r="AD22" s="4002"/>
      <c r="AE22" s="4002"/>
      <c r="AF22" s="4002"/>
      <c r="AG22" s="4002"/>
      <c r="AH22" s="166"/>
    </row>
    <row r="23" spans="1:34" ht="15.75">
      <c r="A23" s="4004" t="s">
        <v>92</v>
      </c>
      <c r="B23" s="83" t="s">
        <v>95</v>
      </c>
      <c r="C23" s="463" t="s">
        <v>93</v>
      </c>
      <c r="D23" s="83"/>
      <c r="E23" s="83"/>
      <c r="F23" s="83"/>
      <c r="G23" s="83"/>
      <c r="H23" s="571" t="s">
        <v>55</v>
      </c>
      <c r="I23" s="4015" t="s">
        <v>190</v>
      </c>
      <c r="J23" s="4015"/>
      <c r="K23" s="4015"/>
      <c r="L23" s="4015"/>
      <c r="M23" s="4015"/>
      <c r="N23" s="4015"/>
      <c r="O23" s="4015"/>
      <c r="P23" s="4015"/>
      <c r="Q23" s="4015"/>
      <c r="R23" s="4015"/>
      <c r="S23" s="4015"/>
      <c r="T23" s="4015"/>
      <c r="U23" s="4015"/>
      <c r="V23" s="4015"/>
      <c r="W23" s="4015"/>
      <c r="X23" s="4015"/>
      <c r="Y23" s="4009" t="s">
        <v>191</v>
      </c>
      <c r="Z23" s="4009"/>
      <c r="AA23" s="4009"/>
      <c r="AB23" s="4009"/>
      <c r="AC23" s="4009"/>
      <c r="AD23" s="4009"/>
      <c r="AE23" s="4009"/>
      <c r="AF23" s="4009"/>
      <c r="AG23" s="4009"/>
      <c r="AH23" s="4010"/>
    </row>
    <row r="24" spans="1:34" ht="15.75">
      <c r="A24" s="4005"/>
      <c r="B24" s="247" t="s">
        <v>95</v>
      </c>
      <c r="C24" s="86" t="s">
        <v>96</v>
      </c>
      <c r="D24" s="159" t="s">
        <v>9</v>
      </c>
      <c r="E24" s="171" t="s">
        <v>9</v>
      </c>
      <c r="F24" s="247"/>
      <c r="G24" s="247"/>
      <c r="H24" s="175" t="s">
        <v>55</v>
      </c>
      <c r="I24" s="3896" t="s">
        <v>192</v>
      </c>
      <c r="J24" s="3897"/>
      <c r="K24" s="3897"/>
      <c r="L24" s="3897"/>
      <c r="M24" s="3898"/>
      <c r="N24" s="175" t="s">
        <v>55</v>
      </c>
      <c r="O24" s="179"/>
      <c r="P24" s="179"/>
      <c r="Q24" s="179"/>
      <c r="R24" s="179"/>
      <c r="S24" s="179"/>
      <c r="T24" s="179"/>
      <c r="U24" s="94"/>
      <c r="V24" s="86"/>
      <c r="W24" s="175" t="s">
        <v>55</v>
      </c>
      <c r="X24" s="4003" t="s">
        <v>177</v>
      </c>
      <c r="Y24" s="4003"/>
      <c r="Z24" s="175" t="s">
        <v>55</v>
      </c>
      <c r="AA24" s="86"/>
      <c r="AB24" s="86"/>
      <c r="AC24" s="86"/>
      <c r="AD24" s="86"/>
      <c r="AE24" s="86"/>
      <c r="AF24" s="88"/>
      <c r="AG24" s="88"/>
      <c r="AH24" s="87"/>
    </row>
    <row r="25" spans="1:34" ht="15.75">
      <c r="A25" s="4005"/>
      <c r="B25" s="314" t="s">
        <v>97</v>
      </c>
      <c r="C25" s="442" t="s">
        <v>98</v>
      </c>
      <c r="D25" s="196"/>
      <c r="E25" s="196"/>
      <c r="F25" s="196"/>
      <c r="G25" s="196"/>
      <c r="H25" s="647"/>
      <c r="I25" s="648"/>
      <c r="J25" s="648"/>
      <c r="K25" s="648"/>
      <c r="L25" s="648"/>
      <c r="M25" s="507"/>
      <c r="N25" s="194"/>
      <c r="O25" s="81"/>
      <c r="P25" s="442"/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75"/>
      <c r="AG25" s="475"/>
      <c r="AH25" s="166"/>
    </row>
    <row r="26" spans="1:34" ht="15.75">
      <c r="A26" s="3883" t="s">
        <v>99</v>
      </c>
      <c r="B26" s="83" t="s">
        <v>100</v>
      </c>
      <c r="C26" s="463" t="s">
        <v>101</v>
      </c>
      <c r="D26" s="464" t="s">
        <v>9</v>
      </c>
      <c r="E26" s="152" t="s">
        <v>9</v>
      </c>
      <c r="F26" s="84"/>
      <c r="G26" s="84"/>
      <c r="H26" s="84"/>
      <c r="I26" s="84"/>
      <c r="J26" s="463"/>
      <c r="K26" s="463"/>
      <c r="L26" s="463"/>
      <c r="M26" s="463"/>
      <c r="N26" s="463"/>
      <c r="O26" s="463"/>
      <c r="P26" s="463"/>
      <c r="Q26" s="3561" t="s">
        <v>9</v>
      </c>
      <c r="R26" s="463"/>
      <c r="S26" s="463"/>
      <c r="T26" s="4008" t="s">
        <v>193</v>
      </c>
      <c r="U26" s="4008"/>
      <c r="V26" s="4008"/>
      <c r="W26" s="4008"/>
      <c r="X26" s="4008"/>
      <c r="Y26" s="4008"/>
      <c r="Z26" s="4008"/>
      <c r="AA26" s="4008"/>
      <c r="AB26" s="4008"/>
      <c r="AC26" s="4008"/>
      <c r="AD26" s="4008"/>
      <c r="AE26" s="83"/>
      <c r="AF26" s="474"/>
      <c r="AG26" s="474"/>
      <c r="AH26" s="85"/>
    </row>
    <row r="27" spans="1:34" ht="15.75">
      <c r="A27" s="3884"/>
      <c r="B27" s="247" t="s">
        <v>77</v>
      </c>
      <c r="C27" s="86" t="s">
        <v>102</v>
      </c>
      <c r="D27" s="4084" t="s">
        <v>194</v>
      </c>
      <c r="E27" s="4084"/>
      <c r="F27" s="4084"/>
      <c r="G27" s="4084"/>
      <c r="H27" s="4084"/>
      <c r="I27" s="4084"/>
      <c r="J27" s="92"/>
      <c r="K27" s="92"/>
      <c r="L27" s="92"/>
      <c r="M27" s="86"/>
      <c r="N27" s="86"/>
      <c r="O27" s="86"/>
      <c r="P27" s="86"/>
      <c r="Q27" s="88"/>
      <c r="R27" s="3988" t="s">
        <v>195</v>
      </c>
      <c r="S27" s="3988"/>
      <c r="T27" s="3988"/>
      <c r="U27" s="3988"/>
      <c r="V27" s="3988"/>
      <c r="W27" s="3988"/>
      <c r="X27" s="3988"/>
      <c r="Y27" s="3988"/>
      <c r="Z27" s="3988"/>
      <c r="AA27" s="3988"/>
      <c r="AB27" s="3988"/>
      <c r="AC27" s="3988"/>
      <c r="AD27" s="3988"/>
      <c r="AE27" s="94"/>
      <c r="AF27" s="475"/>
      <c r="AG27" s="475"/>
      <c r="AH27" s="166"/>
    </row>
    <row r="28" spans="1:34" ht="15.75">
      <c r="A28" s="3884"/>
      <c r="B28" s="247" t="s">
        <v>95</v>
      </c>
      <c r="C28" s="86" t="s">
        <v>105</v>
      </c>
      <c r="D28" s="88"/>
      <c r="E28" s="88"/>
      <c r="F28" s="86"/>
      <c r="G28" s="86"/>
      <c r="H28" s="86"/>
      <c r="I28" s="86"/>
      <c r="J28" s="86"/>
      <c r="K28" s="86"/>
      <c r="L28" s="86"/>
      <c r="M28" s="94"/>
      <c r="N28" s="94"/>
      <c r="O28" s="94"/>
      <c r="P28" s="649" t="s">
        <v>163</v>
      </c>
      <c r="R28" s="94"/>
      <c r="S28" s="94"/>
      <c r="T28" s="94"/>
      <c r="U28" s="94"/>
      <c r="V28" s="86"/>
      <c r="W28" s="175" t="s">
        <v>55</v>
      </c>
      <c r="X28" s="4003" t="s">
        <v>177</v>
      </c>
      <c r="Y28" s="4003"/>
      <c r="Z28" s="175" t="s">
        <v>55</v>
      </c>
      <c r="AA28" s="86"/>
      <c r="AB28" s="86"/>
      <c r="AC28" s="86"/>
      <c r="AD28" s="2"/>
      <c r="AE28" s="590"/>
      <c r="AF28" s="3988" t="s">
        <v>196</v>
      </c>
      <c r="AG28" s="3988"/>
      <c r="AH28" s="3988"/>
    </row>
    <row r="29" spans="1:34" ht="15.75">
      <c r="A29" s="3884"/>
      <c r="B29" s="247" t="s">
        <v>106</v>
      </c>
      <c r="C29" s="86" t="s">
        <v>107</v>
      </c>
      <c r="D29" s="247"/>
      <c r="E29" s="418" t="s">
        <v>167</v>
      </c>
      <c r="F29" s="247"/>
      <c r="G29" s="247"/>
      <c r="H29" s="247"/>
      <c r="I29" s="247"/>
      <c r="J29" s="86"/>
      <c r="K29" s="86"/>
      <c r="L29" s="86"/>
      <c r="M29" s="3988" t="s">
        <v>197</v>
      </c>
      <c r="N29" s="3988"/>
      <c r="O29" s="3988"/>
      <c r="P29" s="3988"/>
      <c r="Q29" s="3988"/>
      <c r="R29" s="3988"/>
      <c r="S29" s="3988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591"/>
      <c r="AG29" s="591"/>
      <c r="AH29" s="345"/>
    </row>
    <row r="30" spans="1:34" ht="15.75">
      <c r="A30" s="3885"/>
      <c r="B30" s="314" t="s">
        <v>108</v>
      </c>
      <c r="C30" s="442" t="s">
        <v>109</v>
      </c>
      <c r="D30" s="475"/>
      <c r="E30" s="475"/>
      <c r="F30" s="477"/>
      <c r="G30" s="477"/>
      <c r="H30" s="477"/>
      <c r="I30" s="477"/>
      <c r="J30" s="477"/>
      <c r="K30" s="477"/>
      <c r="L30" s="477"/>
      <c r="M30" s="81"/>
      <c r="N30" s="81"/>
      <c r="O30" s="81"/>
      <c r="P30" s="81"/>
      <c r="Q30" s="81"/>
      <c r="R30" s="81"/>
      <c r="S30" s="81"/>
      <c r="T30" s="4020" t="s">
        <v>170</v>
      </c>
      <c r="U30" s="4020"/>
      <c r="V30" s="4020"/>
      <c r="W30" s="442"/>
      <c r="X30" s="442"/>
      <c r="Y30" s="442"/>
      <c r="Z30" s="4002" t="s">
        <v>198</v>
      </c>
      <c r="AA30" s="4002"/>
      <c r="AB30" s="4002"/>
      <c r="AC30" s="4002"/>
      <c r="AD30" s="4002"/>
      <c r="AE30" s="4002"/>
      <c r="AF30" s="4002"/>
      <c r="AG30" s="4002"/>
      <c r="AH30" s="4028"/>
    </row>
    <row r="31" spans="1:34" ht="15.75">
      <c r="A31" s="3883" t="s">
        <v>110</v>
      </c>
      <c r="B31" s="83" t="s">
        <v>77</v>
      </c>
      <c r="C31" s="463" t="s">
        <v>111</v>
      </c>
      <c r="D31" s="4016" t="s">
        <v>168</v>
      </c>
      <c r="E31" s="4016"/>
      <c r="F31" s="4016"/>
      <c r="G31" s="4016"/>
      <c r="H31" s="4016"/>
      <c r="I31" s="4016"/>
      <c r="J31" s="4016" t="s">
        <v>199</v>
      </c>
      <c r="K31" s="4016"/>
      <c r="L31" s="4016"/>
      <c r="M31" s="4016"/>
      <c r="N31" s="4016"/>
      <c r="O31" s="4016"/>
      <c r="P31" s="463"/>
      <c r="Q31" s="463"/>
      <c r="R31" s="463"/>
      <c r="S31" s="463"/>
      <c r="T31" s="463"/>
      <c r="U31" s="83"/>
      <c r="V31" s="463"/>
      <c r="W31" s="463"/>
      <c r="X31" s="463"/>
      <c r="Y31" s="83"/>
      <c r="Z31" s="4025" t="s">
        <v>200</v>
      </c>
      <c r="AA31" s="4026"/>
      <c r="AB31" s="4026"/>
      <c r="AC31" s="4026"/>
      <c r="AD31" s="4026"/>
      <c r="AE31" s="4026"/>
      <c r="AF31" s="4026"/>
      <c r="AG31" s="4026"/>
      <c r="AH31" s="4027"/>
    </row>
    <row r="32" spans="1:34" ht="15.75">
      <c r="A32" s="3884"/>
      <c r="B32" s="247" t="s">
        <v>77</v>
      </c>
      <c r="C32" s="86" t="s">
        <v>201</v>
      </c>
      <c r="D32" s="180"/>
      <c r="E32" s="180"/>
      <c r="F32" s="180"/>
      <c r="G32" s="180"/>
      <c r="H32" s="180"/>
      <c r="I32" s="180"/>
      <c r="J32" s="180"/>
      <c r="K32" s="180"/>
      <c r="L32" s="180"/>
      <c r="M32" s="180"/>
      <c r="N32" s="180"/>
      <c r="O32" s="180"/>
      <c r="P32" s="449"/>
      <c r="Q32" s="449"/>
      <c r="R32" s="449"/>
      <c r="S32" s="449"/>
      <c r="T32" s="449"/>
      <c r="U32" s="450"/>
      <c r="V32" s="451"/>
      <c r="W32" s="181"/>
      <c r="X32" s="181"/>
      <c r="Y32" s="181"/>
      <c r="Z32" s="181"/>
      <c r="AA32" s="450"/>
      <c r="AB32" s="450"/>
      <c r="AC32" s="450"/>
      <c r="AD32" s="450"/>
      <c r="AE32" s="450"/>
      <c r="AF32" s="246"/>
      <c r="AG32" s="246"/>
      <c r="AH32" s="90"/>
    </row>
    <row r="33" spans="1:34" ht="15.75">
      <c r="A33" s="3884"/>
      <c r="B33" s="247" t="s">
        <v>113</v>
      </c>
      <c r="C33" s="86" t="s">
        <v>114</v>
      </c>
      <c r="D33" s="4020" t="s">
        <v>168</v>
      </c>
      <c r="E33" s="4020"/>
      <c r="F33" s="4020"/>
      <c r="G33" s="4020"/>
      <c r="H33" s="4020"/>
      <c r="I33" s="4020"/>
      <c r="J33" s="302" t="s">
        <v>55</v>
      </c>
      <c r="K33" s="4094" t="s">
        <v>202</v>
      </c>
      <c r="L33" s="4095"/>
      <c r="M33" s="4095"/>
      <c r="N33" s="4095"/>
      <c r="O33" s="4095"/>
      <c r="P33" s="4095"/>
      <c r="Q33" s="4095"/>
      <c r="R33" s="4095"/>
      <c r="S33" s="4096"/>
      <c r="T33" s="3631" t="s">
        <v>55</v>
      </c>
      <c r="U33" s="4017" t="s">
        <v>203</v>
      </c>
      <c r="V33" s="4017"/>
      <c r="W33" s="4017"/>
      <c r="X33" s="4017"/>
      <c r="Y33" s="89"/>
      <c r="Z33" s="89"/>
      <c r="AA33" s="89"/>
      <c r="AB33" s="89"/>
      <c r="AC33" s="89"/>
      <c r="AD33" s="89"/>
      <c r="AE33" s="89"/>
      <c r="AF33" s="4019" t="s">
        <v>112</v>
      </c>
      <c r="AG33" s="4033"/>
      <c r="AH33" s="4034"/>
    </row>
    <row r="34" spans="1:34" ht="15.75">
      <c r="A34" s="3884"/>
      <c r="B34" s="247" t="s">
        <v>113</v>
      </c>
      <c r="C34" s="86" t="s">
        <v>116</v>
      </c>
      <c r="D34" s="4020" t="s">
        <v>168</v>
      </c>
      <c r="E34" s="4020"/>
      <c r="F34" s="4020"/>
      <c r="G34" s="4020"/>
      <c r="H34" s="4020"/>
      <c r="I34" s="4020"/>
      <c r="J34" s="4020" t="s">
        <v>199</v>
      </c>
      <c r="K34" s="4020"/>
      <c r="L34" s="4020"/>
      <c r="M34" s="4020"/>
      <c r="N34" s="4020"/>
      <c r="O34" s="4020"/>
      <c r="P34" s="86"/>
      <c r="Q34" s="86"/>
      <c r="R34" s="86"/>
      <c r="S34" s="86"/>
      <c r="T34" s="4017" t="s">
        <v>203</v>
      </c>
      <c r="U34" s="4017"/>
      <c r="V34" s="4017"/>
      <c r="W34" s="4017"/>
      <c r="X34" s="4017"/>
      <c r="Y34" s="89"/>
      <c r="Z34" s="89"/>
      <c r="AA34" s="92"/>
      <c r="AB34" s="92"/>
      <c r="AC34" s="92"/>
      <c r="AD34" s="92"/>
      <c r="AE34" s="92"/>
      <c r="AF34" s="92"/>
      <c r="AG34" s="92"/>
      <c r="AH34" s="93"/>
    </row>
    <row r="35" spans="1:34" ht="15.75">
      <c r="A35" s="3884"/>
      <c r="B35" s="247" t="s">
        <v>118</v>
      </c>
      <c r="C35" s="86" t="s">
        <v>119</v>
      </c>
      <c r="D35" s="4020" t="s">
        <v>168</v>
      </c>
      <c r="E35" s="4020"/>
      <c r="F35" s="4020"/>
      <c r="G35" s="4020"/>
      <c r="H35" s="4020"/>
      <c r="I35" s="4020"/>
      <c r="J35" s="4020" t="s">
        <v>199</v>
      </c>
      <c r="K35" s="4020"/>
      <c r="L35" s="4020"/>
      <c r="M35" s="4020"/>
      <c r="N35" s="4020"/>
      <c r="O35" s="4020"/>
      <c r="P35" s="86"/>
      <c r="Q35" s="86"/>
      <c r="S35" s="86"/>
      <c r="T35" s="4017" t="s">
        <v>203</v>
      </c>
      <c r="U35" s="4017"/>
      <c r="V35" s="4017"/>
      <c r="W35" s="4017"/>
      <c r="X35" s="4017"/>
      <c r="Y35" s="89"/>
      <c r="Z35" s="89"/>
      <c r="AA35" s="92"/>
      <c r="AB35" s="92"/>
      <c r="AC35" s="92"/>
      <c r="AD35" s="92"/>
      <c r="AE35" s="92"/>
      <c r="AF35" s="92"/>
      <c r="AG35" s="92"/>
      <c r="AH35" s="93"/>
    </row>
    <row r="36" spans="1:34" ht="15.75">
      <c r="A36" s="3884"/>
      <c r="B36" s="247" t="s">
        <v>120</v>
      </c>
      <c r="C36" s="86" t="s">
        <v>121</v>
      </c>
      <c r="D36" s="4077" t="s">
        <v>168</v>
      </c>
      <c r="E36" s="4078"/>
      <c r="F36" s="4079"/>
      <c r="G36" s="302" t="s">
        <v>55</v>
      </c>
      <c r="H36" s="4019" t="s">
        <v>204</v>
      </c>
      <c r="I36" s="4019"/>
      <c r="J36" s="4019"/>
      <c r="K36" s="4019"/>
      <c r="L36" s="4019"/>
      <c r="M36" s="302" t="s">
        <v>55</v>
      </c>
      <c r="N36" s="4077" t="s">
        <v>205</v>
      </c>
      <c r="O36" s="4079"/>
      <c r="P36" s="86"/>
      <c r="Q36" s="86"/>
      <c r="R36" s="86"/>
      <c r="S36" s="86"/>
      <c r="T36" s="4017" t="s">
        <v>203</v>
      </c>
      <c r="U36" s="4017"/>
      <c r="V36" s="4017"/>
      <c r="W36" s="4017"/>
      <c r="X36" s="4017"/>
      <c r="Y36" s="89"/>
      <c r="Z36" s="89"/>
      <c r="AA36" s="89"/>
      <c r="AB36" s="92"/>
      <c r="AC36" s="92"/>
      <c r="AD36" s="4019" t="s">
        <v>112</v>
      </c>
      <c r="AE36" s="4019"/>
      <c r="AF36" s="4019"/>
      <c r="AG36" s="4019"/>
      <c r="AH36" s="4090"/>
    </row>
    <row r="37" spans="1:34" ht="15.75">
      <c r="A37" s="3884"/>
      <c r="B37" s="247" t="s">
        <v>122</v>
      </c>
      <c r="C37" s="86" t="s">
        <v>123</v>
      </c>
      <c r="D37" s="179"/>
      <c r="E37" s="179"/>
      <c r="F37" s="179"/>
      <c r="G37" s="179"/>
      <c r="H37" s="204"/>
      <c r="I37" s="204"/>
      <c r="J37" s="204"/>
      <c r="K37" s="204"/>
      <c r="L37" s="204"/>
      <c r="M37" s="179"/>
      <c r="N37" s="179"/>
      <c r="O37" s="179"/>
      <c r="P37" s="94"/>
      <c r="Q37" s="86"/>
      <c r="R37" s="96"/>
      <c r="S37" s="96"/>
      <c r="T37" s="386"/>
      <c r="U37" s="386"/>
      <c r="V37" s="386"/>
      <c r="W37" s="386"/>
      <c r="X37" s="386"/>
      <c r="Y37" s="161"/>
      <c r="Z37" s="161"/>
      <c r="AA37" s="161"/>
      <c r="AB37" s="158"/>
      <c r="AC37" s="158"/>
      <c r="AD37" s="390"/>
      <c r="AE37" s="390"/>
      <c r="AF37" s="390"/>
      <c r="AG37" s="390"/>
      <c r="AH37" s="476"/>
    </row>
    <row r="38" spans="1:34" ht="15.75">
      <c r="A38" s="3884"/>
      <c r="B38" s="247" t="s">
        <v>124</v>
      </c>
      <c r="C38" s="86" t="s">
        <v>125</v>
      </c>
      <c r="D38" s="4020" t="s">
        <v>168</v>
      </c>
      <c r="E38" s="4020"/>
      <c r="F38" s="4020"/>
      <c r="G38" s="4020"/>
      <c r="H38" s="4020"/>
      <c r="I38" s="4020"/>
      <c r="J38" s="4020" t="s">
        <v>199</v>
      </c>
      <c r="K38" s="4020"/>
      <c r="L38" s="4020"/>
      <c r="M38" s="4020"/>
      <c r="N38" s="4020"/>
      <c r="O38" s="4020"/>
      <c r="P38" s="86"/>
      <c r="Q38" s="86"/>
      <c r="R38" s="86"/>
      <c r="S38" s="86"/>
      <c r="T38" s="4017" t="s">
        <v>203</v>
      </c>
      <c r="U38" s="4017"/>
      <c r="V38" s="4017"/>
      <c r="W38" s="4017"/>
      <c r="X38" s="4017"/>
      <c r="Y38" s="89"/>
      <c r="Z38" s="89"/>
      <c r="AA38" s="89"/>
      <c r="AB38" s="89"/>
      <c r="AC38" s="89"/>
      <c r="AD38" s="89"/>
      <c r="AE38" s="89"/>
      <c r="AF38" s="89"/>
      <c r="AG38" s="89"/>
      <c r="AH38" s="91"/>
    </row>
    <row r="39" spans="1:34" ht="15.75">
      <c r="A39" s="3884"/>
      <c r="B39" s="247" t="s">
        <v>124</v>
      </c>
      <c r="C39" s="86" t="s">
        <v>126</v>
      </c>
      <c r="D39" s="179"/>
      <c r="E39" s="179"/>
      <c r="F39" s="4023" t="s">
        <v>55</v>
      </c>
      <c r="G39" s="4024"/>
      <c r="H39" s="4087" t="s">
        <v>206</v>
      </c>
      <c r="I39" s="4088"/>
      <c r="J39" s="4088"/>
      <c r="K39" s="4088"/>
      <c r="L39" s="4089"/>
      <c r="M39" s="4023" t="s">
        <v>55</v>
      </c>
      <c r="N39" s="4024"/>
      <c r="O39" s="179"/>
      <c r="P39" s="86"/>
      <c r="Q39" s="86"/>
      <c r="R39" s="86"/>
      <c r="S39" s="86"/>
      <c r="T39" s="386"/>
      <c r="U39" s="386"/>
      <c r="V39" s="386"/>
      <c r="W39" s="386"/>
      <c r="X39" s="386"/>
      <c r="Y39" s="161"/>
      <c r="Z39" s="161"/>
      <c r="AA39" s="89"/>
      <c r="AB39" s="89"/>
      <c r="AC39" s="89"/>
      <c r="AD39" s="89"/>
      <c r="AE39" s="89"/>
      <c r="AF39" s="89"/>
      <c r="AG39" s="89"/>
      <c r="AH39" s="91"/>
    </row>
    <row r="40" spans="1:34" ht="15.75">
      <c r="A40" s="3884"/>
      <c r="B40" s="247" t="s">
        <v>127</v>
      </c>
      <c r="C40" s="86" t="s">
        <v>128</v>
      </c>
      <c r="D40" s="4020" t="s">
        <v>168</v>
      </c>
      <c r="E40" s="4020"/>
      <c r="F40" s="4020"/>
      <c r="G40" s="4020"/>
      <c r="H40" s="4020"/>
      <c r="I40" s="4020"/>
      <c r="J40" s="4020" t="s">
        <v>199</v>
      </c>
      <c r="K40" s="4020"/>
      <c r="L40" s="4020"/>
      <c r="M40" s="4020"/>
      <c r="N40" s="4020"/>
      <c r="O40" s="4020"/>
      <c r="P40" s="86"/>
      <c r="Q40" s="86"/>
      <c r="R40" s="86"/>
      <c r="S40" s="86"/>
      <c r="T40" s="386"/>
      <c r="U40" s="386"/>
      <c r="V40" s="386"/>
      <c r="W40" s="4097" t="s">
        <v>203</v>
      </c>
      <c r="X40" s="4098"/>
      <c r="Y40" s="89"/>
      <c r="Z40" s="89"/>
      <c r="AA40" s="89"/>
      <c r="AB40" s="89"/>
      <c r="AC40" s="89"/>
      <c r="AD40" s="89"/>
      <c r="AE40" s="89"/>
      <c r="AF40" s="89"/>
      <c r="AG40" s="89"/>
      <c r="AH40" s="91"/>
    </row>
    <row r="41" spans="1:34" ht="15.75">
      <c r="A41" s="3884"/>
      <c r="B41" s="247" t="s">
        <v>129</v>
      </c>
      <c r="C41" s="86" t="s">
        <v>130</v>
      </c>
      <c r="D41" s="4020" t="s">
        <v>168</v>
      </c>
      <c r="E41" s="4020"/>
      <c r="F41" s="4020"/>
      <c r="G41" s="4020"/>
      <c r="H41" s="4020"/>
      <c r="I41" s="4020"/>
      <c r="J41" s="4020" t="s">
        <v>199</v>
      </c>
      <c r="K41" s="4020"/>
      <c r="L41" s="4020"/>
      <c r="M41" s="4020"/>
      <c r="N41" s="4020"/>
      <c r="O41" s="4020"/>
      <c r="P41" s="86"/>
      <c r="Q41" s="86"/>
      <c r="R41" s="86"/>
      <c r="S41" s="86"/>
      <c r="T41" s="4017" t="s">
        <v>203</v>
      </c>
      <c r="U41" s="4017"/>
      <c r="V41" s="4017"/>
      <c r="W41" s="4017"/>
      <c r="X41" s="4017"/>
      <c r="Y41" s="89"/>
      <c r="Z41" s="89"/>
      <c r="AA41" s="88"/>
      <c r="AB41" s="88"/>
      <c r="AC41" s="88"/>
      <c r="AD41" s="88"/>
      <c r="AE41" s="4084" t="s">
        <v>207</v>
      </c>
      <c r="AF41" s="4084"/>
      <c r="AG41" s="4084"/>
      <c r="AH41" s="4085"/>
    </row>
    <row r="42" spans="1:34" ht="15.75">
      <c r="A42" s="3884"/>
      <c r="B42" s="247" t="s">
        <v>131</v>
      </c>
      <c r="C42" s="86" t="s">
        <v>132</v>
      </c>
      <c r="D42" s="109"/>
      <c r="E42" s="109"/>
      <c r="F42" s="109"/>
      <c r="G42" s="109"/>
      <c r="H42" s="178" t="s">
        <v>55</v>
      </c>
      <c r="I42" s="3896" t="s">
        <v>182</v>
      </c>
      <c r="J42" s="3897"/>
      <c r="K42" s="3897"/>
      <c r="L42" s="3897"/>
      <c r="M42" s="3897"/>
      <c r="N42" s="3897"/>
      <c r="O42" s="3897"/>
      <c r="P42" s="3897"/>
      <c r="Q42" s="3897"/>
      <c r="R42" s="3898"/>
      <c r="S42" s="3988" t="s">
        <v>208</v>
      </c>
      <c r="T42" s="3988"/>
      <c r="U42" s="3988"/>
      <c r="V42" s="3988"/>
      <c r="W42" s="3988"/>
      <c r="X42" s="3988"/>
      <c r="Y42" s="3988"/>
      <c r="Z42" s="88"/>
      <c r="AA42" s="88"/>
      <c r="AB42" s="88"/>
      <c r="AC42" s="88"/>
      <c r="AD42" s="88"/>
      <c r="AE42" s="88"/>
      <c r="AF42" s="4084" t="s">
        <v>209</v>
      </c>
      <c r="AG42" s="4084"/>
      <c r="AH42" s="4085"/>
    </row>
    <row r="43" spans="1:34" ht="15.75">
      <c r="A43" s="3885"/>
      <c r="B43" s="314" t="s">
        <v>134</v>
      </c>
      <c r="C43" s="442" t="s">
        <v>135</v>
      </c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442"/>
      <c r="O43" s="442"/>
      <c r="P43" s="442"/>
      <c r="Q43" s="442"/>
      <c r="R43" s="442"/>
      <c r="S43" s="442"/>
      <c r="T43" s="94"/>
      <c r="U43" s="94"/>
      <c r="V43" s="8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479"/>
    </row>
    <row r="44" spans="1:34" ht="15.75">
      <c r="A44" s="3883" t="s">
        <v>136</v>
      </c>
      <c r="B44" s="83" t="s">
        <v>77</v>
      </c>
      <c r="C44" s="463" t="s">
        <v>137</v>
      </c>
      <c r="D44" s="4099" t="s">
        <v>210</v>
      </c>
      <c r="E44" s="4099"/>
      <c r="F44" s="4099"/>
      <c r="G44" s="4099"/>
      <c r="H44" s="473" t="s">
        <v>55</v>
      </c>
      <c r="I44" s="4091" t="s">
        <v>180</v>
      </c>
      <c r="J44" s="4092"/>
      <c r="K44" s="4092"/>
      <c r="L44" s="4093"/>
      <c r="M44" s="473" t="s">
        <v>55</v>
      </c>
      <c r="N44" s="458"/>
      <c r="O44" s="458"/>
      <c r="P44" s="458"/>
      <c r="Q44" s="458"/>
      <c r="R44" s="458"/>
      <c r="S44" s="458"/>
      <c r="T44" s="4016" t="s">
        <v>170</v>
      </c>
      <c r="U44" s="4016"/>
      <c r="V44" s="4016"/>
      <c r="W44" s="458"/>
      <c r="X44" s="458"/>
      <c r="Y44" s="458"/>
      <c r="Z44" s="458"/>
      <c r="AA44" s="458"/>
      <c r="AB44" s="458"/>
      <c r="AC44" s="458"/>
      <c r="AD44" s="458"/>
      <c r="AE44" s="458"/>
      <c r="AF44" s="188"/>
      <c r="AG44" s="188"/>
      <c r="AH44" s="478"/>
    </row>
    <row r="45" spans="1:34" ht="15.75">
      <c r="A45" s="3884"/>
      <c r="B45" s="247" t="s">
        <v>95</v>
      </c>
      <c r="C45" s="86" t="s">
        <v>139</v>
      </c>
      <c r="D45" s="473" t="s">
        <v>55</v>
      </c>
      <c r="E45" s="75"/>
      <c r="F45" s="75"/>
      <c r="G45" s="75"/>
      <c r="H45" s="94"/>
      <c r="I45" s="86"/>
      <c r="J45" s="86"/>
      <c r="K45" s="86"/>
      <c r="L45" s="86"/>
      <c r="M45" s="86"/>
      <c r="N45" s="94"/>
      <c r="O45" s="94"/>
      <c r="P45" s="94"/>
      <c r="Q45" s="94"/>
      <c r="R45" s="94"/>
      <c r="S45" s="94"/>
      <c r="T45" s="94"/>
      <c r="U45" s="94"/>
      <c r="V45" s="89"/>
      <c r="W45" s="89"/>
      <c r="X45" s="89"/>
      <c r="Y45" s="89"/>
      <c r="Z45" s="89"/>
      <c r="AA45" s="89"/>
      <c r="AB45" s="89"/>
      <c r="AC45" s="89"/>
      <c r="AD45" s="89"/>
      <c r="AE45" s="89"/>
      <c r="AF45" s="484"/>
      <c r="AG45" s="74"/>
      <c r="AH45" s="78"/>
    </row>
    <row r="46" spans="1:34" ht="15.75">
      <c r="A46" s="3885"/>
      <c r="B46" s="314" t="s">
        <v>142</v>
      </c>
      <c r="C46" s="442" t="s">
        <v>143</v>
      </c>
      <c r="D46" s="472" t="s">
        <v>9</v>
      </c>
      <c r="E46" s="102" t="s">
        <v>9</v>
      </c>
      <c r="F46" s="477"/>
      <c r="G46" s="477"/>
      <c r="H46" s="477"/>
      <c r="I46" s="477"/>
      <c r="J46" s="477"/>
      <c r="K46" s="477"/>
      <c r="L46" s="477"/>
      <c r="M46" s="442"/>
      <c r="N46" s="477"/>
      <c r="O46" s="442"/>
      <c r="P46" s="442"/>
      <c r="Q46" s="442"/>
      <c r="R46" s="442"/>
      <c r="S46" s="442"/>
      <c r="T46" s="4002" t="s">
        <v>70</v>
      </c>
      <c r="U46" s="4002"/>
      <c r="V46" s="4002"/>
      <c r="W46" s="4002"/>
      <c r="X46" s="4002"/>
      <c r="Y46" s="4002"/>
      <c r="Z46" s="4002"/>
      <c r="AA46" s="4002"/>
      <c r="AB46" s="4002"/>
      <c r="AC46" s="4002"/>
      <c r="AD46" s="4002"/>
      <c r="AE46" s="4002"/>
      <c r="AF46" s="4002"/>
      <c r="AG46" s="4002"/>
      <c r="AH46" s="166"/>
    </row>
    <row r="47" spans="1:34" ht="15.75">
      <c r="A47" s="3883" t="s">
        <v>144</v>
      </c>
      <c r="B47" s="83" t="s">
        <v>145</v>
      </c>
      <c r="C47" s="463" t="s">
        <v>146</v>
      </c>
      <c r="D47" s="464" t="s">
        <v>9</v>
      </c>
      <c r="E47" s="152" t="s">
        <v>9</v>
      </c>
      <c r="F47" s="83"/>
      <c r="G47" s="83"/>
      <c r="H47" s="83"/>
      <c r="I47" s="83"/>
      <c r="J47" s="178" t="s">
        <v>55</v>
      </c>
      <c r="K47" s="4080" t="s">
        <v>211</v>
      </c>
      <c r="L47" s="4081"/>
      <c r="M47" s="4081"/>
      <c r="N47" s="4081"/>
      <c r="O47" s="4081"/>
      <c r="P47" s="4081"/>
      <c r="Q47" s="4081"/>
      <c r="R47" s="4081"/>
      <c r="S47" s="4081"/>
      <c r="T47" s="178" t="s">
        <v>55</v>
      </c>
      <c r="U47" s="83"/>
      <c r="V47" s="83"/>
      <c r="W47" s="83"/>
      <c r="X47" s="83"/>
      <c r="Y47" s="83"/>
      <c r="Z47" s="83"/>
      <c r="AA47" s="480"/>
      <c r="AB47" s="480"/>
      <c r="AC47" s="480"/>
      <c r="AD47" s="480"/>
      <c r="AE47" s="83"/>
      <c r="AF47" s="4082" t="s">
        <v>212</v>
      </c>
      <c r="AG47" s="4082"/>
      <c r="AH47" s="4083"/>
    </row>
    <row r="48" spans="1:34" ht="15.75">
      <c r="A48" s="3884"/>
      <c r="B48" s="247" t="s">
        <v>145</v>
      </c>
      <c r="C48" s="86" t="s">
        <v>148</v>
      </c>
      <c r="D48" s="75" t="s">
        <v>213</v>
      </c>
      <c r="E48" s="75"/>
      <c r="F48" s="246"/>
      <c r="G48" s="247"/>
      <c r="H48" s="178" t="s">
        <v>55</v>
      </c>
      <c r="I48" s="4021" t="s">
        <v>182</v>
      </c>
      <c r="J48" s="4021"/>
      <c r="K48" s="4021"/>
      <c r="L48" s="4021"/>
      <c r="M48" s="4021"/>
      <c r="N48" s="4021"/>
      <c r="O48" s="4021"/>
      <c r="P48" s="178" t="s">
        <v>55</v>
      </c>
      <c r="Q48" s="3988" t="s">
        <v>147</v>
      </c>
      <c r="R48" s="3988"/>
      <c r="S48" s="3988"/>
      <c r="T48" s="3988"/>
      <c r="U48" s="3988"/>
      <c r="V48" s="3988"/>
      <c r="W48" s="3988"/>
      <c r="X48" s="3988"/>
      <c r="Y48" s="3988"/>
      <c r="Z48" s="3988"/>
      <c r="AA48" s="3988"/>
      <c r="AB48" s="3988"/>
      <c r="AC48" s="3988"/>
      <c r="AD48" s="3988"/>
      <c r="AE48" s="247"/>
      <c r="AF48" s="98"/>
      <c r="AG48" s="98"/>
      <c r="AH48" s="97"/>
    </row>
    <row r="49" spans="1:35" ht="15.75">
      <c r="A49" s="3884"/>
      <c r="B49" s="247" t="s">
        <v>149</v>
      </c>
      <c r="C49" s="86" t="s">
        <v>150</v>
      </c>
      <c r="D49" s="98"/>
      <c r="E49" s="98"/>
      <c r="F49" s="246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3988" t="s">
        <v>197</v>
      </c>
      <c r="R49" s="3988"/>
      <c r="S49" s="3988"/>
      <c r="T49" s="3988"/>
      <c r="U49" s="3988"/>
      <c r="V49" s="3988"/>
      <c r="W49" s="3988"/>
      <c r="X49" s="3988"/>
      <c r="Y49" s="3988"/>
      <c r="Z49" s="3988"/>
      <c r="AA49" s="3988"/>
      <c r="AB49" s="3988"/>
      <c r="AC49" s="3988"/>
      <c r="AD49" s="3988"/>
      <c r="AE49" s="247"/>
      <c r="AF49" s="98"/>
      <c r="AG49" s="98"/>
      <c r="AH49" s="97"/>
    </row>
    <row r="50" spans="1:35" ht="15.75" customHeight="1">
      <c r="A50" s="3885"/>
      <c r="B50" s="314" t="s">
        <v>149</v>
      </c>
      <c r="C50" s="442" t="s">
        <v>151</v>
      </c>
      <c r="D50" s="4072" t="s">
        <v>197</v>
      </c>
      <c r="E50" s="4073"/>
      <c r="F50" s="81"/>
      <c r="G50" s="442"/>
      <c r="I50" s="81"/>
      <c r="J50" s="81"/>
      <c r="K50" s="81"/>
      <c r="L50" s="81"/>
      <c r="M50" s="442"/>
      <c r="N50" s="442"/>
      <c r="O50" s="442"/>
      <c r="P50" s="649" t="s">
        <v>163</v>
      </c>
      <c r="Q50" s="442"/>
      <c r="R50" s="442"/>
      <c r="S50" s="442"/>
      <c r="T50" s="442"/>
      <c r="U50" s="442"/>
      <c r="V50" s="442"/>
      <c r="W50" s="440" t="s">
        <v>55</v>
      </c>
      <c r="X50" s="4022" t="s">
        <v>177</v>
      </c>
      <c r="Y50" s="4022"/>
      <c r="Z50" s="440" t="s">
        <v>55</v>
      </c>
      <c r="AA50" s="442"/>
      <c r="AB50" s="442"/>
      <c r="AC50" s="442"/>
      <c r="AD50" s="442"/>
      <c r="AE50" s="81"/>
      <c r="AF50" s="81"/>
      <c r="AG50" s="81"/>
      <c r="AH50" s="82"/>
    </row>
    <row r="51" spans="1:35" ht="15.75">
      <c r="A51" s="3883" t="s">
        <v>13</v>
      </c>
      <c r="B51" s="83" t="s">
        <v>77</v>
      </c>
      <c r="C51" s="636" t="s">
        <v>153</v>
      </c>
      <c r="D51" s="4070" t="s">
        <v>214</v>
      </c>
      <c r="E51" s="4071"/>
      <c r="F51" s="637"/>
      <c r="G51" s="188"/>
      <c r="H51" s="463"/>
      <c r="I51" s="463"/>
      <c r="J51" s="463"/>
      <c r="K51" s="463"/>
      <c r="L51" s="463"/>
      <c r="M51" s="463"/>
      <c r="N51" s="580" t="s">
        <v>55</v>
      </c>
      <c r="O51" s="4074" t="s">
        <v>182</v>
      </c>
      <c r="P51" s="4075"/>
      <c r="Q51" s="4075"/>
      <c r="R51" s="4075"/>
      <c r="S51" s="4075"/>
      <c r="T51" s="4075"/>
      <c r="U51" s="4075"/>
      <c r="V51" s="4076"/>
      <c r="W51" s="175" t="s">
        <v>55</v>
      </c>
      <c r="X51" s="83"/>
      <c r="Y51" s="4031" t="s">
        <v>215</v>
      </c>
      <c r="Z51" s="4031"/>
      <c r="AA51" s="4031"/>
      <c r="AB51" s="4031"/>
      <c r="AC51" s="4031"/>
      <c r="AD51" s="4031"/>
      <c r="AE51" s="4031"/>
      <c r="AF51" s="83"/>
      <c r="AG51" s="83"/>
      <c r="AH51" s="471"/>
    </row>
    <row r="52" spans="1:35" ht="15.75" customHeight="1">
      <c r="A52" s="3884"/>
      <c r="B52" s="247" t="s">
        <v>95</v>
      </c>
      <c r="C52" s="441" t="s">
        <v>86</v>
      </c>
      <c r="D52" s="639" t="s">
        <v>9</v>
      </c>
      <c r="E52" s="638" t="s">
        <v>45</v>
      </c>
      <c r="F52" s="246"/>
      <c r="G52" s="86"/>
      <c r="H52" s="3988" t="s">
        <v>197</v>
      </c>
      <c r="I52" s="3988"/>
      <c r="J52" s="3988"/>
      <c r="K52" s="452"/>
      <c r="L52" s="452"/>
      <c r="M52" s="94"/>
      <c r="N52" s="94"/>
      <c r="O52" s="94"/>
      <c r="P52" s="649" t="s">
        <v>163</v>
      </c>
      <c r="Q52" s="3576" t="s">
        <v>9</v>
      </c>
      <c r="R52" s="94"/>
      <c r="S52" s="86"/>
      <c r="T52" s="94"/>
      <c r="U52" s="94"/>
      <c r="W52" s="175" t="s">
        <v>55</v>
      </c>
      <c r="X52" s="4003" t="s">
        <v>177</v>
      </c>
      <c r="Y52" s="4003"/>
      <c r="Z52" s="175" t="s">
        <v>55</v>
      </c>
      <c r="AA52" s="247"/>
      <c r="AB52" s="247"/>
      <c r="AC52" s="247"/>
      <c r="AD52" s="247"/>
      <c r="AE52" s="247"/>
      <c r="AF52" s="247"/>
      <c r="AG52" s="3988" t="s">
        <v>216</v>
      </c>
      <c r="AH52" s="4032"/>
    </row>
    <row r="53" spans="1:35" ht="15.75">
      <c r="A53" s="3969"/>
      <c r="B53" s="99" t="s">
        <v>155</v>
      </c>
      <c r="C53" s="641" t="s">
        <v>156</v>
      </c>
      <c r="D53" s="640" t="s">
        <v>9</v>
      </c>
      <c r="E53" s="104" t="s">
        <v>9</v>
      </c>
      <c r="F53" s="99"/>
      <c r="G53" s="99"/>
      <c r="H53" s="468" t="s">
        <v>55</v>
      </c>
      <c r="I53" s="3973" t="s">
        <v>182</v>
      </c>
      <c r="J53" s="3974"/>
      <c r="K53" s="3975"/>
      <c r="L53" s="579"/>
      <c r="M53" s="481" t="s">
        <v>55</v>
      </c>
      <c r="N53" s="99"/>
      <c r="O53" s="99"/>
      <c r="P53" s="650" t="s">
        <v>163</v>
      </c>
      <c r="Q53" s="3550" t="s">
        <v>9</v>
      </c>
      <c r="R53" s="99"/>
      <c r="S53" s="99"/>
      <c r="T53" s="100"/>
      <c r="U53" s="100"/>
      <c r="V53" s="100"/>
      <c r="W53" s="481" t="s">
        <v>55</v>
      </c>
      <c r="X53" s="4018" t="s">
        <v>177</v>
      </c>
      <c r="Y53" s="4018"/>
      <c r="Z53" s="481" t="s">
        <v>55</v>
      </c>
      <c r="AA53" s="482"/>
      <c r="AB53" s="482"/>
      <c r="AC53" s="482"/>
      <c r="AD53" s="482"/>
      <c r="AE53" s="4029" t="s">
        <v>158</v>
      </c>
      <c r="AF53" s="4029"/>
      <c r="AG53" s="4029"/>
      <c r="AH53" s="4030"/>
    </row>
    <row r="58" spans="1:35">
      <c r="AI58" t="s">
        <v>30</v>
      </c>
    </row>
    <row r="59" spans="1:35">
      <c r="V59" s="283"/>
    </row>
  </sheetData>
  <mergeCells count="113">
    <mergeCell ref="K33:S33"/>
    <mergeCell ref="T30:V30"/>
    <mergeCell ref="W40:X40"/>
    <mergeCell ref="D38:I38"/>
    <mergeCell ref="D44:G44"/>
    <mergeCell ref="J38:O38"/>
    <mergeCell ref="T41:X41"/>
    <mergeCell ref="T38:X38"/>
    <mergeCell ref="T36:X36"/>
    <mergeCell ref="T34:X34"/>
    <mergeCell ref="U33:X33"/>
    <mergeCell ref="D35:I35"/>
    <mergeCell ref="J35:O35"/>
    <mergeCell ref="D34:I34"/>
    <mergeCell ref="D33:I33"/>
    <mergeCell ref="T44:V44"/>
    <mergeCell ref="D40:I40"/>
    <mergeCell ref="F7:I7"/>
    <mergeCell ref="D51:E51"/>
    <mergeCell ref="D50:E50"/>
    <mergeCell ref="O51:V51"/>
    <mergeCell ref="D36:F36"/>
    <mergeCell ref="N36:O36"/>
    <mergeCell ref="K47:S47"/>
    <mergeCell ref="F39:G39"/>
    <mergeCell ref="AF47:AH47"/>
    <mergeCell ref="AE41:AH41"/>
    <mergeCell ref="T46:AG46"/>
    <mergeCell ref="AE19:AH19"/>
    <mergeCell ref="H39:L39"/>
    <mergeCell ref="I17:K17"/>
    <mergeCell ref="I24:M24"/>
    <mergeCell ref="X28:Y28"/>
    <mergeCell ref="AD36:AH36"/>
    <mergeCell ref="I44:L44"/>
    <mergeCell ref="I42:R42"/>
    <mergeCell ref="D27:I27"/>
    <mergeCell ref="J34:O34"/>
    <mergeCell ref="AF28:AH28"/>
    <mergeCell ref="AF42:AH42"/>
    <mergeCell ref="Q18:AF18"/>
    <mergeCell ref="A1:C1"/>
    <mergeCell ref="D1:AH1"/>
    <mergeCell ref="A2:C2"/>
    <mergeCell ref="A3:C3"/>
    <mergeCell ref="A20:A22"/>
    <mergeCell ref="T7:V7"/>
    <mergeCell ref="A12:C12"/>
    <mergeCell ref="A14:C14"/>
    <mergeCell ref="J7:O7"/>
    <mergeCell ref="D14:H14"/>
    <mergeCell ref="A4:C4"/>
    <mergeCell ref="A5:C5"/>
    <mergeCell ref="AG4:AH4"/>
    <mergeCell ref="T17:V17"/>
    <mergeCell ref="Z4:AC4"/>
    <mergeCell ref="A8:C8"/>
    <mergeCell ref="I8:L8"/>
    <mergeCell ref="T5:X5"/>
    <mergeCell ref="A6:C6"/>
    <mergeCell ref="A7:C7"/>
    <mergeCell ref="AG17:AH17"/>
    <mergeCell ref="V16:AC16"/>
    <mergeCell ref="I13:K13"/>
    <mergeCell ref="A9:C9"/>
    <mergeCell ref="X53:Y53"/>
    <mergeCell ref="H36:L36"/>
    <mergeCell ref="J40:O40"/>
    <mergeCell ref="M29:S29"/>
    <mergeCell ref="X52:Y52"/>
    <mergeCell ref="I53:K53"/>
    <mergeCell ref="A51:A53"/>
    <mergeCell ref="A44:A46"/>
    <mergeCell ref="I48:O48"/>
    <mergeCell ref="Q48:AD48"/>
    <mergeCell ref="Q49:AD49"/>
    <mergeCell ref="X50:Y50"/>
    <mergeCell ref="A31:A43"/>
    <mergeCell ref="D41:I41"/>
    <mergeCell ref="J41:O41"/>
    <mergeCell ref="S42:Y42"/>
    <mergeCell ref="M39:N39"/>
    <mergeCell ref="Z31:AH31"/>
    <mergeCell ref="Z30:AH30"/>
    <mergeCell ref="AE53:AH53"/>
    <mergeCell ref="Y51:AE51"/>
    <mergeCell ref="AG52:AH52"/>
    <mergeCell ref="H52:J52"/>
    <mergeCell ref="AF33:AH33"/>
    <mergeCell ref="A26:A30"/>
    <mergeCell ref="A47:A50"/>
    <mergeCell ref="T9:X9"/>
    <mergeCell ref="I9:N9"/>
    <mergeCell ref="T22:AG22"/>
    <mergeCell ref="O9:S9"/>
    <mergeCell ref="X24:Y24"/>
    <mergeCell ref="A23:A25"/>
    <mergeCell ref="A10:C10"/>
    <mergeCell ref="R27:AD27"/>
    <mergeCell ref="Z20:AC20"/>
    <mergeCell ref="Y23:AH23"/>
    <mergeCell ref="X11:Y11"/>
    <mergeCell ref="X17:Y17"/>
    <mergeCell ref="A11:C11"/>
    <mergeCell ref="K21:W21"/>
    <mergeCell ref="T26:AD26"/>
    <mergeCell ref="A13:C13"/>
    <mergeCell ref="I19:X19"/>
    <mergeCell ref="I23:X23"/>
    <mergeCell ref="I18:N18"/>
    <mergeCell ref="D31:I31"/>
    <mergeCell ref="J31:O31"/>
    <mergeCell ref="T35:X35"/>
  </mergeCells>
  <pageMargins left="0.25" right="0.25" top="0.75" bottom="0.75" header="0.3" footer="0.3"/>
  <pageSetup fitToHeight="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FB81-CB48-43A5-8E41-4EFDE85165A9}">
  <sheetPr>
    <pageSetUpPr fitToPage="1"/>
  </sheetPr>
  <dimension ref="A1:AP61"/>
  <sheetViews>
    <sheetView zoomScale="70" zoomScaleNormal="70" workbookViewId="0">
      <pane xSplit="3" topLeftCell="D1" activePane="topRight" state="frozen"/>
      <selection pane="topRight" activeCell="D39" sqref="D39:K39"/>
    </sheetView>
  </sheetViews>
  <sheetFormatPr defaultRowHeight="15"/>
  <cols>
    <col min="3" max="3" width="11" bestFit="1" customWidth="1"/>
    <col min="6" max="6" width="10.42578125" bestFit="1" customWidth="1"/>
    <col min="22" max="22" width="11" customWidth="1"/>
    <col min="33" max="33" width="7.7109375" customWidth="1"/>
    <col min="34" max="34" width="9.42578125" customWidth="1"/>
  </cols>
  <sheetData>
    <row r="1" spans="1:34" ht="15.75">
      <c r="A1" s="4112" t="s">
        <v>29</v>
      </c>
      <c r="B1" s="4112"/>
      <c r="C1" s="4112"/>
      <c r="D1" s="4113" t="s">
        <v>217</v>
      </c>
      <c r="E1" s="4113"/>
      <c r="F1" s="4113"/>
      <c r="G1" s="4113"/>
      <c r="H1" s="4113"/>
      <c r="I1" s="4113"/>
      <c r="J1" s="4113"/>
      <c r="K1" s="4113"/>
      <c r="L1" s="4113"/>
      <c r="M1" s="4113"/>
      <c r="N1" s="4113"/>
      <c r="O1" s="4113"/>
      <c r="P1" s="4113"/>
      <c r="Q1" s="4113"/>
      <c r="R1" s="4113"/>
      <c r="S1" s="4113"/>
      <c r="T1" s="4113"/>
      <c r="U1" s="4113"/>
      <c r="V1" s="4113"/>
      <c r="W1" s="4113"/>
      <c r="X1" s="4113"/>
      <c r="Y1" s="4113"/>
      <c r="Z1" s="4113"/>
      <c r="AA1" s="4113"/>
      <c r="AB1" s="4113"/>
      <c r="AC1" s="4113"/>
      <c r="AD1" s="4113"/>
      <c r="AE1" s="4113"/>
      <c r="AF1" s="4113"/>
      <c r="AG1" s="4113"/>
      <c r="AH1" s="4113"/>
    </row>
    <row r="2" spans="1:34" ht="15.75">
      <c r="A2" s="4035" t="s">
        <v>31</v>
      </c>
      <c r="B2" s="4036"/>
      <c r="C2" s="4036"/>
      <c r="D2" s="3564">
        <v>1</v>
      </c>
      <c r="E2" s="3564">
        <v>2</v>
      </c>
      <c r="F2" s="3564">
        <v>3</v>
      </c>
      <c r="G2" s="3564">
        <v>4</v>
      </c>
      <c r="H2" s="3564">
        <v>5</v>
      </c>
      <c r="I2" s="3564">
        <v>6</v>
      </c>
      <c r="J2" s="3564">
        <v>7</v>
      </c>
      <c r="K2" s="3564">
        <v>8</v>
      </c>
      <c r="L2" s="3564">
        <v>9</v>
      </c>
      <c r="M2" s="3564">
        <v>10</v>
      </c>
      <c r="N2" s="3564">
        <v>11</v>
      </c>
      <c r="O2" s="3564">
        <v>12</v>
      </c>
      <c r="P2" s="3564">
        <v>13</v>
      </c>
      <c r="Q2" s="3564">
        <v>14</v>
      </c>
      <c r="R2" s="3564">
        <v>15</v>
      </c>
      <c r="S2" s="3564">
        <v>16</v>
      </c>
      <c r="T2" s="3564">
        <v>17</v>
      </c>
      <c r="U2" s="3564">
        <v>18</v>
      </c>
      <c r="V2" s="3564">
        <v>19</v>
      </c>
      <c r="W2" s="3564">
        <v>20</v>
      </c>
      <c r="X2" s="3564">
        <v>21</v>
      </c>
      <c r="Y2" s="3564">
        <v>22</v>
      </c>
      <c r="Z2" s="3564">
        <v>23</v>
      </c>
      <c r="AA2" s="3564">
        <v>24</v>
      </c>
      <c r="AB2" s="3564">
        <v>25</v>
      </c>
      <c r="AC2" s="3564">
        <v>26</v>
      </c>
      <c r="AD2" s="3564">
        <v>27</v>
      </c>
      <c r="AE2" s="3564">
        <v>28</v>
      </c>
      <c r="AF2" s="3564">
        <v>29</v>
      </c>
      <c r="AG2" s="3564">
        <v>30</v>
      </c>
      <c r="AH2" s="492">
        <v>31</v>
      </c>
    </row>
    <row r="3" spans="1:34" ht="15.75">
      <c r="A3" s="4041" t="s">
        <v>32</v>
      </c>
      <c r="B3" s="4042"/>
      <c r="C3" s="4042"/>
      <c r="D3" s="183" t="s">
        <v>36</v>
      </c>
      <c r="E3" s="3567" t="s">
        <v>37</v>
      </c>
      <c r="F3" s="3567" t="s">
        <v>33</v>
      </c>
      <c r="G3" s="3567" t="s">
        <v>34</v>
      </c>
      <c r="H3" s="3567" t="s">
        <v>33</v>
      </c>
      <c r="I3" s="3567" t="s">
        <v>35</v>
      </c>
      <c r="J3" s="183" t="s">
        <v>36</v>
      </c>
      <c r="K3" s="183" t="s">
        <v>36</v>
      </c>
      <c r="L3" s="3567" t="s">
        <v>37</v>
      </c>
      <c r="M3" s="3567" t="s">
        <v>33</v>
      </c>
      <c r="N3" s="3567" t="s">
        <v>34</v>
      </c>
      <c r="O3" s="3567" t="s">
        <v>33</v>
      </c>
      <c r="P3" s="3567" t="s">
        <v>35</v>
      </c>
      <c r="Q3" s="183" t="s">
        <v>36</v>
      </c>
      <c r="R3" s="183" t="s">
        <v>36</v>
      </c>
      <c r="S3" s="3567" t="s">
        <v>37</v>
      </c>
      <c r="T3" s="3567" t="s">
        <v>33</v>
      </c>
      <c r="U3" s="3567" t="s">
        <v>34</v>
      </c>
      <c r="V3" s="3567" t="s">
        <v>33</v>
      </c>
      <c r="W3" s="3567" t="s">
        <v>35</v>
      </c>
      <c r="X3" s="183" t="s">
        <v>36</v>
      </c>
      <c r="Y3" s="183" t="s">
        <v>36</v>
      </c>
      <c r="Z3" s="3567" t="s">
        <v>37</v>
      </c>
      <c r="AA3" s="3567" t="s">
        <v>33</v>
      </c>
      <c r="AB3" s="3567" t="s">
        <v>34</v>
      </c>
      <c r="AC3" s="3567" t="s">
        <v>33</v>
      </c>
      <c r="AD3" s="3567" t="s">
        <v>35</v>
      </c>
      <c r="AE3" s="183" t="s">
        <v>36</v>
      </c>
      <c r="AF3" s="183" t="s">
        <v>36</v>
      </c>
      <c r="AG3" s="3567" t="s">
        <v>37</v>
      </c>
      <c r="AH3" s="207" t="s">
        <v>33</v>
      </c>
    </row>
    <row r="4" spans="1:34" s="1" customFormat="1" ht="15.75">
      <c r="A4" s="4049" t="s">
        <v>38</v>
      </c>
      <c r="B4" s="4050"/>
      <c r="C4" s="4050"/>
      <c r="D4" s="4050" t="s">
        <v>218</v>
      </c>
      <c r="E4" s="4050"/>
      <c r="F4" s="151"/>
      <c r="G4" s="151"/>
      <c r="H4" s="151"/>
      <c r="I4" s="151"/>
      <c r="J4" s="151"/>
      <c r="K4" s="151"/>
      <c r="L4" s="151"/>
      <c r="M4" s="151"/>
      <c r="N4" s="209"/>
      <c r="O4" s="209"/>
      <c r="P4" s="209"/>
      <c r="Q4" s="4050" t="s">
        <v>219</v>
      </c>
      <c r="R4" s="4050"/>
      <c r="S4" s="4050"/>
      <c r="T4" s="151"/>
      <c r="U4" s="151"/>
      <c r="V4" s="588" t="s">
        <v>220</v>
      </c>
      <c r="W4" s="151"/>
      <c r="X4" s="151"/>
      <c r="Y4" s="151"/>
      <c r="Z4" s="151"/>
      <c r="AA4" s="210"/>
      <c r="AB4" s="210"/>
      <c r="AC4" s="210"/>
      <c r="AD4" s="210"/>
      <c r="AE4" s="151"/>
      <c r="AF4" s="151"/>
      <c r="AG4" s="151"/>
      <c r="AH4" s="493"/>
    </row>
    <row r="5" spans="1:34" s="1" customFormat="1" ht="15.75">
      <c r="A5" s="4051" t="s">
        <v>42</v>
      </c>
      <c r="B5" s="4052"/>
      <c r="C5" s="4052"/>
      <c r="D5" s="150"/>
      <c r="E5" s="150"/>
      <c r="F5" s="3569" t="s">
        <v>48</v>
      </c>
      <c r="G5" s="4106" t="s">
        <v>221</v>
      </c>
      <c r="H5" s="4107"/>
      <c r="I5" s="4107"/>
      <c r="J5" s="4107"/>
      <c r="K5" s="4108"/>
      <c r="L5" s="587" t="s">
        <v>163</v>
      </c>
      <c r="M5" s="4106"/>
      <c r="N5" s="4107"/>
      <c r="O5" s="4108"/>
      <c r="P5" s="585" t="s">
        <v>222</v>
      </c>
      <c r="Q5" s="150"/>
      <c r="R5" s="150"/>
      <c r="S5" s="150"/>
      <c r="T5" s="4106" t="s">
        <v>223</v>
      </c>
      <c r="U5" s="4107"/>
      <c r="V5" s="4108"/>
      <c r="W5" s="4106" t="s">
        <v>224</v>
      </c>
      <c r="X5" s="4107"/>
      <c r="Y5" s="4107"/>
      <c r="Z5" s="4107"/>
      <c r="AA5" s="4107"/>
      <c r="AB5" s="4107"/>
      <c r="AC5" s="4107"/>
      <c r="AD5" s="4108"/>
      <c r="AE5" s="3569" t="s">
        <v>48</v>
      </c>
      <c r="AF5" s="3569" t="s">
        <v>224</v>
      </c>
      <c r="AG5" s="592"/>
      <c r="AH5" s="166"/>
    </row>
    <row r="6" spans="1:34" s="1" customFormat="1" ht="15.75">
      <c r="A6" s="4109" t="s">
        <v>49</v>
      </c>
      <c r="B6" s="4110"/>
      <c r="C6" s="4110"/>
      <c r="D6" s="81"/>
      <c r="E6" s="81"/>
      <c r="F6" s="81"/>
      <c r="G6" s="81"/>
      <c r="H6" s="81"/>
      <c r="I6" s="81"/>
      <c r="J6" s="81"/>
      <c r="K6" s="4111" t="s">
        <v>164</v>
      </c>
      <c r="L6" s="4111"/>
      <c r="M6" s="4111"/>
      <c r="N6" s="4111"/>
      <c r="O6" s="4111"/>
      <c r="P6" s="149"/>
      <c r="Q6" s="149"/>
      <c r="R6" s="149"/>
      <c r="S6" s="149"/>
      <c r="T6" s="483"/>
      <c r="U6" s="483"/>
      <c r="V6" s="483"/>
      <c r="W6" s="483"/>
      <c r="X6" s="483"/>
      <c r="Y6" s="483"/>
      <c r="Z6" s="483"/>
      <c r="AA6" s="102"/>
      <c r="AB6" s="102"/>
      <c r="AC6" s="185" t="s">
        <v>9</v>
      </c>
      <c r="AD6" s="102"/>
      <c r="AE6" s="149"/>
      <c r="AF6" s="149"/>
      <c r="AG6" s="149"/>
      <c r="AH6" s="186"/>
    </row>
    <row r="7" spans="1:34" s="1" customFormat="1" ht="15.75">
      <c r="A7" s="4061" t="s">
        <v>165</v>
      </c>
      <c r="B7" s="4062"/>
      <c r="C7" s="4062"/>
      <c r="D7" s="558"/>
      <c r="E7" s="558"/>
      <c r="F7" s="558"/>
      <c r="G7" s="558"/>
      <c r="H7" s="558"/>
      <c r="I7" s="552" t="s">
        <v>48</v>
      </c>
      <c r="J7" s="558"/>
      <c r="K7" s="557"/>
      <c r="L7" s="557"/>
      <c r="M7" s="557"/>
      <c r="N7" s="557"/>
      <c r="O7" s="557"/>
      <c r="P7" s="559"/>
      <c r="Q7" s="559"/>
      <c r="R7" s="559"/>
      <c r="S7" s="559"/>
      <c r="T7" s="560"/>
      <c r="U7" s="560"/>
      <c r="V7" s="560"/>
      <c r="W7" s="552" t="s">
        <v>44</v>
      </c>
      <c r="X7" s="560"/>
      <c r="Y7" s="560"/>
      <c r="Z7" s="560"/>
      <c r="AA7" s="561"/>
      <c r="AB7" s="561"/>
      <c r="AC7" s="562"/>
      <c r="AD7" s="561"/>
      <c r="AE7" s="559"/>
      <c r="AF7" s="559"/>
      <c r="AG7" s="563"/>
      <c r="AH7" s="564"/>
    </row>
    <row r="8" spans="1:34" ht="15.75">
      <c r="A8" s="4100" t="s">
        <v>225</v>
      </c>
      <c r="B8" s="4101"/>
      <c r="C8" s="4102"/>
      <c r="D8" s="4103"/>
      <c r="E8" s="4103"/>
      <c r="F8" s="542"/>
      <c r="G8" s="540"/>
      <c r="H8" s="540"/>
      <c r="I8" s="540"/>
      <c r="J8" s="541"/>
      <c r="K8" s="541"/>
      <c r="L8" s="541"/>
      <c r="M8" s="541"/>
      <c r="N8" s="540"/>
      <c r="O8" s="540"/>
      <c r="P8" s="540"/>
      <c r="Q8" s="540"/>
      <c r="R8" s="540"/>
      <c r="S8" s="540"/>
      <c r="T8" s="540"/>
      <c r="U8" s="540"/>
      <c r="V8" s="540"/>
      <c r="W8" s="540"/>
      <c r="X8" s="540"/>
      <c r="Y8" s="540"/>
      <c r="Z8" s="716"/>
      <c r="AA8" s="716"/>
      <c r="AB8" s="716"/>
      <c r="AC8" s="716"/>
      <c r="AD8" s="716"/>
      <c r="AE8" s="540"/>
      <c r="AF8" s="540"/>
      <c r="AG8" s="86"/>
      <c r="AH8" s="888" t="s">
        <v>226</v>
      </c>
    </row>
    <row r="9" spans="1:34" ht="15.75">
      <c r="A9" s="4068" t="s">
        <v>54</v>
      </c>
      <c r="B9" s="4069"/>
      <c r="C9" s="4069"/>
      <c r="D9" s="540"/>
      <c r="E9" s="540"/>
      <c r="F9" s="156"/>
      <c r="G9" s="156"/>
      <c r="H9" s="156"/>
      <c r="I9" s="189"/>
      <c r="J9" s="189"/>
      <c r="K9" s="189"/>
      <c r="L9" s="189"/>
      <c r="M9" s="189"/>
      <c r="N9" s="189"/>
      <c r="O9" s="189"/>
      <c r="P9" s="767" t="s">
        <v>227</v>
      </c>
      <c r="Q9" s="189"/>
      <c r="R9" s="189"/>
      <c r="T9" s="189"/>
      <c r="U9" s="189"/>
      <c r="V9" s="189"/>
      <c r="W9" s="189"/>
      <c r="X9" s="189"/>
      <c r="Y9" s="156"/>
      <c r="Z9" s="156"/>
      <c r="AA9" s="92"/>
      <c r="AB9" s="92"/>
      <c r="AC9" s="92"/>
      <c r="AD9" s="92"/>
      <c r="AE9" s="156"/>
      <c r="AF9" s="156"/>
      <c r="AG9" s="86"/>
      <c r="AH9" s="87"/>
    </row>
    <row r="10" spans="1:34" ht="15.75" customHeight="1">
      <c r="A10" s="4104" t="s">
        <v>228</v>
      </c>
      <c r="B10" s="4105"/>
      <c r="C10" s="4105"/>
      <c r="D10" s="727"/>
      <c r="E10" s="367"/>
      <c r="F10" s="728"/>
      <c r="G10" s="632"/>
      <c r="H10" s="211"/>
      <c r="I10" s="728"/>
      <c r="J10" s="79"/>
      <c r="K10" s="728"/>
      <c r="L10" s="79"/>
      <c r="M10" s="728"/>
      <c r="N10" s="631" t="s">
        <v>229</v>
      </c>
      <c r="O10" s="633"/>
      <c r="P10" s="630" t="s">
        <v>230</v>
      </c>
      <c r="Q10" s="633"/>
      <c r="R10" s="728"/>
      <c r="S10" s="633"/>
      <c r="T10" s="728"/>
      <c r="U10" s="633"/>
      <c r="V10" s="635"/>
      <c r="W10" s="631" t="s">
        <v>231</v>
      </c>
      <c r="X10" s="79"/>
      <c r="Y10" s="211"/>
      <c r="Z10" s="211"/>
      <c r="AA10" s="72"/>
      <c r="AB10" s="72"/>
      <c r="AC10" s="72"/>
      <c r="AD10" s="72"/>
      <c r="AE10" s="367"/>
      <c r="AF10" s="156"/>
      <c r="AG10" s="86"/>
      <c r="AH10" s="87"/>
    </row>
    <row r="11" spans="1:34" ht="15" customHeight="1">
      <c r="A11" s="4006" t="s">
        <v>57</v>
      </c>
      <c r="B11" s="4007"/>
      <c r="C11" s="4007"/>
      <c r="D11" s="190"/>
      <c r="E11" s="190"/>
      <c r="F11" s="190"/>
      <c r="G11" s="379" t="s">
        <v>57</v>
      </c>
      <c r="H11" s="379"/>
      <c r="I11" s="379"/>
      <c r="J11" s="379"/>
      <c r="K11" s="379"/>
      <c r="L11" s="4126" t="s">
        <v>57</v>
      </c>
      <c r="M11" s="4127"/>
      <c r="N11" s="4127"/>
      <c r="O11" s="4127"/>
      <c r="P11" s="4128"/>
      <c r="Q11" s="171"/>
      <c r="R11" s="171"/>
      <c r="S11" s="190"/>
      <c r="T11" s="75"/>
      <c r="U11" s="75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71"/>
      <c r="AH11" s="191"/>
    </row>
    <row r="12" spans="1:34" ht="15" customHeight="1">
      <c r="A12" s="4011" t="s">
        <v>176</v>
      </c>
      <c r="B12" s="4012"/>
      <c r="C12" s="4012"/>
      <c r="D12" s="190"/>
      <c r="E12" s="190"/>
      <c r="F12" s="162" t="s">
        <v>45</v>
      </c>
      <c r="G12" s="88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4012" t="s">
        <v>232</v>
      </c>
      <c r="W12" s="4012"/>
      <c r="X12" s="4012"/>
      <c r="Y12" s="4012"/>
      <c r="Z12" s="4012"/>
      <c r="AA12" s="4012"/>
      <c r="AB12" s="4012"/>
      <c r="AC12" s="4012"/>
      <c r="AD12" s="4012"/>
      <c r="AE12" s="190"/>
      <c r="AF12" s="190"/>
      <c r="AG12" s="171"/>
      <c r="AH12" s="191"/>
    </row>
    <row r="13" spans="1:34" ht="15.75">
      <c r="A13" s="4124" t="s">
        <v>63</v>
      </c>
      <c r="B13" s="4125"/>
      <c r="C13" s="4125"/>
      <c r="D13" s="190"/>
      <c r="E13" s="190"/>
      <c r="F13" s="88"/>
      <c r="G13" s="88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3572" t="s">
        <v>45</v>
      </c>
      <c r="X13" s="190"/>
      <c r="Y13" s="190"/>
      <c r="Z13" s="190"/>
      <c r="AA13" s="190"/>
      <c r="AB13" s="190"/>
      <c r="AC13" s="190"/>
      <c r="AD13" s="190"/>
      <c r="AE13" s="192"/>
      <c r="AF13" s="192"/>
      <c r="AG13" s="192"/>
      <c r="AH13" s="191"/>
    </row>
    <row r="14" spans="1:34" ht="15" customHeight="1">
      <c r="A14" s="4119" t="s">
        <v>233</v>
      </c>
      <c r="B14" s="4120"/>
      <c r="C14" s="4120"/>
      <c r="D14" s="194"/>
      <c r="E14" s="194"/>
      <c r="F14" s="194" t="s">
        <v>30</v>
      </c>
      <c r="G14" s="4120" t="s">
        <v>233</v>
      </c>
      <c r="H14" s="4120"/>
      <c r="I14" s="4120"/>
      <c r="J14" s="4120"/>
      <c r="K14" s="4120"/>
      <c r="L14" s="4120"/>
      <c r="M14" s="4120"/>
      <c r="N14" s="4120"/>
      <c r="O14" s="4120"/>
      <c r="P14" s="4120"/>
      <c r="Q14" s="4120"/>
      <c r="R14" s="4120"/>
      <c r="S14" s="4120"/>
      <c r="T14" s="4120"/>
      <c r="U14" s="4120"/>
      <c r="V14" s="4120"/>
      <c r="W14" s="4120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86"/>
    </row>
    <row r="15" spans="1:34" ht="15.75">
      <c r="A15" s="4013" t="s">
        <v>179</v>
      </c>
      <c r="B15" s="4014"/>
      <c r="C15" s="4014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95"/>
      <c r="Y15" s="195"/>
      <c r="Z15" s="195"/>
      <c r="AA15" s="195"/>
      <c r="AB15" s="195"/>
      <c r="AC15" s="494"/>
      <c r="AD15" s="195"/>
      <c r="AE15" s="195"/>
      <c r="AF15" s="195"/>
      <c r="AG15" s="195"/>
      <c r="AH15" s="153"/>
    </row>
    <row r="16" spans="1:34" ht="9.75" customHeight="1">
      <c r="A16" s="4117" t="s">
        <v>26</v>
      </c>
      <c r="B16" s="4118"/>
      <c r="C16" s="4118"/>
      <c r="D16" s="75"/>
      <c r="E16" s="75"/>
      <c r="F16" s="75"/>
      <c r="G16" s="75"/>
      <c r="H16" s="75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71"/>
      <c r="Y16" s="171"/>
      <c r="Z16" s="171"/>
      <c r="AA16" s="171"/>
      <c r="AB16" s="171"/>
      <c r="AC16" s="448"/>
      <c r="AD16" s="171"/>
      <c r="AE16" s="171"/>
      <c r="AF16" s="171"/>
      <c r="AG16" s="171"/>
      <c r="AH16" s="191"/>
    </row>
    <row r="17" spans="1:34" ht="15.75" customHeight="1">
      <c r="A17" s="469"/>
      <c r="B17" s="469"/>
      <c r="C17" s="469"/>
      <c r="D17" s="446"/>
      <c r="E17" s="446"/>
      <c r="F17" s="446"/>
      <c r="G17" s="446"/>
      <c r="H17" s="446"/>
      <c r="I17" s="444"/>
      <c r="J17" s="444"/>
      <c r="K17" s="444"/>
      <c r="L17" s="444"/>
      <c r="M17" s="444"/>
      <c r="N17" s="444"/>
      <c r="O17" s="444"/>
      <c r="P17" s="444"/>
      <c r="Q17" s="444"/>
      <c r="R17" s="444"/>
      <c r="S17" s="444"/>
      <c r="T17" s="444"/>
      <c r="U17" s="444"/>
      <c r="V17" s="444"/>
      <c r="W17" s="444"/>
      <c r="X17" s="343"/>
      <c r="Y17" s="343"/>
      <c r="Z17" s="343"/>
      <c r="AA17" s="343"/>
      <c r="AB17" s="343"/>
      <c r="AC17" s="343"/>
      <c r="AD17" s="343"/>
      <c r="AE17" s="343"/>
      <c r="AF17" s="343"/>
      <c r="AG17" s="343"/>
      <c r="AH17" s="564"/>
    </row>
    <row r="18" spans="1:34" ht="15.75" customHeight="1">
      <c r="A18" s="3552" t="s">
        <v>66</v>
      </c>
      <c r="B18" s="83" t="s">
        <v>67</v>
      </c>
      <c r="C18" s="463" t="s">
        <v>68</v>
      </c>
      <c r="D18" s="463"/>
      <c r="E18" s="463"/>
      <c r="F18" s="463"/>
      <c r="G18" s="495" t="s">
        <v>57</v>
      </c>
      <c r="H18" s="495"/>
      <c r="I18" s="495"/>
      <c r="J18" s="495"/>
      <c r="K18" s="495"/>
      <c r="L18" s="4121" t="s">
        <v>234</v>
      </c>
      <c r="M18" s="4122"/>
      <c r="N18" s="4122"/>
      <c r="O18" s="4122"/>
      <c r="P18" s="4123"/>
      <c r="Q18" s="247"/>
      <c r="R18" s="496"/>
      <c r="S18" s="496"/>
      <c r="T18" s="4052" t="s">
        <v>235</v>
      </c>
      <c r="U18" s="4116"/>
      <c r="V18" s="4116"/>
      <c r="W18" s="496"/>
      <c r="X18" s="496"/>
      <c r="Y18" s="496"/>
      <c r="Z18" s="496"/>
      <c r="AA18" s="496"/>
      <c r="AB18" s="496"/>
      <c r="AC18" s="497" t="s">
        <v>9</v>
      </c>
      <c r="AD18" s="445"/>
      <c r="AE18" s="73"/>
      <c r="AF18" s="84"/>
      <c r="AG18" s="175" t="s">
        <v>55</v>
      </c>
      <c r="AH18" s="828" t="s">
        <v>226</v>
      </c>
    </row>
    <row r="19" spans="1:34" ht="15.75" customHeight="1">
      <c r="A19" s="3553" t="s">
        <v>73</v>
      </c>
      <c r="B19" s="247" t="s">
        <v>67</v>
      </c>
      <c r="C19" s="86" t="s">
        <v>74</v>
      </c>
      <c r="D19" s="3988" t="s">
        <v>236</v>
      </c>
      <c r="E19" s="3988"/>
      <c r="F19" s="3988"/>
      <c r="G19" s="3988"/>
      <c r="H19" s="95"/>
      <c r="I19" s="490"/>
      <c r="J19" s="452"/>
      <c r="K19" s="452"/>
      <c r="L19" s="587" t="s">
        <v>163</v>
      </c>
      <c r="M19" s="89"/>
      <c r="N19" s="89"/>
      <c r="O19" s="488" t="s">
        <v>7</v>
      </c>
      <c r="P19" s="247"/>
      <c r="Q19" s="247"/>
      <c r="R19" s="247"/>
      <c r="S19" s="247"/>
      <c r="T19" s="86"/>
      <c r="U19" s="178" t="s">
        <v>55</v>
      </c>
      <c r="V19" s="4114" t="s">
        <v>237</v>
      </c>
      <c r="W19" s="4115"/>
      <c r="X19" s="178" t="s">
        <v>55</v>
      </c>
      <c r="Y19" s="202"/>
      <c r="Z19" s="202"/>
      <c r="AA19" s="202"/>
      <c r="AB19" s="202"/>
      <c r="AC19" s="202"/>
      <c r="AD19" s="202"/>
      <c r="AE19" s="202"/>
      <c r="AF19" s="98"/>
      <c r="AG19" s="317"/>
      <c r="AH19" s="93"/>
    </row>
    <row r="20" spans="1:34" ht="15.75" customHeight="1">
      <c r="A20" s="3553" t="s">
        <v>76</v>
      </c>
      <c r="B20" s="247" t="s">
        <v>100</v>
      </c>
      <c r="C20" s="86" t="s">
        <v>78</v>
      </c>
      <c r="D20" s="246"/>
      <c r="E20" s="246"/>
      <c r="F20" s="247"/>
      <c r="G20" s="246"/>
      <c r="H20" s="485"/>
      <c r="I20" s="486"/>
      <c r="J20" s="487"/>
      <c r="K20" s="487"/>
      <c r="L20" s="722" t="s">
        <v>234</v>
      </c>
      <c r="M20" s="487"/>
      <c r="N20" s="487"/>
      <c r="O20" s="487"/>
      <c r="P20" s="487"/>
      <c r="Q20" s="487"/>
      <c r="R20" s="246"/>
      <c r="S20" s="246"/>
      <c r="T20" s="94"/>
      <c r="U20" s="318" t="s">
        <v>55</v>
      </c>
      <c r="V20" s="4114" t="s">
        <v>237</v>
      </c>
      <c r="W20" s="4148"/>
      <c r="X20" s="4148"/>
      <c r="Y20" s="4148"/>
      <c r="Z20" s="4148"/>
      <c r="AA20" s="4148"/>
      <c r="AB20" s="4148"/>
      <c r="AC20" s="4115"/>
      <c r="AD20" s="318" t="s">
        <v>55</v>
      </c>
      <c r="AE20" s="201"/>
      <c r="AF20" s="314"/>
      <c r="AG20" s="317"/>
      <c r="AH20" s="93"/>
    </row>
    <row r="21" spans="1:34" ht="15.75">
      <c r="A21" s="3554" t="s">
        <v>80</v>
      </c>
      <c r="B21" s="314" t="s">
        <v>81</v>
      </c>
      <c r="C21" s="442" t="s">
        <v>82</v>
      </c>
      <c r="D21" s="4072" t="s">
        <v>238</v>
      </c>
      <c r="E21" s="3971"/>
      <c r="F21" s="3971"/>
      <c r="G21" s="3971"/>
      <c r="H21" s="4086"/>
      <c r="I21" s="498"/>
      <c r="J21" s="498"/>
      <c r="K21" s="498"/>
      <c r="L21" s="722" t="s">
        <v>234</v>
      </c>
      <c r="M21" s="89"/>
      <c r="N21" s="89"/>
      <c r="O21" s="4121" t="s">
        <v>234</v>
      </c>
      <c r="P21" s="4123"/>
      <c r="Q21" s="247"/>
      <c r="R21" s="314"/>
      <c r="S21" s="314"/>
      <c r="T21" s="442"/>
      <c r="U21" s="100"/>
      <c r="V21" s="100"/>
      <c r="W21" s="765" t="s">
        <v>45</v>
      </c>
      <c r="X21" s="100"/>
      <c r="Y21" s="100"/>
      <c r="Z21" s="100"/>
      <c r="AA21" s="100"/>
      <c r="AB21" s="100"/>
      <c r="AC21" s="4029" t="s">
        <v>239</v>
      </c>
      <c r="AD21" s="4029"/>
      <c r="AE21" s="4029"/>
      <c r="AF21" s="4029"/>
      <c r="AG21" s="4029"/>
      <c r="AH21" s="499"/>
    </row>
    <row r="22" spans="1:34" ht="15.75">
      <c r="A22" s="3883" t="s">
        <v>84</v>
      </c>
      <c r="B22" s="83" t="s">
        <v>85</v>
      </c>
      <c r="C22" s="463" t="s">
        <v>86</v>
      </c>
      <c r="D22" s="83"/>
      <c r="E22" s="83"/>
      <c r="F22" s="83"/>
      <c r="G22" s="83"/>
      <c r="H22" s="83"/>
      <c r="I22" s="83"/>
      <c r="J22" s="83"/>
      <c r="K22" s="83"/>
      <c r="L22" s="188"/>
      <c r="M22" s="188"/>
      <c r="N22" s="188"/>
      <c r="O22" s="83"/>
      <c r="P22" s="83"/>
      <c r="Q22" s="83"/>
      <c r="R22" s="83"/>
      <c r="S22" s="83"/>
      <c r="T22" s="83"/>
      <c r="U22" s="584"/>
      <c r="V22" s="859" t="s">
        <v>240</v>
      </c>
      <c r="W22" s="393"/>
      <c r="X22" s="393"/>
      <c r="Y22" s="393"/>
      <c r="Z22" s="393"/>
      <c r="AA22" s="393"/>
      <c r="AB22" s="766"/>
      <c r="AC22" s="169"/>
      <c r="AD22" s="169"/>
      <c r="AE22" s="169"/>
      <c r="AF22" s="169"/>
      <c r="AG22" s="169"/>
      <c r="AH22" s="471"/>
    </row>
    <row r="23" spans="1:34" ht="15.75">
      <c r="A23" s="3884"/>
      <c r="B23" s="247" t="s">
        <v>87</v>
      </c>
      <c r="C23" s="86" t="s">
        <v>88</v>
      </c>
      <c r="D23" s="247"/>
      <c r="E23" s="247"/>
      <c r="F23" s="247"/>
      <c r="G23" s="247"/>
      <c r="H23" s="247"/>
      <c r="I23" s="247"/>
      <c r="J23" s="247"/>
      <c r="K23" s="247"/>
      <c r="L23" s="89"/>
      <c r="M23" s="89"/>
      <c r="N23" s="89"/>
      <c r="O23" s="247"/>
      <c r="P23" s="247"/>
      <c r="Q23" s="247"/>
      <c r="R23" s="247"/>
      <c r="S23" s="247"/>
      <c r="T23" s="247"/>
      <c r="U23" s="247"/>
      <c r="V23" s="652" t="s">
        <v>241</v>
      </c>
      <c r="W23" s="3950" t="s">
        <v>242</v>
      </c>
      <c r="X23" s="3951"/>
      <c r="Y23" s="3951"/>
      <c r="Z23" s="3951"/>
      <c r="AA23" s="3951"/>
      <c r="AB23" s="3951"/>
      <c r="AC23" s="3951"/>
      <c r="AD23" s="3951"/>
      <c r="AE23" s="3951"/>
      <c r="AF23" s="3952"/>
      <c r="AG23" s="247"/>
      <c r="AH23" s="90"/>
    </row>
    <row r="24" spans="1:34" ht="15.75" customHeight="1">
      <c r="A24" s="3885"/>
      <c r="B24" s="314" t="s">
        <v>90</v>
      </c>
      <c r="C24" s="442" t="s">
        <v>91</v>
      </c>
      <c r="D24" s="442"/>
      <c r="E24" s="442"/>
      <c r="F24" s="442"/>
      <c r="G24" s="314"/>
      <c r="H24" s="442"/>
      <c r="I24" s="442"/>
      <c r="J24" s="442"/>
      <c r="K24" s="442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475"/>
      <c r="AH24" s="166"/>
    </row>
    <row r="25" spans="1:34" ht="15.75" customHeight="1">
      <c r="A25" s="3883" t="s">
        <v>92</v>
      </c>
      <c r="B25" s="83" t="s">
        <v>95</v>
      </c>
      <c r="C25" s="463" t="s">
        <v>243</v>
      </c>
      <c r="D25" s="463"/>
      <c r="E25" s="463"/>
      <c r="F25" s="463"/>
      <c r="G25" s="495" t="s">
        <v>57</v>
      </c>
      <c r="H25" s="495"/>
      <c r="I25" s="495"/>
      <c r="J25" s="495"/>
      <c r="K25" s="495"/>
      <c r="L25" s="495"/>
      <c r="M25" s="495"/>
      <c r="N25" s="495"/>
      <c r="O25" s="495"/>
      <c r="P25" s="495"/>
      <c r="Q25" s="495"/>
      <c r="R25" s="463"/>
      <c r="S25" s="463"/>
      <c r="T25" s="463"/>
      <c r="U25" s="825" t="s">
        <v>55</v>
      </c>
      <c r="V25" s="4149" t="s">
        <v>237</v>
      </c>
      <c r="W25" s="4150"/>
      <c r="X25" s="4150"/>
      <c r="Y25" s="4150"/>
      <c r="Z25" s="4150"/>
      <c r="AA25" s="4150"/>
      <c r="AB25" s="4150"/>
      <c r="AC25" s="4151"/>
      <c r="AD25" s="825" t="s">
        <v>55</v>
      </c>
      <c r="AE25" s="718"/>
      <c r="AF25" s="474"/>
      <c r="AG25" s="474"/>
      <c r="AH25" s="85"/>
    </row>
    <row r="26" spans="1:34" ht="19.5" customHeight="1">
      <c r="A26" s="3885"/>
      <c r="B26" s="314" t="s">
        <v>97</v>
      </c>
      <c r="C26" s="442" t="s">
        <v>98</v>
      </c>
      <c r="D26" s="442"/>
      <c r="E26" s="442"/>
      <c r="F26" s="442"/>
      <c r="G26" s="498" t="s">
        <v>57</v>
      </c>
      <c r="H26" s="498"/>
      <c r="I26" s="498"/>
      <c r="J26" s="498"/>
      <c r="K26" s="498"/>
      <c r="L26" s="498"/>
      <c r="M26" s="498"/>
      <c r="N26" s="498"/>
      <c r="O26" s="498"/>
      <c r="P26" s="498"/>
      <c r="Q26" s="498"/>
      <c r="R26" s="442"/>
      <c r="S26" s="442"/>
      <c r="T26" s="442"/>
      <c r="U26" s="442"/>
      <c r="V26" s="653" t="s">
        <v>220</v>
      </c>
      <c r="W26" s="442"/>
      <c r="X26" s="442"/>
      <c r="Y26" s="442"/>
      <c r="Z26" s="442"/>
      <c r="AA26" s="442"/>
      <c r="AB26" s="442"/>
      <c r="AC26" s="442"/>
      <c r="AD26" s="442"/>
      <c r="AE26" s="442"/>
      <c r="AF26" s="475"/>
      <c r="AG26" s="475"/>
      <c r="AH26" s="166"/>
    </row>
    <row r="27" spans="1:34" ht="15.75">
      <c r="A27" s="3883" t="s">
        <v>99</v>
      </c>
      <c r="B27" s="83" t="s">
        <v>100</v>
      </c>
      <c r="C27" s="463" t="s">
        <v>101</v>
      </c>
      <c r="D27" s="84"/>
      <c r="E27" s="84"/>
      <c r="F27" s="84"/>
      <c r="G27" s="84"/>
      <c r="H27" s="84"/>
      <c r="I27" s="84"/>
      <c r="J27" s="445"/>
      <c r="K27" s="445"/>
      <c r="L27" s="445"/>
      <c r="M27" s="445"/>
      <c r="N27" s="445"/>
      <c r="O27" s="723" t="s">
        <v>234</v>
      </c>
      <c r="P27" s="445"/>
      <c r="Q27" s="496"/>
      <c r="R27" s="496"/>
      <c r="S27" s="496"/>
      <c r="T27" s="496"/>
      <c r="U27" s="496"/>
      <c r="V27" s="496"/>
      <c r="W27" s="496"/>
      <c r="X27" s="496"/>
      <c r="Y27" s="496"/>
      <c r="Z27" s="496"/>
      <c r="AA27" s="496"/>
      <c r="AB27" s="496"/>
      <c r="AC27" s="496"/>
      <c r="AD27" s="445"/>
      <c r="AE27" s="445"/>
      <c r="AF27" s="474"/>
      <c r="AG27" s="474"/>
      <c r="AH27" s="85"/>
    </row>
    <row r="28" spans="1:34" ht="15.75">
      <c r="A28" s="3884"/>
      <c r="B28" s="247" t="s">
        <v>77</v>
      </c>
      <c r="C28" s="86" t="s">
        <v>102</v>
      </c>
      <c r="D28" s="92"/>
      <c r="E28" s="92"/>
      <c r="F28" s="92"/>
      <c r="G28" s="92"/>
      <c r="H28" s="92"/>
      <c r="I28" s="92"/>
      <c r="J28" s="74"/>
      <c r="K28" s="74"/>
      <c r="L28" s="246"/>
      <c r="M28" s="179"/>
      <c r="N28" s="179"/>
      <c r="O28" s="179"/>
      <c r="P28" s="179"/>
      <c r="Q28" s="491"/>
      <c r="R28" s="491"/>
      <c r="S28" s="491"/>
      <c r="T28" s="491"/>
      <c r="U28" s="491"/>
      <c r="V28" s="491"/>
      <c r="W28" s="491"/>
      <c r="X28" s="491"/>
      <c r="Y28" s="491"/>
      <c r="Z28" s="491"/>
      <c r="AA28" s="491"/>
      <c r="AB28" s="94"/>
      <c r="AC28" s="484"/>
      <c r="AD28" s="484"/>
      <c r="AE28" s="484"/>
      <c r="AF28" s="484" t="s">
        <v>244</v>
      </c>
      <c r="AG28" s="484"/>
      <c r="AH28" s="76"/>
    </row>
    <row r="29" spans="1:34" ht="15.75">
      <c r="A29" s="3884"/>
      <c r="B29" s="247" t="s">
        <v>95</v>
      </c>
      <c r="C29" s="86" t="s">
        <v>245</v>
      </c>
      <c r="D29" s="715"/>
      <c r="E29" s="715"/>
      <c r="F29" s="715"/>
      <c r="G29" s="715"/>
      <c r="H29" s="715"/>
      <c r="I29" s="715"/>
      <c r="J29" s="715"/>
      <c r="K29" s="715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3"/>
    </row>
    <row r="30" spans="1:34" ht="15.75">
      <c r="A30" s="3884"/>
      <c r="B30" s="247" t="s">
        <v>95</v>
      </c>
      <c r="C30" s="86" t="s">
        <v>105</v>
      </c>
      <c r="D30" s="3988" t="s">
        <v>246</v>
      </c>
      <c r="E30" s="3988"/>
      <c r="F30" s="3988"/>
      <c r="G30" s="3988"/>
      <c r="H30" s="3988"/>
      <c r="I30" s="3988"/>
      <c r="J30" s="3988"/>
      <c r="K30" s="3988"/>
      <c r="L30" s="3988"/>
      <c r="M30" s="3988"/>
      <c r="N30" s="3988"/>
      <c r="O30" s="488" t="s">
        <v>7</v>
      </c>
      <c r="P30" s="94"/>
      <c r="Q30" s="202"/>
      <c r="R30" s="202"/>
      <c r="S30" s="202"/>
      <c r="T30" s="202"/>
      <c r="U30" s="318" t="s">
        <v>55</v>
      </c>
      <c r="V30" s="4114" t="s">
        <v>237</v>
      </c>
      <c r="W30" s="4148"/>
      <c r="X30" s="4148"/>
      <c r="Y30" s="4148"/>
      <c r="Z30" s="4148"/>
      <c r="AA30" s="4148"/>
      <c r="AB30" s="4148"/>
      <c r="AC30" s="4115"/>
      <c r="AD30" s="318" t="s">
        <v>55</v>
      </c>
      <c r="AE30" s="201"/>
      <c r="AF30" s="88"/>
      <c r="AG30" s="88"/>
      <c r="AH30" s="87"/>
    </row>
    <row r="31" spans="1:34" ht="15.75">
      <c r="A31" s="3884"/>
      <c r="B31" s="247" t="s">
        <v>106</v>
      </c>
      <c r="C31" s="86" t="s">
        <v>107</v>
      </c>
      <c r="D31" s="86"/>
      <c r="E31" s="86"/>
      <c r="F31" s="3988" t="s">
        <v>247</v>
      </c>
      <c r="G31" s="3988"/>
      <c r="H31" s="3988"/>
      <c r="I31" s="3988"/>
      <c r="J31" s="3988"/>
      <c r="K31" s="3988"/>
      <c r="L31" s="3988"/>
      <c r="M31" s="94"/>
      <c r="N31" s="94"/>
      <c r="O31" s="94"/>
      <c r="P31" s="94"/>
      <c r="Q31" s="202"/>
      <c r="R31" s="202"/>
      <c r="S31" s="202"/>
      <c r="T31" s="4139" t="s">
        <v>235</v>
      </c>
      <c r="U31" s="4140"/>
      <c r="V31" s="4140"/>
      <c r="W31" s="202"/>
      <c r="X31" s="202"/>
      <c r="Y31" s="202"/>
      <c r="Z31" s="202"/>
      <c r="AA31" s="202"/>
      <c r="AB31" s="202"/>
      <c r="AC31" s="202"/>
      <c r="AD31" s="94"/>
      <c r="AE31" s="94"/>
      <c r="AF31" s="88"/>
      <c r="AG31" s="88"/>
      <c r="AH31" s="87"/>
    </row>
    <row r="32" spans="1:34" ht="15.75">
      <c r="A32" s="3885"/>
      <c r="B32" s="314" t="s">
        <v>108</v>
      </c>
      <c r="C32" s="442" t="s">
        <v>109</v>
      </c>
      <c r="D32" s="4131" t="s">
        <v>198</v>
      </c>
      <c r="E32" s="4132"/>
      <c r="F32" s="4132"/>
      <c r="G32" s="4132"/>
      <c r="H32" s="4133"/>
      <c r="I32" s="477"/>
      <c r="J32" s="72"/>
      <c r="K32" s="72"/>
      <c r="L32" s="81"/>
      <c r="M32" s="81"/>
      <c r="N32" s="81"/>
      <c r="O32" s="81"/>
      <c r="P32" s="81"/>
      <c r="Q32" s="201"/>
      <c r="R32" s="201"/>
      <c r="S32" s="201"/>
      <c r="T32" s="501"/>
      <c r="U32" s="501"/>
      <c r="V32" s="589" t="s">
        <v>220</v>
      </c>
      <c r="W32" s="201"/>
      <c r="X32" s="201"/>
      <c r="Y32" s="201"/>
      <c r="Z32" s="201"/>
      <c r="AA32" s="201"/>
      <c r="AB32" s="201"/>
      <c r="AC32" s="201"/>
      <c r="AD32" s="81"/>
      <c r="AE32" s="81"/>
      <c r="AF32" s="475"/>
      <c r="AG32" s="475"/>
      <c r="AH32" s="166"/>
    </row>
    <row r="33" spans="1:34" ht="15.75">
      <c r="A33" s="3883" t="s">
        <v>110</v>
      </c>
      <c r="B33" s="83" t="s">
        <v>77</v>
      </c>
      <c r="C33" s="463" t="s">
        <v>111</v>
      </c>
      <c r="D33" s="463"/>
      <c r="E33" s="463"/>
      <c r="F33" s="4025" t="s">
        <v>112</v>
      </c>
      <c r="G33" s="4144"/>
      <c r="H33" s="4106" t="s">
        <v>221</v>
      </c>
      <c r="I33" s="4107"/>
      <c r="J33" s="4107"/>
      <c r="K33" s="4107"/>
      <c r="L33" s="4107"/>
      <c r="M33" s="4107"/>
      <c r="N33" s="4107"/>
      <c r="O33" s="4108"/>
      <c r="P33" s="445"/>
      <c r="Q33" s="496"/>
      <c r="R33" s="496"/>
      <c r="S33" s="496"/>
      <c r="T33" s="496"/>
      <c r="U33" s="496"/>
      <c r="V33" s="645" t="s">
        <v>164</v>
      </c>
      <c r="W33" s="645"/>
      <c r="X33" s="645"/>
      <c r="Y33" s="645"/>
      <c r="Z33" s="645"/>
      <c r="AA33" s="645"/>
      <c r="AB33" s="645"/>
      <c r="AC33" s="645"/>
      <c r="AD33" s="645"/>
      <c r="AE33" s="645"/>
      <c r="AF33" s="645"/>
      <c r="AG33" s="645"/>
      <c r="AH33" s="564"/>
    </row>
    <row r="34" spans="1:34" ht="15.75">
      <c r="A34" s="3884"/>
      <c r="B34" s="247" t="s">
        <v>77</v>
      </c>
      <c r="C34" s="86" t="s">
        <v>201</v>
      </c>
      <c r="D34" s="94"/>
      <c r="E34" s="94"/>
      <c r="F34" s="94"/>
      <c r="G34" s="203"/>
      <c r="H34" s="190"/>
      <c r="I34" s="190"/>
      <c r="J34" s="190"/>
      <c r="K34" s="4130" t="s">
        <v>164</v>
      </c>
      <c r="L34" s="4130"/>
      <c r="M34" s="4130"/>
      <c r="N34" s="4130"/>
      <c r="O34" s="4130"/>
      <c r="P34" s="94"/>
      <c r="Q34" s="202"/>
      <c r="R34" s="202"/>
      <c r="S34" s="202"/>
      <c r="T34" s="202"/>
      <c r="U34" s="202"/>
      <c r="V34" s="204"/>
      <c r="W34" s="204"/>
      <c r="X34" s="204"/>
      <c r="Y34" s="204"/>
      <c r="Z34" s="204"/>
      <c r="AA34" s="202"/>
      <c r="AB34" s="202"/>
      <c r="AC34" s="202"/>
      <c r="AD34" s="94"/>
      <c r="AE34" s="94"/>
      <c r="AF34" s="193"/>
      <c r="AG34" s="193"/>
      <c r="AH34" s="191"/>
    </row>
    <row r="35" spans="1:34" ht="15.75">
      <c r="A35" s="3884"/>
      <c r="B35" s="247" t="s">
        <v>248</v>
      </c>
      <c r="C35" s="86" t="s">
        <v>249</v>
      </c>
      <c r="D35" s="94"/>
      <c r="E35" s="94"/>
      <c r="F35" s="94"/>
      <c r="G35" s="203"/>
      <c r="H35" s="190"/>
      <c r="I35" s="190"/>
      <c r="J35" s="190"/>
      <c r="K35" s="4130" t="s">
        <v>164</v>
      </c>
      <c r="L35" s="4130"/>
      <c r="M35" s="4130"/>
      <c r="N35" s="4130"/>
      <c r="O35" s="4130"/>
      <c r="P35" s="94"/>
      <c r="Q35" s="202"/>
      <c r="R35" s="202"/>
      <c r="S35" s="202"/>
      <c r="T35" s="202"/>
      <c r="U35" s="202"/>
      <c r="V35" s="484"/>
      <c r="W35" s="484"/>
      <c r="X35" s="484"/>
      <c r="Y35" s="484"/>
      <c r="Z35" s="484"/>
      <c r="AA35" s="202"/>
      <c r="AB35" s="202"/>
      <c r="AC35" s="202"/>
      <c r="AD35" s="94"/>
      <c r="AE35" s="94"/>
      <c r="AF35" s="193"/>
      <c r="AG35" s="193"/>
      <c r="AH35" s="191"/>
    </row>
    <row r="36" spans="1:34" ht="15.75">
      <c r="A36" s="3884"/>
      <c r="B36" s="247" t="s">
        <v>113</v>
      </c>
      <c r="C36" s="86" t="s">
        <v>114</v>
      </c>
      <c r="D36" s="4019" t="s">
        <v>112</v>
      </c>
      <c r="E36" s="4019"/>
      <c r="F36" s="4019"/>
      <c r="G36" s="4019"/>
      <c r="H36" s="4019"/>
      <c r="I36" s="4019"/>
      <c r="J36" s="303"/>
      <c r="K36" s="4134" t="s">
        <v>164</v>
      </c>
      <c r="L36" s="4135"/>
      <c r="M36" s="4136"/>
      <c r="N36" s="3873" t="s">
        <v>250</v>
      </c>
      <c r="O36" s="3874"/>
      <c r="P36" s="3874"/>
      <c r="Q36" s="3874"/>
      <c r="R36" s="3874"/>
      <c r="S36" s="3874"/>
      <c r="T36" s="3874"/>
      <c r="U36" s="3874"/>
      <c r="V36" s="3874"/>
      <c r="W36" s="3874"/>
      <c r="X36" s="3926"/>
      <c r="Y36" s="484"/>
      <c r="Z36" s="484"/>
      <c r="AA36" s="477"/>
      <c r="AB36" s="477"/>
      <c r="AC36" s="477"/>
      <c r="AD36" s="477"/>
      <c r="AE36" s="477"/>
      <c r="AG36" s="889"/>
      <c r="AH36" s="890"/>
    </row>
    <row r="37" spans="1:34" ht="15.75">
      <c r="A37" s="3884"/>
      <c r="B37" s="247" t="s">
        <v>113</v>
      </c>
      <c r="C37" s="86" t="s">
        <v>116</v>
      </c>
      <c r="D37" s="89"/>
      <c r="E37" s="89"/>
      <c r="F37" s="89"/>
      <c r="G37" s="4017" t="s">
        <v>221</v>
      </c>
      <c r="H37" s="4129"/>
      <c r="I37" s="4129"/>
      <c r="J37" s="4129"/>
      <c r="K37" s="4129"/>
      <c r="L37" s="4129"/>
      <c r="M37" s="4129"/>
      <c r="N37" s="4129"/>
      <c r="O37" s="4129"/>
      <c r="P37" s="89"/>
      <c r="Q37" s="89"/>
      <c r="R37" s="89"/>
      <c r="S37" s="89"/>
      <c r="T37" s="89"/>
      <c r="U37" s="89"/>
      <c r="V37" s="484"/>
      <c r="W37" s="484"/>
      <c r="X37" s="484"/>
      <c r="Y37" s="484"/>
      <c r="Z37" s="753"/>
      <c r="AA37" s="3558" t="s">
        <v>251</v>
      </c>
      <c r="AB37" s="3942" t="s">
        <v>252</v>
      </c>
      <c r="AC37" s="3942"/>
      <c r="AD37" s="3942"/>
      <c r="AE37" s="3558" t="s">
        <v>251</v>
      </c>
      <c r="AF37" s="92"/>
      <c r="AG37" s="89"/>
      <c r="AH37" s="91"/>
    </row>
    <row r="38" spans="1:34" ht="15.75">
      <c r="A38" s="3884"/>
      <c r="B38" s="247" t="s">
        <v>118</v>
      </c>
      <c r="C38" s="86" t="s">
        <v>119</v>
      </c>
      <c r="D38" s="92"/>
      <c r="E38" s="92"/>
      <c r="F38" s="489" t="s">
        <v>45</v>
      </c>
      <c r="G38" s="4017" t="s">
        <v>221</v>
      </c>
      <c r="H38" s="4129"/>
      <c r="I38" s="4129"/>
      <c r="J38" s="4129"/>
      <c r="K38" s="4129"/>
      <c r="L38" s="4129"/>
      <c r="M38" s="4129"/>
      <c r="N38" s="4129"/>
      <c r="O38" s="4129"/>
      <c r="P38" s="92"/>
      <c r="Q38" s="92"/>
      <c r="R38" s="92"/>
      <c r="S38" s="92"/>
      <c r="T38" s="246"/>
      <c r="U38" s="292"/>
      <c r="V38" s="484"/>
      <c r="W38" s="483"/>
      <c r="X38" s="483"/>
      <c r="Y38" s="483"/>
      <c r="Z38" s="483"/>
      <c r="AA38" s="754"/>
      <c r="AB38" s="755"/>
      <c r="AC38" s="755"/>
      <c r="AD38" s="755"/>
      <c r="AE38" s="755"/>
      <c r="AF38" s="338"/>
      <c r="AG38" s="477"/>
      <c r="AH38" s="93"/>
    </row>
    <row r="39" spans="1:34" ht="15.75">
      <c r="A39" s="3884"/>
      <c r="B39" s="247" t="s">
        <v>120</v>
      </c>
      <c r="C39" s="86" t="s">
        <v>121</v>
      </c>
      <c r="D39" s="3873" t="s">
        <v>112</v>
      </c>
      <c r="E39" s="3874"/>
      <c r="F39" s="3874"/>
      <c r="G39" s="3874"/>
      <c r="H39" s="3874"/>
      <c r="I39" s="3874"/>
      <c r="J39" s="3874"/>
      <c r="K39" s="3926"/>
      <c r="L39" s="4137" t="s">
        <v>221</v>
      </c>
      <c r="M39" s="4138"/>
      <c r="N39" s="4138"/>
      <c r="O39" s="4098"/>
      <c r="P39" s="89"/>
      <c r="Q39" s="89"/>
      <c r="R39" s="89"/>
      <c r="S39" s="89"/>
      <c r="T39" s="4137" t="s">
        <v>235</v>
      </c>
      <c r="U39" s="4138"/>
      <c r="V39" s="4098"/>
      <c r="W39" s="484"/>
      <c r="X39" s="484"/>
      <c r="Y39" s="484"/>
      <c r="Z39" s="484"/>
      <c r="AA39" s="724"/>
      <c r="AB39" s="3873" t="s">
        <v>253</v>
      </c>
      <c r="AC39" s="3874"/>
      <c r="AD39" s="3874"/>
      <c r="AE39" s="3874"/>
      <c r="AF39" s="3874"/>
      <c r="AG39" s="3926"/>
      <c r="AH39" s="725"/>
    </row>
    <row r="40" spans="1:34" ht="15.75">
      <c r="A40" s="3884"/>
      <c r="B40" s="247" t="s">
        <v>122</v>
      </c>
      <c r="C40" s="86" t="s">
        <v>123</v>
      </c>
      <c r="D40" s="3571"/>
      <c r="E40" s="3563"/>
      <c r="F40" s="161"/>
      <c r="G40" s="386"/>
      <c r="H40" s="157"/>
      <c r="I40" s="157"/>
      <c r="J40" s="157"/>
      <c r="K40" s="4130" t="s">
        <v>164</v>
      </c>
      <c r="L40" s="4130"/>
      <c r="M40" s="4130"/>
      <c r="N40" s="4130"/>
      <c r="O40" s="4130"/>
      <c r="P40" s="161"/>
      <c r="Q40" s="161"/>
      <c r="R40" s="161"/>
      <c r="S40" s="161"/>
      <c r="T40" s="161"/>
      <c r="U40" s="161"/>
      <c r="V40" s="484"/>
      <c r="W40" s="678"/>
      <c r="X40" s="678"/>
      <c r="Y40" s="678"/>
      <c r="Z40" s="678"/>
      <c r="AA40" s="155"/>
      <c r="AB40" s="4152" t="s">
        <v>253</v>
      </c>
      <c r="AC40" s="4153"/>
      <c r="AD40" s="4153"/>
      <c r="AE40" s="4153"/>
      <c r="AF40" s="4154"/>
      <c r="AG40" s="397"/>
      <c r="AH40" s="899" t="s">
        <v>251</v>
      </c>
    </row>
    <row r="41" spans="1:34" ht="15.75">
      <c r="A41" s="3884"/>
      <c r="B41" s="247" t="s">
        <v>124</v>
      </c>
      <c r="C41" s="86" t="s">
        <v>125</v>
      </c>
      <c r="D41" s="89"/>
      <c r="E41" s="89"/>
      <c r="F41" s="89"/>
      <c r="G41" s="4017" t="s">
        <v>221</v>
      </c>
      <c r="H41" s="4129"/>
      <c r="I41" s="4129"/>
      <c r="J41" s="4129"/>
      <c r="K41" s="4129"/>
      <c r="L41" s="4129"/>
      <c r="M41" s="4129"/>
      <c r="N41" s="4129"/>
      <c r="O41" s="4129"/>
      <c r="P41" s="89"/>
      <c r="Q41" s="89"/>
      <c r="R41" s="89"/>
      <c r="S41" s="89"/>
      <c r="T41" s="89"/>
      <c r="U41" s="89"/>
      <c r="V41" s="484"/>
      <c r="W41" s="484"/>
      <c r="X41" s="484"/>
      <c r="Y41" s="484"/>
      <c r="Z41" s="484"/>
      <c r="AA41" s="89"/>
      <c r="AB41" s="89"/>
      <c r="AC41" s="89"/>
      <c r="AD41" s="89"/>
      <c r="AE41" s="89"/>
      <c r="AF41" s="89"/>
      <c r="AG41" s="89"/>
      <c r="AH41" s="91"/>
    </row>
    <row r="42" spans="1:34" ht="15.75" customHeight="1">
      <c r="A42" s="3884"/>
      <c r="B42" s="247" t="s">
        <v>124</v>
      </c>
      <c r="C42" s="86" t="s">
        <v>126</v>
      </c>
      <c r="D42" s="89"/>
      <c r="E42" s="89"/>
      <c r="F42" s="161"/>
      <c r="G42" s="386"/>
      <c r="H42" s="157"/>
      <c r="I42" s="157"/>
      <c r="J42" s="157"/>
      <c r="K42" s="4130" t="s">
        <v>164</v>
      </c>
      <c r="L42" s="4130"/>
      <c r="M42" s="4130"/>
      <c r="N42" s="4130"/>
      <c r="O42" s="4130"/>
      <c r="P42" s="161"/>
      <c r="Q42" s="161"/>
      <c r="R42" s="161"/>
      <c r="S42" s="161"/>
      <c r="T42" s="161"/>
      <c r="U42" s="161"/>
      <c r="V42" s="484"/>
      <c r="W42" s="484"/>
      <c r="X42" s="484"/>
      <c r="Y42" s="484"/>
      <c r="Z42" s="484"/>
      <c r="AA42" s="161"/>
      <c r="AB42" s="89"/>
      <c r="AC42" s="89"/>
      <c r="AD42" s="89"/>
      <c r="AE42" s="89"/>
      <c r="AF42" s="89"/>
      <c r="AG42" s="89"/>
      <c r="AH42" s="91"/>
    </row>
    <row r="43" spans="1:34" ht="15.75" customHeight="1">
      <c r="A43" s="3884"/>
      <c r="B43" s="247" t="s">
        <v>127</v>
      </c>
      <c r="C43" s="86" t="s">
        <v>128</v>
      </c>
      <c r="D43" s="247"/>
      <c r="E43" s="247"/>
      <c r="F43" s="247"/>
      <c r="G43" s="379" t="s">
        <v>57</v>
      </c>
      <c r="H43" s="379"/>
      <c r="I43" s="379"/>
      <c r="J43" s="379"/>
      <c r="K43" s="379"/>
      <c r="L43" s="379"/>
      <c r="M43" s="379"/>
      <c r="N43" s="379"/>
      <c r="O43" s="420"/>
      <c r="P43" s="4141" t="s">
        <v>254</v>
      </c>
      <c r="Q43" s="4142"/>
      <c r="R43" s="4142"/>
      <c r="S43" s="4142"/>
      <c r="T43" s="4142"/>
      <c r="U43" s="4142"/>
      <c r="V43" s="4142"/>
      <c r="W43" s="4142"/>
      <c r="X43" s="4142"/>
      <c r="Y43" s="4142"/>
      <c r="Z43" s="4142"/>
      <c r="AA43" s="4142"/>
      <c r="AB43" s="4142"/>
      <c r="AC43" s="4142"/>
      <c r="AD43" s="4142"/>
      <c r="AE43" s="4142"/>
      <c r="AF43" s="4142"/>
      <c r="AG43" s="4142"/>
      <c r="AH43" s="4143"/>
    </row>
    <row r="44" spans="1:34" ht="18.75" customHeight="1">
      <c r="A44" s="3884"/>
      <c r="B44" s="247" t="s">
        <v>129</v>
      </c>
      <c r="C44" s="86" t="s">
        <v>130</v>
      </c>
      <c r="D44" s="3988" t="s">
        <v>207</v>
      </c>
      <c r="E44" s="3988"/>
      <c r="F44" s="3988"/>
      <c r="G44" s="3988"/>
      <c r="H44" s="3988"/>
      <c r="I44" s="3988"/>
      <c r="J44" s="3988"/>
      <c r="K44" s="3988"/>
      <c r="L44" s="86"/>
      <c r="M44" s="86"/>
      <c r="N44" s="94"/>
      <c r="O44" s="94"/>
      <c r="P44" s="94"/>
      <c r="Q44" s="202"/>
      <c r="R44" s="202"/>
      <c r="S44" s="202"/>
      <c r="T44" s="4137" t="s">
        <v>235</v>
      </c>
      <c r="U44" s="4138"/>
      <c r="V44" s="4098"/>
      <c r="W44" s="202"/>
      <c r="X44" s="202"/>
      <c r="Y44" s="202"/>
      <c r="Z44" s="202"/>
      <c r="AA44" s="202"/>
      <c r="AB44" s="202"/>
      <c r="AC44" s="202"/>
      <c r="AD44" s="94"/>
      <c r="AE44" s="89"/>
      <c r="AF44" s="89"/>
      <c r="AG44" s="89"/>
      <c r="AH44" s="91"/>
    </row>
    <row r="45" spans="1:34" ht="15.75">
      <c r="A45" s="3884"/>
      <c r="B45" s="247" t="s">
        <v>131</v>
      </c>
      <c r="C45" s="86" t="s">
        <v>132</v>
      </c>
      <c r="D45" s="4019" t="s">
        <v>197</v>
      </c>
      <c r="E45" s="4019"/>
      <c r="F45" s="4019"/>
      <c r="G45" s="4019"/>
      <c r="H45" s="89"/>
      <c r="I45" s="89"/>
      <c r="J45" s="89"/>
      <c r="K45" s="89"/>
      <c r="L45" s="94"/>
      <c r="M45" s="94"/>
      <c r="N45" s="94"/>
      <c r="O45" s="94"/>
      <c r="P45" s="94"/>
      <c r="Q45" s="202"/>
      <c r="R45" s="202"/>
      <c r="S45" s="202"/>
      <c r="T45" s="202"/>
      <c r="U45" s="202"/>
      <c r="V45" s="654" t="s">
        <v>220</v>
      </c>
      <c r="W45" s="202"/>
      <c r="X45" s="202"/>
      <c r="Y45" s="202"/>
      <c r="Z45" s="202"/>
      <c r="AA45" s="202"/>
      <c r="AB45" s="202"/>
      <c r="AC45" s="202"/>
      <c r="AD45" s="94"/>
      <c r="AE45" s="89"/>
      <c r="AF45" s="98"/>
      <c r="AG45" s="175" t="s">
        <v>55</v>
      </c>
      <c r="AH45" s="828" t="s">
        <v>226</v>
      </c>
    </row>
    <row r="46" spans="1:34" ht="15.75">
      <c r="A46" s="3885"/>
      <c r="B46" s="314" t="s">
        <v>255</v>
      </c>
      <c r="C46" s="442" t="s">
        <v>135</v>
      </c>
      <c r="D46" s="109"/>
      <c r="E46" s="109"/>
      <c r="F46" s="109"/>
      <c r="G46" s="109"/>
      <c r="H46" s="109"/>
      <c r="I46" s="109"/>
      <c r="J46" s="109"/>
      <c r="K46" s="109"/>
      <c r="L46" s="501"/>
      <c r="M46" s="501"/>
      <c r="N46" s="501"/>
      <c r="O46" s="501"/>
      <c r="P46" s="501"/>
      <c r="Q46" s="501"/>
      <c r="R46" s="501"/>
      <c r="S46" s="501"/>
      <c r="T46" s="501"/>
      <c r="U46" s="501"/>
      <c r="V46" s="589" t="s">
        <v>220</v>
      </c>
      <c r="W46" s="501"/>
      <c r="X46" s="501"/>
      <c r="Y46" s="501"/>
      <c r="Z46" s="501"/>
      <c r="AA46" s="501"/>
      <c r="AB46" s="501"/>
      <c r="AC46" s="501"/>
      <c r="AD46" s="501"/>
      <c r="AE46" s="109"/>
      <c r="AF46" s="109"/>
      <c r="AG46" s="109"/>
      <c r="AH46" s="479"/>
    </row>
    <row r="47" spans="1:34" ht="15.75">
      <c r="A47" s="3883" t="s">
        <v>136</v>
      </c>
      <c r="B47" s="83" t="s">
        <v>77</v>
      </c>
      <c r="C47" s="463" t="s">
        <v>137</v>
      </c>
      <c r="D47" s="500"/>
      <c r="E47" s="500"/>
      <c r="F47" s="500"/>
      <c r="G47" s="500"/>
      <c r="H47" s="500"/>
      <c r="I47" s="500"/>
      <c r="J47" s="500"/>
      <c r="K47" s="500"/>
      <c r="L47" s="445"/>
      <c r="M47" s="465"/>
      <c r="N47" s="465"/>
      <c r="O47" s="465"/>
      <c r="P47" s="465"/>
      <c r="Q47" s="496"/>
      <c r="R47" s="496"/>
      <c r="S47" s="496"/>
      <c r="T47" s="4052" t="s">
        <v>235</v>
      </c>
      <c r="U47" s="4155"/>
      <c r="V47" s="4155"/>
      <c r="W47" s="718"/>
      <c r="X47" s="718"/>
      <c r="Y47" s="496"/>
      <c r="Z47" s="718"/>
      <c r="AA47" s="718"/>
      <c r="AB47" s="718"/>
      <c r="AC47" s="718"/>
      <c r="AD47" s="718"/>
      <c r="AE47" s="720"/>
      <c r="AF47" s="188"/>
      <c r="AG47" s="571" t="s">
        <v>55</v>
      </c>
      <c r="AH47" s="707" t="s">
        <v>256</v>
      </c>
    </row>
    <row r="48" spans="1:34" ht="15.75">
      <c r="A48" s="3884"/>
      <c r="B48" s="247" t="s">
        <v>95</v>
      </c>
      <c r="C48" s="86" t="s">
        <v>139</v>
      </c>
      <c r="D48" s="246"/>
      <c r="E48" s="3988" t="s">
        <v>257</v>
      </c>
      <c r="F48" s="3988"/>
      <c r="G48" s="3988"/>
      <c r="H48" s="3988"/>
      <c r="I48" s="3988"/>
      <c r="J48" s="3988"/>
      <c r="K48" s="3988"/>
      <c r="L48" s="3988"/>
      <c r="M48" s="94"/>
      <c r="N48" s="94"/>
      <c r="O48" s="94"/>
      <c r="P48" s="94"/>
      <c r="Q48" s="202"/>
      <c r="R48" s="202"/>
      <c r="S48" s="202"/>
      <c r="T48" s="717"/>
      <c r="U48" s="178" t="s">
        <v>55</v>
      </c>
      <c r="V48" s="4156" t="s">
        <v>237</v>
      </c>
      <c r="W48" s="4156"/>
      <c r="X48" s="777" t="s">
        <v>55</v>
      </c>
      <c r="Y48" s="317"/>
      <c r="Z48" s="98"/>
      <c r="AA48" s="98"/>
      <c r="AB48" s="98"/>
      <c r="AC48" s="98"/>
      <c r="AD48" s="98"/>
      <c r="AE48" s="98"/>
      <c r="AF48" s="98"/>
      <c r="AG48" s="175" t="s">
        <v>55</v>
      </c>
      <c r="AH48" s="828" t="s">
        <v>226</v>
      </c>
    </row>
    <row r="49" spans="1:42" ht="15.75" customHeight="1">
      <c r="A49" s="3885"/>
      <c r="B49" s="314" t="s">
        <v>142</v>
      </c>
      <c r="C49" s="442" t="s">
        <v>143</v>
      </c>
      <c r="D49" s="477"/>
      <c r="E49" s="477"/>
      <c r="F49" s="477"/>
      <c r="G49" s="477"/>
      <c r="H49" s="477"/>
      <c r="I49" s="477"/>
      <c r="J49" s="477"/>
      <c r="K49" s="477"/>
      <c r="L49" s="317"/>
      <c r="M49" s="317"/>
      <c r="N49" s="317"/>
      <c r="O49" s="317"/>
      <c r="P49" s="317"/>
      <c r="Q49" s="317"/>
      <c r="R49" s="317"/>
      <c r="S49" s="317"/>
      <c r="T49" s="317"/>
      <c r="U49" s="719"/>
      <c r="V49" s="719"/>
      <c r="W49" s="719"/>
      <c r="X49" s="719"/>
      <c r="Y49" s="317"/>
      <c r="Z49" s="719"/>
      <c r="AA49" s="719"/>
      <c r="AB49" s="719"/>
      <c r="AC49" s="719"/>
      <c r="AD49" s="719"/>
      <c r="AE49" s="721"/>
      <c r="AF49" s="475"/>
      <c r="AG49" s="475"/>
      <c r="AH49" s="166"/>
    </row>
    <row r="50" spans="1:42" ht="15.75" customHeight="1">
      <c r="A50" s="3883" t="s">
        <v>144</v>
      </c>
      <c r="B50" s="83" t="s">
        <v>145</v>
      </c>
      <c r="C50" s="463" t="s">
        <v>146</v>
      </c>
      <c r="D50" s="502" t="s">
        <v>212</v>
      </c>
      <c r="E50" s="502"/>
      <c r="F50" s="502"/>
      <c r="G50" s="502"/>
      <c r="H50" s="502"/>
      <c r="I50" s="502"/>
      <c r="J50" s="502"/>
      <c r="K50" s="502"/>
      <c r="L50" s="502"/>
      <c r="M50" s="502"/>
      <c r="N50" s="502"/>
      <c r="O50" s="445"/>
      <c r="P50" s="445"/>
      <c r="Q50" s="496"/>
      <c r="R50" s="496"/>
      <c r="S50" s="496"/>
      <c r="T50" s="4052" t="s">
        <v>235</v>
      </c>
      <c r="U50" s="4116"/>
      <c r="V50" s="4116"/>
      <c r="W50" s="496"/>
      <c r="X50" s="496"/>
      <c r="Y50" s="496"/>
      <c r="Z50" s="496"/>
      <c r="AA50" s="496"/>
      <c r="AB50" s="496"/>
      <c r="AC50" s="496"/>
      <c r="AD50" s="445"/>
      <c r="AE50" s="445"/>
      <c r="AF50" s="503"/>
      <c r="AG50" s="503"/>
      <c r="AH50" s="504"/>
      <c r="AP50" t="s">
        <v>30</v>
      </c>
    </row>
    <row r="51" spans="1:42" ht="17.25" customHeight="1">
      <c r="A51" s="3884"/>
      <c r="B51" s="247" t="s">
        <v>145</v>
      </c>
      <c r="C51" s="86" t="s">
        <v>148</v>
      </c>
      <c r="D51" s="247"/>
      <c r="E51" s="247"/>
      <c r="F51" s="247"/>
      <c r="G51" s="379" t="s">
        <v>57</v>
      </c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247"/>
      <c r="S51" s="247"/>
      <c r="T51" s="247"/>
      <c r="U51" s="314"/>
      <c r="V51" s="314"/>
      <c r="W51" s="314"/>
      <c r="X51" s="314"/>
      <c r="Y51" s="314"/>
      <c r="Z51" s="314"/>
      <c r="AA51" s="566"/>
      <c r="AB51" s="566"/>
      <c r="AC51" s="566"/>
      <c r="AD51" s="566"/>
      <c r="AE51" s="314"/>
      <c r="AF51" s="98"/>
      <c r="AG51" s="98"/>
      <c r="AH51" s="97"/>
    </row>
    <row r="52" spans="1:42" ht="17.25" customHeight="1">
      <c r="A52" s="3884"/>
      <c r="B52" s="247" t="s">
        <v>149</v>
      </c>
      <c r="C52" s="86" t="s">
        <v>150</v>
      </c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247"/>
      <c r="Q52" s="247"/>
      <c r="R52" s="247"/>
      <c r="S52" s="247"/>
      <c r="T52" s="565"/>
      <c r="U52" s="2"/>
      <c r="V52" s="654" t="s">
        <v>220</v>
      </c>
      <c r="W52" s="2"/>
      <c r="X52" s="2"/>
      <c r="Y52" s="2"/>
      <c r="Z52" s="314"/>
      <c r="AA52" s="566" t="s">
        <v>30</v>
      </c>
      <c r="AB52" s="566"/>
      <c r="AC52" s="826"/>
      <c r="AD52" s="98"/>
      <c r="AE52" s="827"/>
      <c r="AF52" s="98"/>
      <c r="AG52" s="175" t="s">
        <v>55</v>
      </c>
      <c r="AH52" s="828" t="s">
        <v>226</v>
      </c>
    </row>
    <row r="53" spans="1:42" ht="15.75" customHeight="1">
      <c r="A53" s="3885"/>
      <c r="B53" s="314" t="s">
        <v>149</v>
      </c>
      <c r="C53" s="442" t="s">
        <v>151</v>
      </c>
      <c r="D53" s="4146" t="s">
        <v>258</v>
      </c>
      <c r="E53" s="4146"/>
      <c r="F53" s="4146"/>
      <c r="G53" s="4146"/>
      <c r="H53" s="442"/>
      <c r="I53" s="442"/>
      <c r="J53" s="442"/>
      <c r="K53" s="442"/>
      <c r="L53" s="81"/>
      <c r="M53" s="81"/>
      <c r="N53" s="81"/>
      <c r="O53" s="81"/>
      <c r="P53" s="81"/>
      <c r="Q53" s="201"/>
      <c r="R53" s="201"/>
      <c r="S53" s="201"/>
      <c r="T53" s="184"/>
      <c r="U53" s="184"/>
      <c r="V53" s="708" t="s">
        <v>220</v>
      </c>
      <c r="W53" s="719"/>
      <c r="X53" s="719"/>
      <c r="Y53" s="317"/>
      <c r="Z53" s="317"/>
      <c r="AA53" s="317"/>
      <c r="AB53" s="317"/>
      <c r="AC53" s="317"/>
      <c r="AD53" s="317"/>
      <c r="AE53" s="853"/>
      <c r="AF53" s="853"/>
      <c r="AG53" s="853"/>
      <c r="AH53" s="14"/>
    </row>
    <row r="54" spans="1:42" ht="17.25" customHeight="1">
      <c r="A54" s="3883" t="s">
        <v>13</v>
      </c>
      <c r="B54" s="762" t="s">
        <v>77</v>
      </c>
      <c r="C54" s="763" t="s">
        <v>153</v>
      </c>
      <c r="D54" s="762"/>
      <c r="E54" s="762"/>
      <c r="F54" s="88"/>
      <c r="G54" s="764" t="s">
        <v>57</v>
      </c>
      <c r="H54" s="764"/>
      <c r="I54" s="764"/>
      <c r="J54" s="764"/>
      <c r="K54" s="764"/>
      <c r="L54" s="4145" t="s">
        <v>57</v>
      </c>
      <c r="M54" s="4145"/>
      <c r="N54" s="4145"/>
      <c r="O54" s="4145"/>
      <c r="P54" s="4145"/>
      <c r="Q54" s="4145"/>
      <c r="R54" s="762"/>
      <c r="S54" s="762"/>
      <c r="T54" s="762"/>
      <c r="U54" s="762"/>
      <c r="V54" s="762"/>
      <c r="W54" s="762"/>
      <c r="X54" s="762"/>
      <c r="Y54" s="762"/>
      <c r="Z54" s="762"/>
      <c r="AA54" s="762"/>
      <c r="AB54" s="762"/>
      <c r="AC54" s="762"/>
      <c r="AD54" s="762"/>
      <c r="AE54" s="854"/>
      <c r="AF54" s="855"/>
      <c r="AG54" s="856" t="s">
        <v>55</v>
      </c>
      <c r="AH54" s="857" t="s">
        <v>226</v>
      </c>
    </row>
    <row r="55" spans="1:42" ht="15.75">
      <c r="A55" s="3884"/>
      <c r="B55" s="247" t="s">
        <v>95</v>
      </c>
      <c r="C55" s="86" t="s">
        <v>86</v>
      </c>
      <c r="D55" s="3988" t="s">
        <v>216</v>
      </c>
      <c r="E55" s="3988"/>
      <c r="F55" s="3988"/>
      <c r="G55" s="3988"/>
      <c r="H55" s="3988"/>
      <c r="I55" s="3988"/>
      <c r="J55" s="3988"/>
      <c r="K55" s="452"/>
      <c r="L55" s="246"/>
      <c r="M55" s="722" t="s">
        <v>234</v>
      </c>
      <c r="N55" s="246"/>
      <c r="O55" s="246"/>
      <c r="P55" s="768" t="s">
        <v>227</v>
      </c>
      <c r="Q55" s="246"/>
      <c r="R55" s="246"/>
      <c r="T55" s="246"/>
      <c r="U55" s="318" t="s">
        <v>55</v>
      </c>
      <c r="V55" s="4114" t="s">
        <v>237</v>
      </c>
      <c r="W55" s="4148"/>
      <c r="X55" s="4148"/>
      <c r="Y55" s="4148"/>
      <c r="Z55" s="4148"/>
      <c r="AA55" s="4148"/>
      <c r="AB55" s="4148"/>
      <c r="AC55" s="4115"/>
      <c r="AD55" s="318" t="s">
        <v>55</v>
      </c>
      <c r="AE55" s="201"/>
      <c r="AF55" s="247"/>
      <c r="AG55" s="247"/>
      <c r="AH55" s="90"/>
    </row>
    <row r="56" spans="1:42" ht="15.75">
      <c r="A56" s="3969"/>
      <c r="B56" s="99" t="s">
        <v>155</v>
      </c>
      <c r="C56" s="100" t="s">
        <v>156</v>
      </c>
      <c r="D56" s="4029" t="s">
        <v>259</v>
      </c>
      <c r="E56" s="4029"/>
      <c r="F56" s="4029"/>
      <c r="G56" s="4029"/>
      <c r="H56" s="4029"/>
      <c r="I56" s="4029"/>
      <c r="J56" s="4029"/>
      <c r="K56" s="4029"/>
      <c r="L56" s="4029"/>
      <c r="M56" s="4029"/>
      <c r="N56" s="4147" t="s">
        <v>57</v>
      </c>
      <c r="O56" s="4147"/>
      <c r="P56" s="4147"/>
      <c r="Q56" s="4147"/>
      <c r="R56" s="99"/>
      <c r="S56" s="99"/>
      <c r="T56" s="99"/>
      <c r="U56" s="482"/>
      <c r="V56" s="482"/>
      <c r="W56" s="482"/>
      <c r="X56" s="482"/>
      <c r="Y56" s="482"/>
      <c r="Z56" s="482"/>
      <c r="AA56" s="482"/>
      <c r="AB56" s="482"/>
      <c r="AC56" s="482"/>
      <c r="AD56" s="482"/>
      <c r="AE56" s="482"/>
      <c r="AF56" s="482"/>
      <c r="AG56" s="481" t="s">
        <v>55</v>
      </c>
      <c r="AH56" s="887" t="s">
        <v>226</v>
      </c>
    </row>
    <row r="59" spans="1:42" ht="21" customHeight="1">
      <c r="AD59" t="s">
        <v>30</v>
      </c>
    </row>
    <row r="60" spans="1:42" ht="39" customHeight="1"/>
    <row r="61" spans="1:42" ht="19.5" customHeight="1"/>
  </sheetData>
  <mergeCells count="82">
    <mergeCell ref="V20:AC20"/>
    <mergeCell ref="V25:AC25"/>
    <mergeCell ref="V30:AC30"/>
    <mergeCell ref="V55:AC55"/>
    <mergeCell ref="AB40:AF40"/>
    <mergeCell ref="W23:AF23"/>
    <mergeCell ref="T47:V47"/>
    <mergeCell ref="V48:W48"/>
    <mergeCell ref="T50:V50"/>
    <mergeCell ref="AB39:AG39"/>
    <mergeCell ref="AB37:AD37"/>
    <mergeCell ref="A54:A56"/>
    <mergeCell ref="D55:J55"/>
    <mergeCell ref="D56:M56"/>
    <mergeCell ref="L54:Q54"/>
    <mergeCell ref="D53:G53"/>
    <mergeCell ref="A50:A53"/>
    <mergeCell ref="N56:Q56"/>
    <mergeCell ref="A22:A24"/>
    <mergeCell ref="A47:A49"/>
    <mergeCell ref="E48:L48"/>
    <mergeCell ref="T31:V31"/>
    <mergeCell ref="K34:O34"/>
    <mergeCell ref="P43:AH43"/>
    <mergeCell ref="F33:G33"/>
    <mergeCell ref="H33:O33"/>
    <mergeCell ref="G41:O41"/>
    <mergeCell ref="F31:L31"/>
    <mergeCell ref="A27:A32"/>
    <mergeCell ref="D44:K44"/>
    <mergeCell ref="K40:O40"/>
    <mergeCell ref="K42:O42"/>
    <mergeCell ref="D39:K39"/>
    <mergeCell ref="L39:O39"/>
    <mergeCell ref="A33:A46"/>
    <mergeCell ref="G38:O38"/>
    <mergeCell ref="D45:G45"/>
    <mergeCell ref="D36:I36"/>
    <mergeCell ref="A25:A26"/>
    <mergeCell ref="N36:X36"/>
    <mergeCell ref="K35:O35"/>
    <mergeCell ref="G37:O37"/>
    <mergeCell ref="D30:N30"/>
    <mergeCell ref="D32:H32"/>
    <mergeCell ref="K36:M36"/>
    <mergeCell ref="T39:V39"/>
    <mergeCell ref="T44:V44"/>
    <mergeCell ref="D21:H21"/>
    <mergeCell ref="A12:C12"/>
    <mergeCell ref="A9:C9"/>
    <mergeCell ref="D19:G19"/>
    <mergeCell ref="V19:W19"/>
    <mergeCell ref="T18:V18"/>
    <mergeCell ref="A16:C16"/>
    <mergeCell ref="A14:C14"/>
    <mergeCell ref="A15:C15"/>
    <mergeCell ref="L18:P18"/>
    <mergeCell ref="G14:W14"/>
    <mergeCell ref="A13:C13"/>
    <mergeCell ref="V12:AD12"/>
    <mergeCell ref="L11:P11"/>
    <mergeCell ref="AC21:AG21"/>
    <mergeCell ref="O21:P21"/>
    <mergeCell ref="A1:C1"/>
    <mergeCell ref="D1:AH1"/>
    <mergeCell ref="A2:C2"/>
    <mergeCell ref="A3:C3"/>
    <mergeCell ref="A4:C4"/>
    <mergeCell ref="Q4:S4"/>
    <mergeCell ref="D4:E4"/>
    <mergeCell ref="W5:AD5"/>
    <mergeCell ref="T5:V5"/>
    <mergeCell ref="A6:C6"/>
    <mergeCell ref="G5:K5"/>
    <mergeCell ref="M5:O5"/>
    <mergeCell ref="A5:C5"/>
    <mergeCell ref="K6:O6"/>
    <mergeCell ref="A8:C8"/>
    <mergeCell ref="A11:C11"/>
    <mergeCell ref="A7:C7"/>
    <mergeCell ref="D8:E8"/>
    <mergeCell ref="A10:C10"/>
  </mergeCells>
  <pageMargins left="0.25" right="0.25" top="0.75" bottom="0.75" header="0.3" footer="0.3"/>
  <pageSetup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857DD-2645-46FD-B98B-371D39457CBF}">
  <sheetPr>
    <pageSetUpPr fitToPage="1"/>
  </sheetPr>
  <dimension ref="A1:AI57"/>
  <sheetViews>
    <sheetView zoomScale="80" zoomScaleNormal="80" workbookViewId="0">
      <pane xSplit="3" ySplit="4" topLeftCell="AH57" activePane="bottomRight" state="frozen"/>
      <selection pane="bottomRight" activeCell="AH57" sqref="AH57"/>
      <selection pane="bottomLeft"/>
      <selection pane="topRight"/>
    </sheetView>
  </sheetViews>
  <sheetFormatPr defaultRowHeight="15"/>
  <cols>
    <col min="3" max="3" width="11" bestFit="1" customWidth="1"/>
    <col min="4" max="4" width="9.140625" bestFit="1" customWidth="1"/>
    <col min="5" max="5" width="7.7109375" customWidth="1"/>
    <col min="6" max="6" width="11.28515625" customWidth="1"/>
    <col min="11" max="11" width="10.42578125" customWidth="1"/>
    <col min="30" max="30" width="10.5703125" customWidth="1"/>
  </cols>
  <sheetData>
    <row r="1" spans="1:35" ht="15.75">
      <c r="A1" s="4243" t="s">
        <v>29</v>
      </c>
      <c r="B1" s="4243"/>
      <c r="C1" s="4243"/>
      <c r="D1" s="4244" t="s">
        <v>30</v>
      </c>
      <c r="E1" s="4245"/>
      <c r="F1" s="4245"/>
      <c r="G1" s="4245"/>
      <c r="H1" s="4245"/>
      <c r="I1" s="4245"/>
      <c r="J1" s="4245"/>
      <c r="K1" s="4245"/>
      <c r="L1" s="4245"/>
      <c r="M1" s="4245"/>
      <c r="N1" s="4245"/>
      <c r="O1" s="4245"/>
      <c r="P1" s="4245"/>
      <c r="Q1" s="4245"/>
      <c r="R1" s="4245"/>
      <c r="S1" s="4245"/>
      <c r="T1" s="4245"/>
      <c r="U1" s="4245"/>
      <c r="V1" s="4245"/>
      <c r="W1" s="4245"/>
      <c r="X1" s="4245"/>
      <c r="Y1" s="4245"/>
      <c r="Z1" s="4245"/>
      <c r="AA1" s="4245"/>
      <c r="AB1" s="4245"/>
      <c r="AC1" s="4245"/>
      <c r="AD1" s="4245"/>
      <c r="AE1" s="4246"/>
    </row>
    <row r="2" spans="1:35" ht="15.75">
      <c r="A2" s="4247" t="s">
        <v>31</v>
      </c>
      <c r="B2" s="4247"/>
      <c r="C2" s="4247"/>
      <c r="D2" s="3565">
        <v>1</v>
      </c>
      <c r="E2" s="3566">
        <v>2</v>
      </c>
      <c r="F2" s="3566">
        <v>3</v>
      </c>
      <c r="G2" s="3566">
        <v>4</v>
      </c>
      <c r="H2" s="3566">
        <v>5</v>
      </c>
      <c r="I2" s="3566">
        <v>6</v>
      </c>
      <c r="J2" s="3566">
        <v>7</v>
      </c>
      <c r="K2" s="3566">
        <v>8</v>
      </c>
      <c r="L2" s="3566">
        <v>9</v>
      </c>
      <c r="M2" s="3566">
        <v>10</v>
      </c>
      <c r="N2" s="3566">
        <v>11</v>
      </c>
      <c r="O2" s="3566">
        <v>12</v>
      </c>
      <c r="P2" s="3566">
        <v>13</v>
      </c>
      <c r="Q2" s="3566">
        <v>14</v>
      </c>
      <c r="R2" s="3566">
        <v>15</v>
      </c>
      <c r="S2" s="3566">
        <v>16</v>
      </c>
      <c r="T2" s="3566">
        <v>17</v>
      </c>
      <c r="U2" s="3566">
        <v>18</v>
      </c>
      <c r="V2" s="3566">
        <v>19</v>
      </c>
      <c r="W2" s="3566">
        <v>20</v>
      </c>
      <c r="X2" s="3566">
        <v>21</v>
      </c>
      <c r="Y2" s="3566">
        <v>22</v>
      </c>
      <c r="Z2" s="3566">
        <v>23</v>
      </c>
      <c r="AA2" s="3567">
        <v>24</v>
      </c>
      <c r="AB2" s="3567">
        <v>25</v>
      </c>
      <c r="AC2" s="3567">
        <v>26</v>
      </c>
      <c r="AD2" s="3567">
        <v>27</v>
      </c>
      <c r="AE2" s="207">
        <v>28</v>
      </c>
    </row>
    <row r="3" spans="1:35" ht="15.75">
      <c r="A3" s="4248" t="s">
        <v>32</v>
      </c>
      <c r="B3" s="4248"/>
      <c r="C3" s="4248"/>
      <c r="D3" s="3567" t="s">
        <v>34</v>
      </c>
      <c r="E3" s="3567" t="s">
        <v>33</v>
      </c>
      <c r="F3" s="3567" t="s">
        <v>35</v>
      </c>
      <c r="G3" s="183" t="s">
        <v>36</v>
      </c>
      <c r="H3" s="183" t="s">
        <v>36</v>
      </c>
      <c r="I3" s="3567" t="s">
        <v>37</v>
      </c>
      <c r="J3" s="3567" t="s">
        <v>33</v>
      </c>
      <c r="K3" s="3567" t="s">
        <v>34</v>
      </c>
      <c r="L3" s="3567" t="s">
        <v>33</v>
      </c>
      <c r="M3" s="3567" t="s">
        <v>35</v>
      </c>
      <c r="N3" s="183" t="s">
        <v>36</v>
      </c>
      <c r="O3" s="183" t="s">
        <v>36</v>
      </c>
      <c r="P3" s="3567" t="s">
        <v>37</v>
      </c>
      <c r="Q3" s="3567" t="s">
        <v>33</v>
      </c>
      <c r="R3" s="3567" t="s">
        <v>34</v>
      </c>
      <c r="S3" s="3567" t="s">
        <v>33</v>
      </c>
      <c r="T3" s="3567" t="s">
        <v>35</v>
      </c>
      <c r="U3" s="183" t="s">
        <v>36</v>
      </c>
      <c r="V3" s="183" t="s">
        <v>36</v>
      </c>
      <c r="W3" s="3567" t="s">
        <v>37</v>
      </c>
      <c r="X3" s="3567" t="s">
        <v>33</v>
      </c>
      <c r="Y3" s="3567" t="s">
        <v>34</v>
      </c>
      <c r="Z3" s="208" t="s">
        <v>33</v>
      </c>
      <c r="AA3" s="3567" t="s">
        <v>35</v>
      </c>
      <c r="AB3" s="183" t="s">
        <v>36</v>
      </c>
      <c r="AC3" s="183" t="s">
        <v>36</v>
      </c>
      <c r="AD3" s="3567" t="s">
        <v>37</v>
      </c>
      <c r="AE3" s="207" t="s">
        <v>33</v>
      </c>
    </row>
    <row r="4" spans="1:35" ht="15.75">
      <c r="A4" s="4249" t="s">
        <v>38</v>
      </c>
      <c r="B4" s="4250"/>
      <c r="C4" s="4250"/>
      <c r="D4" s="1164"/>
      <c r="E4" s="1165"/>
      <c r="F4" s="497"/>
      <c r="G4" s="1147"/>
      <c r="H4" s="1147"/>
      <c r="I4" s="1147"/>
      <c r="J4" s="1147"/>
      <c r="K4" s="1147"/>
      <c r="L4" s="1147"/>
      <c r="M4" s="1147"/>
      <c r="N4" s="1166"/>
      <c r="O4" s="1166"/>
      <c r="P4" s="1166"/>
      <c r="Q4" s="1165"/>
      <c r="R4" s="1165"/>
      <c r="S4" s="1165"/>
      <c r="T4" s="1147"/>
      <c r="U4" s="4251" t="s">
        <v>260</v>
      </c>
      <c r="V4" s="4251"/>
      <c r="W4" s="4251"/>
      <c r="X4" s="1167"/>
      <c r="Y4" s="1167"/>
      <c r="Z4" s="1147"/>
      <c r="AA4" s="73"/>
      <c r="AB4" s="73"/>
      <c r="AC4" s="73"/>
      <c r="AD4" s="73"/>
      <c r="AE4" s="1168"/>
    </row>
    <row r="5" spans="1:35" ht="15.75">
      <c r="A5" s="3939" t="s">
        <v>42</v>
      </c>
      <c r="B5" s="3939"/>
      <c r="C5" s="3939"/>
      <c r="D5" s="1169"/>
      <c r="E5" s="1152"/>
      <c r="F5" s="1153" t="s">
        <v>163</v>
      </c>
      <c r="G5" s="1152"/>
      <c r="H5" s="4017" t="s">
        <v>164</v>
      </c>
      <c r="I5" s="4017"/>
      <c r="J5" s="4017"/>
      <c r="K5" s="4017"/>
      <c r="L5" s="4017"/>
      <c r="M5" s="4017"/>
      <c r="N5" s="3560" t="s">
        <v>44</v>
      </c>
      <c r="O5" s="4017" t="s">
        <v>164</v>
      </c>
      <c r="P5" s="4017"/>
      <c r="Q5" s="4017"/>
      <c r="R5" s="1154"/>
      <c r="S5" s="1154"/>
      <c r="T5" s="1152"/>
      <c r="U5" s="4272" t="s">
        <v>261</v>
      </c>
      <c r="V5" s="4272"/>
      <c r="W5" s="4272"/>
      <c r="X5" s="4272"/>
      <c r="Y5" s="4272"/>
      <c r="Z5" s="4272"/>
      <c r="AA5" s="4272"/>
      <c r="AB5" s="4272"/>
      <c r="AC5" s="4272"/>
      <c r="AD5" s="4272"/>
      <c r="AE5" s="4273"/>
    </row>
    <row r="6" spans="1:35" ht="15.75">
      <c r="A6" s="4061" t="s">
        <v>165</v>
      </c>
      <c r="B6" s="4062"/>
      <c r="C6" s="4062"/>
      <c r="D6" s="1170"/>
      <c r="E6" s="553"/>
      <c r="F6" s="553"/>
      <c r="G6" s="553"/>
      <c r="H6" s="553"/>
      <c r="I6" s="553"/>
      <c r="J6" s="553"/>
      <c r="K6" s="553"/>
      <c r="L6" s="553"/>
      <c r="M6" s="554"/>
      <c r="N6" s="451"/>
      <c r="O6" s="554"/>
      <c r="P6" s="1155" t="s">
        <v>48</v>
      </c>
      <c r="Q6" s="554"/>
      <c r="R6" s="554"/>
      <c r="S6" s="554"/>
      <c r="T6" s="554"/>
      <c r="U6" s="556"/>
      <c r="V6" s="556"/>
      <c r="W6" s="556"/>
      <c r="X6" s="556"/>
      <c r="Y6" s="556"/>
      <c r="Z6" s="556"/>
      <c r="AA6" s="556"/>
      <c r="AB6" s="556"/>
      <c r="AC6" s="556"/>
      <c r="AD6" s="1155" t="s">
        <v>44</v>
      </c>
      <c r="AE6" s="1171"/>
    </row>
    <row r="7" spans="1:35" ht="15.75">
      <c r="A7" s="4265" t="s">
        <v>262</v>
      </c>
      <c r="B7" s="4266"/>
      <c r="C7" s="4266"/>
      <c r="D7" s="1170"/>
      <c r="E7" s="553"/>
      <c r="F7" s="3666"/>
      <c r="G7" s="553"/>
      <c r="H7" s="553"/>
      <c r="I7" s="553"/>
      <c r="J7" s="553"/>
      <c r="K7" s="553"/>
      <c r="L7" s="712" t="s">
        <v>48</v>
      </c>
      <c r="M7" s="554"/>
      <c r="N7" s="451"/>
      <c r="O7" s="554"/>
      <c r="P7" s="555"/>
      <c r="Q7" s="554"/>
      <c r="R7" s="554"/>
      <c r="S7" s="554"/>
      <c r="T7" s="3666"/>
      <c r="U7" s="556"/>
      <c r="V7" s="556"/>
      <c r="W7" s="556"/>
      <c r="X7" s="556"/>
      <c r="Y7" s="556"/>
      <c r="Z7" s="712" t="s">
        <v>44</v>
      </c>
      <c r="AA7" s="556"/>
      <c r="AB7" s="556"/>
      <c r="AC7" s="556"/>
      <c r="AD7" s="556"/>
      <c r="AE7" s="1172" t="s">
        <v>48</v>
      </c>
    </row>
    <row r="8" spans="1:35" ht="15.75">
      <c r="A8" s="4267" t="s">
        <v>49</v>
      </c>
      <c r="B8" s="4267"/>
      <c r="C8" s="4267"/>
      <c r="D8" s="1173"/>
      <c r="E8" s="94"/>
      <c r="F8" s="94"/>
      <c r="G8" s="94"/>
      <c r="H8" s="94"/>
      <c r="I8" s="94"/>
      <c r="J8" s="94"/>
      <c r="K8" s="1156" t="s">
        <v>263</v>
      </c>
      <c r="L8" s="1156"/>
      <c r="M8" s="1085" t="s">
        <v>163</v>
      </c>
      <c r="N8" s="1156"/>
      <c r="O8" s="4268"/>
      <c r="P8" s="4268"/>
      <c r="Q8" s="4268"/>
      <c r="R8" s="4268"/>
      <c r="S8" s="4268"/>
      <c r="T8" s="4268"/>
      <c r="U8" s="4268"/>
      <c r="V8" s="4268"/>
      <c r="W8" s="4268"/>
      <c r="X8" s="4268"/>
      <c r="Y8" s="4268"/>
      <c r="Z8" s="4268"/>
      <c r="AA8" s="1157"/>
      <c r="AB8" s="1157"/>
      <c r="AC8" s="1157"/>
      <c r="AD8" s="1157"/>
      <c r="AE8" s="1174"/>
      <c r="AF8" s="283"/>
      <c r="AG8" s="283"/>
      <c r="AH8" s="283"/>
    </row>
    <row r="9" spans="1:35" ht="15.75">
      <c r="A9" s="4255" t="s">
        <v>225</v>
      </c>
      <c r="B9" s="4256"/>
      <c r="C9" s="4256"/>
      <c r="D9" s="1175"/>
      <c r="E9" s="633"/>
      <c r="F9" s="206"/>
      <c r="G9" s="206"/>
      <c r="H9" s="206"/>
      <c r="I9" s="206"/>
      <c r="J9" s="1158"/>
      <c r="K9" s="1158"/>
      <c r="L9" s="1158"/>
      <c r="M9" s="1158"/>
      <c r="N9" s="206"/>
      <c r="O9" s="206"/>
      <c r="P9" s="1159"/>
      <c r="Q9" s="1159"/>
      <c r="R9" s="1159"/>
      <c r="S9" s="1159"/>
      <c r="T9" s="1159"/>
      <c r="U9" s="206"/>
      <c r="V9" s="206"/>
      <c r="W9" s="206"/>
      <c r="X9" s="2"/>
      <c r="Y9" s="206"/>
      <c r="Z9" s="206"/>
      <c r="AA9" s="1160" t="s">
        <v>264</v>
      </c>
      <c r="AB9" s="160"/>
      <c r="AC9" s="160"/>
      <c r="AD9" s="74"/>
      <c r="AE9" s="1176"/>
      <c r="AF9" s="283"/>
      <c r="AG9" s="283"/>
      <c r="AH9" s="283"/>
    </row>
    <row r="10" spans="1:35" ht="15.75">
      <c r="A10" s="4257" t="s">
        <v>265</v>
      </c>
      <c r="B10" s="3946"/>
      <c r="C10" s="3946"/>
      <c r="D10" s="1177"/>
      <c r="E10" s="206"/>
      <c r="F10" s="206"/>
      <c r="G10" s="206"/>
      <c r="H10" s="206"/>
      <c r="I10" s="2"/>
      <c r="J10" s="160"/>
      <c r="K10" s="160"/>
      <c r="L10" s="633"/>
      <c r="M10" s="633"/>
      <c r="N10" s="633"/>
      <c r="O10" s="633"/>
      <c r="P10" s="633"/>
      <c r="Q10" s="633"/>
      <c r="R10" s="633"/>
      <c r="S10" s="633"/>
      <c r="T10" s="633"/>
      <c r="U10" s="633"/>
      <c r="V10" s="633"/>
      <c r="W10" s="633"/>
      <c r="X10" s="633"/>
      <c r="Y10" s="206"/>
      <c r="Z10" s="206"/>
      <c r="AA10" s="74"/>
      <c r="AB10" s="74"/>
      <c r="AC10" s="74"/>
      <c r="AD10" s="74"/>
      <c r="AE10" s="1178" t="s">
        <v>266</v>
      </c>
      <c r="AF10" s="283"/>
      <c r="AG10" s="283"/>
      <c r="AH10" s="283"/>
    </row>
    <row r="11" spans="1:35" s="1" customFormat="1" ht="15.75" customHeight="1">
      <c r="A11" s="4104" t="s">
        <v>228</v>
      </c>
      <c r="B11" s="4105"/>
      <c r="C11" s="4105"/>
      <c r="D11" s="1179" t="s">
        <v>267</v>
      </c>
      <c r="E11" s="206"/>
      <c r="F11" s="908" t="s">
        <v>268</v>
      </c>
      <c r="G11" s="206"/>
      <c r="H11" s="206"/>
      <c r="I11" s="728"/>
      <c r="J11" s="633"/>
      <c r="K11" s="728"/>
      <c r="L11" s="633"/>
      <c r="M11" s="728"/>
      <c r="N11" s="633"/>
      <c r="O11" s="633"/>
      <c r="P11" s="728"/>
      <c r="Q11" s="633"/>
      <c r="R11" s="728"/>
      <c r="S11" s="633"/>
      <c r="T11" s="728"/>
      <c r="U11" s="633"/>
      <c r="V11" s="633"/>
      <c r="W11" s="633"/>
      <c r="X11" s="633"/>
      <c r="Y11" s="728" t="s">
        <v>231</v>
      </c>
      <c r="Z11" s="206"/>
      <c r="AA11" s="728" t="s">
        <v>269</v>
      </c>
      <c r="AB11" s="74"/>
      <c r="AC11" s="74"/>
      <c r="AD11" s="728" t="s">
        <v>270</v>
      </c>
      <c r="AE11" s="1176"/>
      <c r="AF11" s="368"/>
      <c r="AG11" s="368"/>
      <c r="AH11" s="368"/>
    </row>
    <row r="12" spans="1:35" ht="15" customHeight="1">
      <c r="A12" s="4258" t="s">
        <v>63</v>
      </c>
      <c r="B12" s="4259"/>
      <c r="C12" s="4259"/>
      <c r="D12" s="1180"/>
      <c r="E12" s="509"/>
      <c r="F12" s="509"/>
      <c r="G12" s="509"/>
      <c r="H12" s="509"/>
      <c r="I12" s="509"/>
      <c r="J12" s="509"/>
      <c r="K12" s="206"/>
      <c r="L12" s="206"/>
      <c r="M12" s="4271" t="s">
        <v>271</v>
      </c>
      <c r="N12" s="4271"/>
      <c r="O12" s="4271"/>
      <c r="P12" s="4271"/>
      <c r="Q12" s="4271"/>
      <c r="R12" s="4271"/>
      <c r="S12" s="4271"/>
      <c r="T12" s="633"/>
      <c r="U12" s="206"/>
      <c r="V12" s="206"/>
      <c r="W12" s="206"/>
      <c r="X12" s="512"/>
      <c r="Y12" s="489"/>
      <c r="Z12" s="489"/>
      <c r="AA12" s="297"/>
      <c r="AB12" s="297"/>
      <c r="AC12" s="297"/>
      <c r="AD12" s="297"/>
      <c r="AE12" s="873"/>
      <c r="AF12" s="283"/>
      <c r="AG12" s="283"/>
      <c r="AH12" s="283"/>
    </row>
    <row r="13" spans="1:35" ht="15.75">
      <c r="A13" s="4261" t="s">
        <v>272</v>
      </c>
      <c r="B13" s="4261"/>
      <c r="C13" s="4262"/>
      <c r="D13" s="861"/>
      <c r="E13" s="380"/>
      <c r="F13" s="380"/>
      <c r="G13" s="509"/>
      <c r="H13" s="509"/>
      <c r="I13" s="509"/>
      <c r="J13" s="509"/>
      <c r="K13" s="907" t="s">
        <v>273</v>
      </c>
      <c r="L13" s="374"/>
      <c r="M13" s="374"/>
      <c r="N13" s="730"/>
      <c r="O13" s="730"/>
      <c r="P13" s="730"/>
      <c r="Q13" s="730"/>
      <c r="R13" s="730"/>
      <c r="S13" s="730"/>
      <c r="T13" s="731"/>
      <c r="U13" s="206"/>
      <c r="V13" s="206"/>
      <c r="W13" s="206"/>
      <c r="X13" s="512"/>
      <c r="Y13" s="489"/>
      <c r="Z13" s="489"/>
      <c r="AA13" s="297"/>
      <c r="AB13" s="297"/>
      <c r="AC13" s="297"/>
      <c r="AD13" s="297"/>
      <c r="AE13" s="873"/>
      <c r="AF13" s="283"/>
      <c r="AG13" s="283"/>
      <c r="AH13" s="283"/>
    </row>
    <row r="14" spans="1:35" ht="15.75">
      <c r="A14" s="4263" t="s">
        <v>60</v>
      </c>
      <c r="B14" s="4264"/>
      <c r="C14" s="4264"/>
      <c r="D14" s="1180"/>
      <c r="E14" s="509"/>
      <c r="F14" s="509"/>
      <c r="G14" s="509"/>
      <c r="H14" s="509"/>
      <c r="I14" s="509"/>
      <c r="J14" s="509"/>
      <c r="K14" s="374"/>
      <c r="L14" s="374"/>
      <c r="M14" s="374"/>
      <c r="N14" s="730"/>
      <c r="O14" s="730"/>
      <c r="P14" s="730"/>
      <c r="Q14" s="730"/>
      <c r="R14" s="730"/>
      <c r="S14" s="730"/>
      <c r="T14" s="731"/>
      <c r="U14" s="206"/>
      <c r="V14" s="206"/>
      <c r="W14" s="206"/>
      <c r="X14" s="512"/>
      <c r="Y14" s="489"/>
      <c r="Z14" s="489"/>
      <c r="AA14" s="297"/>
      <c r="AB14" s="297"/>
      <c r="AC14" s="297"/>
      <c r="AD14" s="297"/>
      <c r="AE14" s="873"/>
      <c r="AF14" s="419"/>
      <c r="AG14" s="419"/>
      <c r="AH14" s="419"/>
      <c r="AI14" s="283"/>
    </row>
    <row r="15" spans="1:35" ht="15" customHeight="1">
      <c r="A15" s="4260" t="s">
        <v>274</v>
      </c>
      <c r="B15" s="4260"/>
      <c r="C15" s="4260"/>
      <c r="D15" s="1180"/>
      <c r="E15" s="509"/>
      <c r="F15" s="509"/>
      <c r="G15" s="509"/>
      <c r="H15" s="509"/>
      <c r="I15" s="509"/>
      <c r="J15" s="509"/>
      <c r="K15" s="374"/>
      <c r="L15" s="374"/>
      <c r="M15" s="374"/>
      <c r="N15" s="730"/>
      <c r="O15" s="730"/>
      <c r="P15" s="730"/>
      <c r="Q15" s="730"/>
      <c r="R15" s="730"/>
      <c r="S15" s="730"/>
      <c r="T15" s="731"/>
      <c r="U15" s="206"/>
      <c r="V15" s="206"/>
      <c r="W15" s="206"/>
      <c r="X15" s="512"/>
      <c r="Y15" s="732"/>
      <c r="Z15" s="489"/>
      <c r="AA15" s="297"/>
      <c r="AB15" s="297"/>
      <c r="AC15" s="297"/>
      <c r="AD15" s="1161" t="s">
        <v>275</v>
      </c>
      <c r="AE15" s="873"/>
      <c r="AF15" s="283"/>
      <c r="AG15" s="283"/>
      <c r="AH15" s="283"/>
    </row>
    <row r="16" spans="1:35" ht="15.75">
      <c r="A16" s="4252" t="s">
        <v>179</v>
      </c>
      <c r="B16" s="4253"/>
      <c r="C16" s="4254"/>
      <c r="D16" s="1177"/>
      <c r="E16" s="206"/>
      <c r="F16" s="206"/>
      <c r="G16" s="206"/>
      <c r="H16" s="206"/>
      <c r="I16" s="4206" t="s">
        <v>276</v>
      </c>
      <c r="J16" s="4206"/>
      <c r="K16" s="4206"/>
      <c r="L16" s="4206"/>
      <c r="M16" s="206"/>
      <c r="N16" s="206"/>
      <c r="O16" s="206"/>
      <c r="P16" s="730"/>
      <c r="Q16" s="4274" t="s">
        <v>277</v>
      </c>
      <c r="R16" s="4274"/>
      <c r="S16" s="4274"/>
      <c r="T16" s="4274"/>
      <c r="U16" s="206"/>
      <c r="V16" s="206"/>
      <c r="W16" s="206"/>
      <c r="X16" s="77"/>
      <c r="Y16" s="77"/>
      <c r="Z16" s="77"/>
      <c r="AA16" s="77"/>
      <c r="AB16" s="77"/>
      <c r="AC16" s="1162"/>
      <c r="AD16" s="77"/>
      <c r="AE16" s="873"/>
      <c r="AF16" s="283"/>
      <c r="AG16" s="283"/>
      <c r="AH16" s="283"/>
    </row>
    <row r="17" spans="1:34" ht="15.75" customHeight="1">
      <c r="A17" s="4237" t="s">
        <v>64</v>
      </c>
      <c r="B17" s="4238"/>
      <c r="C17" s="4238"/>
      <c r="D17" s="1177"/>
      <c r="E17" s="206"/>
      <c r="F17" s="206"/>
      <c r="G17" s="206"/>
      <c r="H17" s="206"/>
      <c r="I17" s="203"/>
      <c r="J17" s="203"/>
      <c r="K17" s="203"/>
      <c r="L17" s="203"/>
      <c r="M17" s="206"/>
      <c r="N17" s="206"/>
      <c r="O17" s="206"/>
      <c r="P17" s="204"/>
      <c r="Q17" s="204"/>
      <c r="R17" s="204"/>
      <c r="S17" s="204"/>
      <c r="T17" s="204"/>
      <c r="U17" s="206"/>
      <c r="V17" s="206"/>
      <c r="W17" s="872"/>
      <c r="X17" s="297"/>
      <c r="Y17" s="732"/>
      <c r="Z17" s="297"/>
      <c r="AA17" s="297"/>
      <c r="AB17" s="77"/>
      <c r="AC17" s="1162"/>
      <c r="AD17" s="77"/>
      <c r="AE17" s="873"/>
      <c r="AF17" s="283"/>
      <c r="AG17" s="283"/>
      <c r="AH17" s="283"/>
    </row>
    <row r="18" spans="1:34" ht="15.75">
      <c r="A18" s="4239" t="s">
        <v>26</v>
      </c>
      <c r="B18" s="4048"/>
      <c r="C18" s="4240"/>
      <c r="D18" s="1181"/>
      <c r="E18" s="212"/>
      <c r="F18" s="212"/>
      <c r="G18" s="212"/>
      <c r="H18" s="212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8"/>
      <c r="Y18" s="198"/>
      <c r="Z18" s="198"/>
      <c r="AA18" s="198"/>
      <c r="AB18" s="198"/>
      <c r="AC18" s="1182"/>
      <c r="AD18" s="1115"/>
      <c r="AE18" s="1183"/>
      <c r="AF18" s="283"/>
      <c r="AG18" s="283"/>
      <c r="AH18" s="283"/>
    </row>
    <row r="19" spans="1:34" ht="15.75" customHeight="1">
      <c r="A19" s="285" t="s">
        <v>66</v>
      </c>
      <c r="B19" s="213" t="s">
        <v>67</v>
      </c>
      <c r="C19" s="214" t="s">
        <v>68</v>
      </c>
      <c r="D19" s="1120" t="s">
        <v>226</v>
      </c>
      <c r="E19" s="506" t="s">
        <v>55</v>
      </c>
      <c r="F19" s="1163" t="s">
        <v>163</v>
      </c>
      <c r="G19" s="971"/>
      <c r="H19" s="510"/>
      <c r="I19" s="216"/>
      <c r="J19" s="215"/>
      <c r="K19" s="215"/>
      <c r="L19" s="215"/>
      <c r="M19" s="760" t="s">
        <v>163</v>
      </c>
      <c r="N19" s="289"/>
      <c r="O19" s="298"/>
      <c r="P19" s="215"/>
      <c r="Q19" s="215"/>
      <c r="R19" s="299"/>
      <c r="S19" s="215"/>
      <c r="T19" s="215"/>
      <c r="U19" s="215"/>
      <c r="V19" s="215"/>
      <c r="W19" s="215"/>
      <c r="X19" s="299"/>
      <c r="Y19" s="215"/>
      <c r="Z19" s="215"/>
      <c r="AA19" s="215"/>
      <c r="AB19" s="215"/>
      <c r="AC19" s="216"/>
      <c r="AD19" s="216"/>
      <c r="AE19" s="217"/>
      <c r="AF19" s="283"/>
      <c r="AG19" s="283"/>
      <c r="AH19" s="283"/>
    </row>
    <row r="20" spans="1:34" ht="15.75">
      <c r="A20" s="286" t="s">
        <v>73</v>
      </c>
      <c r="B20" s="218" t="s">
        <v>67</v>
      </c>
      <c r="C20" s="219" t="s">
        <v>74</v>
      </c>
      <c r="D20" s="1114"/>
      <c r="E20" s="241"/>
      <c r="F20" s="1148" t="s">
        <v>163</v>
      </c>
      <c r="G20" s="1149"/>
      <c r="H20" s="1150"/>
      <c r="I20" s="1151"/>
      <c r="J20" s="1151"/>
      <c r="K20" s="4269" t="s">
        <v>55</v>
      </c>
      <c r="L20" s="4270"/>
      <c r="M20" s="3980" t="s">
        <v>278</v>
      </c>
      <c r="N20" s="3980"/>
      <c r="O20" s="886" t="s">
        <v>55</v>
      </c>
      <c r="P20" s="241"/>
      <c r="Q20" s="241"/>
      <c r="R20" s="241"/>
      <c r="S20" s="241"/>
      <c r="T20" s="237"/>
      <c r="U20" s="237"/>
      <c r="V20" s="237"/>
      <c r="W20" s="237"/>
      <c r="X20" s="1106"/>
      <c r="Y20" s="1193"/>
      <c r="Z20" s="237"/>
      <c r="AA20" s="241"/>
      <c r="AB20" s="241"/>
      <c r="AC20" s="241"/>
      <c r="AD20" s="241"/>
      <c r="AE20" s="1116"/>
      <c r="AF20" s="283"/>
      <c r="AG20" s="283"/>
      <c r="AH20" s="283"/>
    </row>
    <row r="21" spans="1:34" ht="15.75">
      <c r="A21" s="4221" t="s">
        <v>84</v>
      </c>
      <c r="B21" s="229" t="s">
        <v>85</v>
      </c>
      <c r="C21" s="230" t="s">
        <v>86</v>
      </c>
      <c r="D21" s="1132"/>
      <c r="E21" s="215"/>
      <c r="F21" s="215"/>
      <c r="G21" s="215"/>
      <c r="H21" s="506" t="s">
        <v>55</v>
      </c>
      <c r="I21" s="4278" t="s">
        <v>279</v>
      </c>
      <c r="J21" s="4279"/>
      <c r="K21" s="4279"/>
      <c r="L21" s="4279"/>
      <c r="M21" s="4280"/>
      <c r="N21" s="506" t="s">
        <v>55</v>
      </c>
      <c r="O21" s="215"/>
      <c r="P21" s="215"/>
      <c r="Q21" s="215"/>
      <c r="R21" s="215"/>
      <c r="S21" s="1191"/>
      <c r="T21" s="1189"/>
      <c r="U21" s="1189"/>
      <c r="V21" s="1189"/>
      <c r="W21" s="1189"/>
      <c r="X21" s="1189"/>
      <c r="Y21" s="1190"/>
      <c r="Z21" s="369"/>
      <c r="AA21" s="1192"/>
      <c r="AB21" s="215"/>
      <c r="AC21" s="215"/>
      <c r="AD21" s="215"/>
      <c r="AE21" s="1126"/>
      <c r="AF21" s="284"/>
      <c r="AG21" s="284"/>
      <c r="AH21" s="284"/>
    </row>
    <row r="22" spans="1:34" ht="15.75">
      <c r="A22" s="4222"/>
      <c r="B22" s="218" t="s">
        <v>87</v>
      </c>
      <c r="C22" s="219" t="s">
        <v>88</v>
      </c>
      <c r="D22" s="228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15"/>
      <c r="U22" s="215"/>
      <c r="V22" s="215"/>
      <c r="W22" s="215"/>
      <c r="X22" s="299"/>
      <c r="Y22" s="215"/>
      <c r="Z22" s="215"/>
      <c r="AA22" s="223"/>
      <c r="AB22" s="223"/>
      <c r="AC22" s="223"/>
      <c r="AD22" s="223"/>
      <c r="AE22" s="225"/>
      <c r="AF22" s="284"/>
      <c r="AG22" s="284"/>
      <c r="AH22" s="284"/>
    </row>
    <row r="23" spans="1:34" ht="15.75">
      <c r="A23" s="4222"/>
      <c r="B23" s="226" t="s">
        <v>90</v>
      </c>
      <c r="C23" s="234" t="s">
        <v>91</v>
      </c>
      <c r="D23" s="1114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1115"/>
      <c r="Y23" s="241"/>
      <c r="Z23" s="241"/>
      <c r="AA23" s="4275" t="s">
        <v>280</v>
      </c>
      <c r="AB23" s="4276"/>
      <c r="AC23" s="4276"/>
      <c r="AD23" s="4276"/>
      <c r="AE23" s="4277"/>
      <c r="AF23" s="283"/>
      <c r="AG23" s="283"/>
      <c r="AH23" s="283"/>
    </row>
    <row r="24" spans="1:34" ht="15.75">
      <c r="A24" s="4241" t="s">
        <v>92</v>
      </c>
      <c r="B24" s="1134" t="s">
        <v>95</v>
      </c>
      <c r="C24" s="1139" t="s">
        <v>243</v>
      </c>
      <c r="D24" s="1145"/>
      <c r="E24" s="4"/>
      <c r="F24" s="4"/>
      <c r="G24" s="3"/>
      <c r="H24" s="4"/>
      <c r="I24" s="4283" t="s">
        <v>276</v>
      </c>
      <c r="J24" s="4284"/>
      <c r="K24" s="4281" t="s">
        <v>55</v>
      </c>
      <c r="L24" s="4282"/>
      <c r="M24" s="4189" t="s">
        <v>278</v>
      </c>
      <c r="N24" s="4189"/>
      <c r="O24" s="4189"/>
      <c r="P24" s="4189"/>
      <c r="Q24" s="4189"/>
      <c r="R24" s="4189"/>
      <c r="S24" s="4189"/>
      <c r="T24" s="1146" t="s">
        <v>55</v>
      </c>
      <c r="U24" s="4"/>
      <c r="V24" s="4"/>
      <c r="W24" s="4"/>
      <c r="X24" s="299"/>
      <c r="Y24" s="4"/>
      <c r="Z24" s="4"/>
      <c r="AA24" s="4"/>
      <c r="AB24" s="4"/>
      <c r="AC24" s="4"/>
      <c r="AD24" s="4"/>
      <c r="AE24" s="1133"/>
      <c r="AF24" s="283"/>
      <c r="AG24" s="283"/>
      <c r="AH24" s="283"/>
    </row>
    <row r="25" spans="1:34" ht="15.75">
      <c r="A25" s="4242"/>
      <c r="B25" s="1135" t="s">
        <v>97</v>
      </c>
      <c r="C25" s="1140" t="s">
        <v>98</v>
      </c>
      <c r="D25" s="1136"/>
      <c r="E25" s="1130"/>
      <c r="F25" s="1130"/>
      <c r="G25" s="1137"/>
      <c r="H25" s="1130"/>
      <c r="I25" s="4195" t="s">
        <v>281</v>
      </c>
      <c r="J25" s="4196"/>
      <c r="K25" s="4196"/>
      <c r="L25" s="4197"/>
      <c r="M25" s="1138"/>
      <c r="N25" s="1138"/>
      <c r="O25" s="1130"/>
      <c r="P25" s="1130"/>
      <c r="Q25" s="1130"/>
      <c r="R25" s="1130"/>
      <c r="S25" s="1130"/>
      <c r="T25" s="1130"/>
      <c r="U25" s="1130"/>
      <c r="V25" s="1130"/>
      <c r="W25" s="1130"/>
      <c r="X25" s="1115"/>
      <c r="Y25" s="1130"/>
      <c r="Z25" s="1130"/>
      <c r="AA25" s="1130"/>
      <c r="AB25" s="1130"/>
      <c r="AC25" s="1130"/>
      <c r="AD25" s="1130"/>
      <c r="AE25" s="1131"/>
      <c r="AF25" s="283"/>
      <c r="AG25" s="283"/>
      <c r="AH25" s="283"/>
    </row>
    <row r="26" spans="1:34" ht="15.75">
      <c r="A26" s="4225" t="s">
        <v>99</v>
      </c>
      <c r="B26" s="214" t="s">
        <v>100</v>
      </c>
      <c r="C26" s="214" t="s">
        <v>101</v>
      </c>
      <c r="D26" s="4204" t="s">
        <v>282</v>
      </c>
      <c r="E26" s="4205"/>
      <c r="F26" s="4205"/>
      <c r="G26" s="1141"/>
      <c r="H26" s="1141"/>
      <c r="I26" s="4198" t="s">
        <v>276</v>
      </c>
      <c r="J26" s="4198"/>
      <c r="K26" s="4198"/>
      <c r="L26" s="4198"/>
      <c r="M26" s="1142" t="s">
        <v>163</v>
      </c>
      <c r="N26" s="397"/>
      <c r="O26" s="1143"/>
      <c r="P26" s="1144"/>
      <c r="Q26" s="1144"/>
      <c r="R26" s="1144"/>
      <c r="S26" s="1144"/>
      <c r="T26" s="1144"/>
      <c r="U26" s="1144"/>
      <c r="V26" s="1144"/>
      <c r="W26" s="1144"/>
      <c r="X26" s="299"/>
      <c r="Y26" s="289"/>
      <c r="Z26" s="289"/>
      <c r="AA26" s="289"/>
      <c r="AB26" s="289"/>
      <c r="AC26" s="4"/>
      <c r="AD26" s="4"/>
      <c r="AE26" s="1133"/>
      <c r="AF26" s="283"/>
      <c r="AG26" s="283"/>
      <c r="AH26" s="283"/>
    </row>
    <row r="27" spans="1:34" ht="15.75" customHeight="1">
      <c r="A27" s="4225"/>
      <c r="B27" s="219" t="s">
        <v>283</v>
      </c>
      <c r="C27" s="219" t="s">
        <v>102</v>
      </c>
      <c r="D27" s="231"/>
      <c r="E27" s="232"/>
      <c r="F27" s="679"/>
      <c r="G27" s="400"/>
      <c r="H27" s="2"/>
      <c r="I27" s="4207" t="s">
        <v>284</v>
      </c>
      <c r="J27" s="4208"/>
      <c r="K27" s="4208"/>
      <c r="L27" s="4208"/>
      <c r="M27" s="4209"/>
      <c r="N27" s="369"/>
      <c r="O27" s="871"/>
      <c r="P27" s="369"/>
      <c r="Q27" s="369"/>
      <c r="R27" s="369"/>
      <c r="S27" s="369"/>
      <c r="T27" s="369"/>
      <c r="U27" s="369"/>
      <c r="V27" s="369"/>
      <c r="W27" s="369"/>
      <c r="X27" s="77"/>
      <c r="Y27" s="369"/>
      <c r="Z27" s="369"/>
      <c r="AA27" s="369"/>
      <c r="AB27" s="369"/>
      <c r="AC27" s="6"/>
      <c r="AD27" s="6"/>
      <c r="AE27" s="13"/>
      <c r="AF27" s="283"/>
      <c r="AG27" s="283"/>
      <c r="AH27" s="283"/>
    </row>
    <row r="28" spans="1:34" ht="15.75" customHeight="1">
      <c r="A28" s="4225"/>
      <c r="B28" s="219" t="s">
        <v>95</v>
      </c>
      <c r="C28" s="219" t="s">
        <v>245</v>
      </c>
      <c r="D28" s="231"/>
      <c r="E28" s="232"/>
      <c r="F28" s="868"/>
      <c r="G28" s="400"/>
      <c r="H28" s="400"/>
      <c r="I28" s="879" t="s">
        <v>285</v>
      </c>
      <c r="J28" s="876" t="s">
        <v>286</v>
      </c>
      <c r="K28" s="4206" t="s">
        <v>287</v>
      </c>
      <c r="L28" s="4206"/>
      <c r="M28" s="369"/>
      <c r="N28" s="369"/>
      <c r="O28" s="206"/>
      <c r="P28" s="506" t="s">
        <v>55</v>
      </c>
      <c r="Q28" s="4218" t="s">
        <v>277</v>
      </c>
      <c r="R28" s="4219"/>
      <c r="S28" s="4219"/>
      <c r="T28" s="4220"/>
      <c r="U28" s="506" t="s">
        <v>55</v>
      </c>
      <c r="V28" s="369"/>
      <c r="W28" s="369"/>
      <c r="X28" s="77"/>
      <c r="Y28" s="369"/>
      <c r="Z28" s="369"/>
      <c r="AA28" s="369"/>
      <c r="AB28" s="369"/>
      <c r="AC28" s="6"/>
      <c r="AD28" s="6"/>
      <c r="AE28" s="13"/>
      <c r="AF28" s="283"/>
      <c r="AG28" s="283"/>
      <c r="AH28" s="283"/>
    </row>
    <row r="29" spans="1:34" ht="15.75">
      <c r="A29" s="4225"/>
      <c r="B29" s="219" t="s">
        <v>95</v>
      </c>
      <c r="C29" s="219" t="s">
        <v>105</v>
      </c>
      <c r="D29" s="228"/>
      <c r="E29" s="223"/>
      <c r="F29" s="829" t="s">
        <v>163</v>
      </c>
      <c r="G29" s="215"/>
      <c r="H29" s="215"/>
      <c r="I29" s="4170" t="s">
        <v>276</v>
      </c>
      <c r="J29" s="4171"/>
      <c r="K29" s="4171"/>
      <c r="L29" s="4171"/>
      <c r="M29" s="869" t="s">
        <v>163</v>
      </c>
      <c r="N29" s="870"/>
      <c r="O29" s="206"/>
      <c r="P29" s="506" t="s">
        <v>55</v>
      </c>
      <c r="Q29" s="4218" t="s">
        <v>277</v>
      </c>
      <c r="R29" s="4219"/>
      <c r="S29" s="4219"/>
      <c r="T29" s="4220"/>
      <c r="U29" s="506" t="s">
        <v>55</v>
      </c>
      <c r="V29" s="215"/>
      <c r="W29" s="215"/>
      <c r="X29" s="77"/>
      <c r="Y29" s="215"/>
      <c r="Z29" s="215"/>
      <c r="AA29" s="215"/>
      <c r="AB29" s="215"/>
      <c r="AC29" s="6"/>
      <c r="AD29" s="6"/>
      <c r="AE29" s="13"/>
      <c r="AF29" s="283"/>
      <c r="AG29" s="283"/>
      <c r="AH29" s="283"/>
    </row>
    <row r="30" spans="1:34" ht="15.75">
      <c r="A30" s="4225"/>
      <c r="B30" s="219" t="s">
        <v>106</v>
      </c>
      <c r="C30" s="219" t="s">
        <v>107</v>
      </c>
      <c r="D30" s="228"/>
      <c r="E30" s="223"/>
      <c r="F30" s="223"/>
      <c r="G30" s="221"/>
      <c r="H30" s="221"/>
      <c r="I30" s="4199" t="s">
        <v>276</v>
      </c>
      <c r="J30" s="4200"/>
      <c r="K30" s="4200"/>
      <c r="L30" s="4200"/>
      <c r="M30" s="369"/>
      <c r="N30" s="369"/>
      <c r="O30" s="369"/>
      <c r="P30" s="288"/>
      <c r="Q30" s="223"/>
      <c r="R30" s="223"/>
      <c r="S30" s="223"/>
      <c r="T30" s="223"/>
      <c r="U30" s="223"/>
      <c r="V30" s="223"/>
      <c r="W30" s="223"/>
      <c r="X30" s="77"/>
      <c r="Y30" s="223"/>
      <c r="Z30" s="223"/>
      <c r="AA30" s="283"/>
      <c r="AB30" s="223"/>
      <c r="AC30" s="6"/>
      <c r="AD30" s="6"/>
      <c r="AE30" s="13"/>
    </row>
    <row r="31" spans="1:34" ht="15.75">
      <c r="A31" s="4226"/>
      <c r="B31" s="227" t="s">
        <v>108</v>
      </c>
      <c r="C31" s="227" t="s">
        <v>109</v>
      </c>
      <c r="D31" s="1127"/>
      <c r="E31" s="1128"/>
      <c r="F31" s="1128"/>
      <c r="G31" s="1128"/>
      <c r="H31" s="1128"/>
      <c r="I31" s="4195" t="s">
        <v>276</v>
      </c>
      <c r="J31" s="4196"/>
      <c r="K31" s="4196"/>
      <c r="L31" s="4197"/>
      <c r="M31" s="1129"/>
      <c r="N31" s="1129"/>
      <c r="O31" s="1129"/>
      <c r="P31" s="241"/>
      <c r="Q31" s="241"/>
      <c r="R31" s="241"/>
      <c r="S31" s="241"/>
      <c r="T31" s="241"/>
      <c r="U31" s="241"/>
      <c r="V31" s="241"/>
      <c r="W31" s="241"/>
      <c r="X31" s="1115"/>
      <c r="Y31" s="241"/>
      <c r="Z31" s="241"/>
      <c r="AA31" s="241"/>
      <c r="AB31" s="241"/>
      <c r="AC31" s="1130"/>
      <c r="AD31" s="1130"/>
      <c r="AE31" s="1131"/>
    </row>
    <row r="32" spans="1:34" ht="15.75">
      <c r="A32" s="4221" t="s">
        <v>110</v>
      </c>
      <c r="B32" s="213" t="s">
        <v>283</v>
      </c>
      <c r="C32" s="214" t="s">
        <v>201</v>
      </c>
      <c r="D32" s="1132"/>
      <c r="E32" s="215"/>
      <c r="F32" s="215"/>
      <c r="G32" s="215"/>
      <c r="H32" s="215"/>
      <c r="I32" s="215"/>
      <c r="J32" s="215"/>
      <c r="K32" s="216"/>
      <c r="L32" s="289"/>
      <c r="M32" s="289"/>
      <c r="N32" s="289"/>
      <c r="O32" s="289"/>
      <c r="P32" s="215"/>
      <c r="Q32" s="215"/>
      <c r="R32" s="215"/>
      <c r="S32" s="215"/>
      <c r="T32" s="215"/>
      <c r="U32" s="215"/>
      <c r="V32" s="289"/>
      <c r="W32" s="289"/>
      <c r="X32" s="299"/>
      <c r="Y32" s="289"/>
      <c r="Z32" s="289"/>
      <c r="AA32" s="289"/>
      <c r="AB32" s="289"/>
      <c r="AC32" s="4"/>
      <c r="AD32" s="4"/>
      <c r="AE32" s="1133"/>
    </row>
    <row r="33" spans="1:31" ht="15.75">
      <c r="A33" s="4222"/>
      <c r="B33" s="213" t="s">
        <v>95</v>
      </c>
      <c r="C33" s="214" t="s">
        <v>249</v>
      </c>
      <c r="D33" s="236"/>
      <c r="E33" s="237"/>
      <c r="F33" s="237"/>
      <c r="G33" s="237"/>
      <c r="H33" s="237"/>
      <c r="I33" s="237"/>
      <c r="J33" s="237"/>
      <c r="K33" s="4210" t="s">
        <v>263</v>
      </c>
      <c r="L33" s="4165"/>
      <c r="M33" s="4165"/>
      <c r="N33" s="4165"/>
      <c r="O33" s="4165"/>
      <c r="P33" s="4165"/>
      <c r="Q33" s="4165"/>
      <c r="R33" s="4165"/>
      <c r="S33" s="4165"/>
      <c r="T33" s="4165"/>
      <c r="U33" s="4165"/>
      <c r="V33" s="4165"/>
      <c r="W33" s="4165"/>
      <c r="X33" s="4165"/>
      <c r="Y33" s="4165"/>
      <c r="Z33" s="4211"/>
      <c r="AA33" s="897"/>
      <c r="AB33" s="897"/>
      <c r="AC33" s="897"/>
      <c r="AD33" s="897"/>
      <c r="AE33" s="898"/>
    </row>
    <row r="34" spans="1:31" ht="15.75">
      <c r="A34" s="4222"/>
      <c r="B34" s="218" t="s">
        <v>113</v>
      </c>
      <c r="C34" s="219" t="s">
        <v>114</v>
      </c>
      <c r="D34" s="4212" t="s">
        <v>288</v>
      </c>
      <c r="E34" s="4213"/>
      <c r="F34" s="4213"/>
      <c r="G34" s="4213"/>
      <c r="H34" s="4213"/>
      <c r="I34" s="4213"/>
      <c r="J34" s="4213"/>
      <c r="K34" s="4213"/>
      <c r="L34" s="4213"/>
      <c r="M34" s="4213"/>
      <c r="N34" s="4213"/>
      <c r="O34" s="4213"/>
      <c r="P34" s="4213"/>
      <c r="Q34" s="4213"/>
      <c r="R34" s="4213"/>
      <c r="S34" s="4213"/>
      <c r="T34" s="4213"/>
      <c r="U34" s="4213"/>
      <c r="V34" s="4213"/>
      <c r="W34" s="4213"/>
      <c r="X34" s="4213"/>
      <c r="Y34" s="4213"/>
      <c r="Z34" s="4213"/>
      <c r="AA34" s="4213"/>
      <c r="AB34" s="4213"/>
      <c r="AC34" s="4213"/>
      <c r="AD34" s="4213"/>
      <c r="AE34" s="4214"/>
    </row>
    <row r="35" spans="1:31" ht="15.75">
      <c r="A35" s="4222"/>
      <c r="B35" s="218" t="s">
        <v>113</v>
      </c>
      <c r="C35" s="219" t="s">
        <v>116</v>
      </c>
      <c r="D35" s="4201" t="s">
        <v>289</v>
      </c>
      <c r="E35" s="4202"/>
      <c r="F35" s="4202"/>
      <c r="G35" s="4202"/>
      <c r="H35" s="4202"/>
      <c r="I35" s="4203"/>
      <c r="J35" s="4215" t="s">
        <v>290</v>
      </c>
      <c r="K35" s="4216"/>
      <c r="L35" s="4216"/>
      <c r="M35" s="4216"/>
      <c r="N35" s="4216"/>
      <c r="O35" s="4216"/>
      <c r="P35" s="4216"/>
      <c r="Q35" s="4216"/>
      <c r="R35" s="4216"/>
      <c r="S35" s="4216"/>
      <c r="T35" s="4216"/>
      <c r="U35" s="4216"/>
      <c r="V35" s="4216"/>
      <c r="W35" s="4216"/>
      <c r="X35" s="4216"/>
      <c r="Y35" s="4216"/>
      <c r="Z35" s="4217"/>
      <c r="AA35" s="216"/>
      <c r="AB35" s="216"/>
      <c r="AC35" s="216"/>
      <c r="AD35" s="216"/>
      <c r="AE35" s="217"/>
    </row>
    <row r="36" spans="1:31" ht="15.75">
      <c r="A36" s="4222"/>
      <c r="B36" s="218" t="s">
        <v>118</v>
      </c>
      <c r="C36" s="219" t="s">
        <v>119</v>
      </c>
      <c r="D36" s="895"/>
      <c r="E36" s="216"/>
      <c r="F36" s="216"/>
      <c r="G36" s="896"/>
      <c r="H36" s="4157" t="s">
        <v>290</v>
      </c>
      <c r="I36" s="4158"/>
      <c r="J36" s="4158"/>
      <c r="K36" s="4158"/>
      <c r="L36" s="4158"/>
      <c r="M36" s="4159"/>
      <c r="N36" s="4159"/>
      <c r="O36" s="4159"/>
      <c r="P36" s="4159"/>
      <c r="Q36" s="4159"/>
      <c r="R36" s="4159"/>
      <c r="S36" s="4159"/>
      <c r="T36" s="4159"/>
      <c r="U36" s="4159"/>
      <c r="V36" s="4159"/>
      <c r="W36" s="4159"/>
      <c r="X36" s="4159"/>
      <c r="Y36" s="4159"/>
      <c r="Z36" s="4160"/>
      <c r="AA36" s="216"/>
      <c r="AB36" s="216"/>
      <c r="AC36" s="216"/>
      <c r="AD36" s="216"/>
      <c r="AE36" s="217"/>
    </row>
    <row r="37" spans="1:31" ht="15.75">
      <c r="A37" s="4222"/>
      <c r="B37" s="218" t="s">
        <v>120</v>
      </c>
      <c r="C37" s="219" t="s">
        <v>121</v>
      </c>
      <c r="D37" s="231"/>
      <c r="E37" s="232"/>
      <c r="F37" s="232"/>
      <c r="G37" s="679"/>
      <c r="H37" s="4161" t="s">
        <v>203</v>
      </c>
      <c r="I37" s="4162"/>
      <c r="J37" s="4162"/>
      <c r="K37" s="4162"/>
      <c r="L37" s="4162"/>
      <c r="M37" s="4162"/>
      <c r="N37" s="4162"/>
      <c r="O37" s="4162"/>
      <c r="P37" s="4162"/>
      <c r="Q37" s="4163"/>
      <c r="R37" s="683"/>
      <c r="S37" s="684"/>
      <c r="T37" s="684"/>
      <c r="U37" s="684"/>
      <c r="V37" s="684"/>
      <c r="W37" s="684"/>
      <c r="X37" s="77"/>
      <c r="Y37" s="684"/>
      <c r="Z37" s="4177" t="s">
        <v>242</v>
      </c>
      <c r="AA37" s="4168"/>
      <c r="AB37" s="4168"/>
      <c r="AC37" s="4168"/>
      <c r="AD37" s="4168"/>
      <c r="AE37" s="4169"/>
    </row>
    <row r="38" spans="1:31" ht="15.75">
      <c r="A38" s="4222"/>
      <c r="B38" s="218" t="s">
        <v>122</v>
      </c>
      <c r="C38" s="219" t="s">
        <v>123</v>
      </c>
      <c r="D38" s="4173" t="s">
        <v>291</v>
      </c>
      <c r="E38" s="4174"/>
      <c r="F38" s="4175"/>
      <c r="G38" s="900" t="s">
        <v>251</v>
      </c>
      <c r="H38" s="4176" t="s">
        <v>290</v>
      </c>
      <c r="I38" s="4159"/>
      <c r="J38" s="4159"/>
      <c r="K38" s="4159"/>
      <c r="L38" s="4159"/>
      <c r="M38" s="4159"/>
      <c r="N38" s="4159"/>
      <c r="O38" s="4159"/>
      <c r="P38" s="4159"/>
      <c r="Q38" s="4159"/>
      <c r="R38" s="4159"/>
      <c r="S38" s="4159"/>
      <c r="T38" s="4159"/>
      <c r="U38" s="4159"/>
      <c r="V38" s="4159"/>
      <c r="W38" s="4159"/>
      <c r="X38" s="4159"/>
      <c r="Y38" s="4159"/>
      <c r="Z38" s="4160"/>
      <c r="AA38" s="680"/>
      <c r="AB38" s="400"/>
      <c r="AC38" s="400"/>
      <c r="AD38" s="400"/>
      <c r="AE38" s="581"/>
    </row>
    <row r="39" spans="1:31" ht="15.75">
      <c r="A39" s="4222"/>
      <c r="B39" s="218" t="s">
        <v>124</v>
      </c>
      <c r="C39" s="219" t="s">
        <v>125</v>
      </c>
      <c r="D39" s="231"/>
      <c r="E39" s="232"/>
      <c r="F39" s="232"/>
      <c r="G39" s="232"/>
      <c r="H39" s="681"/>
      <c r="I39" s="681"/>
      <c r="J39" s="682"/>
      <c r="K39" s="4164" t="s">
        <v>263</v>
      </c>
      <c r="L39" s="4165"/>
      <c r="M39" s="4165"/>
      <c r="N39" s="4165"/>
      <c r="O39" s="4165"/>
      <c r="P39" s="4165"/>
      <c r="Q39" s="4165"/>
      <c r="R39" s="4165"/>
      <c r="S39" s="4165"/>
      <c r="T39" s="4165"/>
      <c r="U39" s="4165"/>
      <c r="V39" s="4165"/>
      <c r="W39" s="4165"/>
      <c r="X39" s="4165"/>
      <c r="Y39" s="4165"/>
      <c r="Z39" s="4166"/>
      <c r="AA39" s="680"/>
      <c r="AB39" s="400"/>
      <c r="AC39" s="400"/>
      <c r="AD39" s="4141" t="s">
        <v>292</v>
      </c>
      <c r="AE39" s="4178"/>
    </row>
    <row r="40" spans="1:31" ht="15.75">
      <c r="A40" s="4222"/>
      <c r="B40" s="218" t="s">
        <v>293</v>
      </c>
      <c r="C40" s="219" t="s">
        <v>126</v>
      </c>
      <c r="D40" s="231"/>
      <c r="E40" s="232"/>
      <c r="F40" s="232"/>
      <c r="G40" s="679"/>
      <c r="H40" s="4176" t="s">
        <v>290</v>
      </c>
      <c r="I40" s="4159"/>
      <c r="J40" s="4159"/>
      <c r="K40" s="4159"/>
      <c r="L40" s="4159"/>
      <c r="M40" s="4159"/>
      <c r="N40" s="4159"/>
      <c r="O40" s="4159"/>
      <c r="P40" s="4159"/>
      <c r="Q40" s="4159"/>
      <c r="R40" s="4159"/>
      <c r="S40" s="4159"/>
      <c r="T40" s="4159"/>
      <c r="U40" s="4159"/>
      <c r="V40" s="4159"/>
      <c r="W40" s="4159"/>
      <c r="X40" s="4159"/>
      <c r="Y40" s="4159"/>
      <c r="Z40" s="4160"/>
      <c r="AA40" s="421"/>
      <c r="AB40" s="389"/>
      <c r="AC40" s="389"/>
      <c r="AD40" s="389"/>
      <c r="AE40" s="582"/>
    </row>
    <row r="41" spans="1:31" ht="15.75">
      <c r="A41" s="4222"/>
      <c r="B41" s="218" t="s">
        <v>127</v>
      </c>
      <c r="C41" s="219" t="s">
        <v>128</v>
      </c>
      <c r="D41" s="4182" t="s">
        <v>294</v>
      </c>
      <c r="E41" s="4183"/>
      <c r="F41" s="232"/>
      <c r="G41" s="232"/>
      <c r="H41" s="216"/>
      <c r="I41" s="4170" t="s">
        <v>276</v>
      </c>
      <c r="J41" s="4171"/>
      <c r="K41" s="4171"/>
      <c r="L41" s="4172"/>
      <c r="M41" s="215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77"/>
      <c r="Y41" s="387"/>
      <c r="Z41" s="387"/>
      <c r="AA41" s="387"/>
      <c r="AB41" s="387"/>
      <c r="AC41" s="387"/>
      <c r="AD41" s="387"/>
      <c r="AE41" s="388"/>
    </row>
    <row r="42" spans="1:31" ht="15.75">
      <c r="A42" s="4222"/>
      <c r="B42" s="218" t="s">
        <v>129</v>
      </c>
      <c r="C42" s="219" t="s">
        <v>130</v>
      </c>
      <c r="D42" s="231"/>
      <c r="E42" s="232"/>
      <c r="F42" s="232"/>
      <c r="G42" s="232"/>
      <c r="H42" s="232"/>
      <c r="I42" s="4170" t="s">
        <v>276</v>
      </c>
      <c r="J42" s="4171"/>
      <c r="K42" s="4171"/>
      <c r="L42" s="4172"/>
      <c r="M42" s="3574"/>
      <c r="N42" s="3574"/>
      <c r="O42" s="3574"/>
      <c r="P42" s="3574"/>
      <c r="Q42" s="3574"/>
      <c r="R42" s="3574"/>
      <c r="S42" s="3574"/>
      <c r="T42" s="3574"/>
      <c r="U42" s="3574"/>
      <c r="V42" s="3574"/>
      <c r="W42" s="3574"/>
      <c r="X42" s="3574"/>
      <c r="Y42" s="3574"/>
      <c r="Z42" s="3575"/>
      <c r="AA42" s="232"/>
      <c r="AB42" s="232"/>
      <c r="AC42" s="232"/>
      <c r="AD42" s="232"/>
      <c r="AE42" s="233"/>
    </row>
    <row r="43" spans="1:31" ht="15.75">
      <c r="A43" s="4222"/>
      <c r="B43" s="218" t="s">
        <v>134</v>
      </c>
      <c r="C43" s="219" t="s">
        <v>135</v>
      </c>
      <c r="D43" s="1114"/>
      <c r="E43" s="241"/>
      <c r="F43" s="241"/>
      <c r="G43" s="241"/>
      <c r="H43" s="4184" t="s">
        <v>203</v>
      </c>
      <c r="I43" s="4185"/>
      <c r="J43" s="4185"/>
      <c r="K43" s="4185"/>
      <c r="L43" s="4185"/>
      <c r="M43" s="4185"/>
      <c r="N43" s="4185"/>
      <c r="O43" s="4185"/>
      <c r="P43" s="4185"/>
      <c r="Q43" s="4186"/>
      <c r="R43" s="241"/>
      <c r="S43" s="241"/>
      <c r="T43" s="241"/>
      <c r="U43" s="241"/>
      <c r="V43" s="241"/>
      <c r="W43" s="241"/>
      <c r="X43" s="1115"/>
      <c r="Y43" s="241"/>
      <c r="Z43" s="241"/>
      <c r="AA43" s="241"/>
      <c r="AB43" s="241"/>
      <c r="AC43" s="241"/>
      <c r="AD43" s="241"/>
      <c r="AE43" s="1116"/>
    </row>
    <row r="44" spans="1:31" ht="15.75">
      <c r="A44" s="4222"/>
      <c r="B44" s="218" t="s">
        <v>131</v>
      </c>
      <c r="C44" s="219" t="s">
        <v>132</v>
      </c>
      <c r="D44" s="1120" t="s">
        <v>226</v>
      </c>
      <c r="E44" s="4167" t="s">
        <v>295</v>
      </c>
      <c r="F44" s="4168"/>
      <c r="G44" s="4168"/>
      <c r="H44" s="4168"/>
      <c r="I44" s="4169"/>
      <c r="J44" s="4164" t="s">
        <v>203</v>
      </c>
      <c r="K44" s="4165"/>
      <c r="L44" s="4165"/>
      <c r="M44" s="4165"/>
      <c r="N44" s="4165"/>
      <c r="O44" s="4165"/>
      <c r="P44" s="4165"/>
      <c r="Q44" s="4166"/>
      <c r="R44" s="216"/>
      <c r="S44" s="216"/>
      <c r="T44" s="216"/>
      <c r="U44" s="216"/>
      <c r="V44" s="681"/>
      <c r="W44" s="681"/>
      <c r="X44" s="299"/>
      <c r="Y44" s="681"/>
      <c r="Z44" s="681"/>
      <c r="AA44" s="681"/>
      <c r="AB44" s="681"/>
      <c r="AC44" s="681"/>
      <c r="AD44" s="216"/>
      <c r="AE44" s="217"/>
    </row>
    <row r="45" spans="1:31" ht="15.75">
      <c r="A45" s="4221" t="s">
        <v>136</v>
      </c>
      <c r="B45" s="229" t="s">
        <v>77</v>
      </c>
      <c r="C45" s="230" t="s">
        <v>137</v>
      </c>
      <c r="D45" s="4230" t="s">
        <v>296</v>
      </c>
      <c r="E45" s="4231"/>
      <c r="F45" s="4232"/>
      <c r="G45" s="506" t="s">
        <v>55</v>
      </c>
      <c r="H45" s="224"/>
      <c r="I45" s="4199" t="s">
        <v>276</v>
      </c>
      <c r="J45" s="4200"/>
      <c r="K45" s="4200"/>
      <c r="L45" s="4229"/>
      <c r="M45" s="674" t="s">
        <v>163</v>
      </c>
      <c r="N45" s="237"/>
      <c r="O45" s="206"/>
      <c r="P45" s="506" t="s">
        <v>55</v>
      </c>
      <c r="Q45" s="4218" t="s">
        <v>277</v>
      </c>
      <c r="R45" s="4219"/>
      <c r="S45" s="4219"/>
      <c r="T45" s="4220"/>
      <c r="U45" s="505" t="s">
        <v>55</v>
      </c>
      <c r="V45" s="819"/>
      <c r="W45" s="505" t="s">
        <v>55</v>
      </c>
      <c r="X45" s="4179" t="s">
        <v>297</v>
      </c>
      <c r="Y45" s="4180"/>
      <c r="Z45" s="4180"/>
      <c r="AA45" s="4181"/>
      <c r="AB45" s="505" t="s">
        <v>55</v>
      </c>
      <c r="AC45" s="401"/>
      <c r="AD45" s="232"/>
      <c r="AE45" s="233"/>
    </row>
    <row r="46" spans="1:31" ht="15.75">
      <c r="A46" s="4222"/>
      <c r="B46" s="218" t="s">
        <v>95</v>
      </c>
      <c r="C46" s="234" t="s">
        <v>139</v>
      </c>
      <c r="D46" s="729" t="s">
        <v>226</v>
      </c>
      <c r="E46" s="220" t="s">
        <v>55</v>
      </c>
      <c r="F46" s="829" t="s">
        <v>163</v>
      </c>
      <c r="G46" s="221"/>
      <c r="H46" s="221"/>
      <c r="I46" s="4199" t="s">
        <v>276</v>
      </c>
      <c r="J46" s="4200"/>
      <c r="K46" s="4200"/>
      <c r="L46" s="4229"/>
      <c r="M46" s="674" t="s">
        <v>163</v>
      </c>
      <c r="N46" s="4177" t="s">
        <v>298</v>
      </c>
      <c r="O46" s="4168"/>
      <c r="P46" s="4191"/>
      <c r="Q46" s="4218" t="s">
        <v>277</v>
      </c>
      <c r="R46" s="4219"/>
      <c r="S46" s="4219"/>
      <c r="T46" s="4220"/>
      <c r="U46" s="505" t="s">
        <v>55</v>
      </c>
      <c r="V46" s="294"/>
      <c r="W46" s="294"/>
      <c r="X46" s="77"/>
      <c r="Y46" s="294"/>
      <c r="Z46" s="294"/>
      <c r="AA46" s="729" t="s">
        <v>264</v>
      </c>
      <c r="AB46" s="294"/>
      <c r="AC46" s="401"/>
      <c r="AD46" s="232"/>
      <c r="AE46" s="233"/>
    </row>
    <row r="47" spans="1:31" ht="15.75">
      <c r="A47" s="4223"/>
      <c r="B47" s="226" t="s">
        <v>142</v>
      </c>
      <c r="C47" s="234" t="s">
        <v>143</v>
      </c>
      <c r="D47" s="1118"/>
      <c r="E47" s="401"/>
      <c r="F47" s="401"/>
      <c r="G47" s="401"/>
      <c r="H47" s="1058" t="s">
        <v>55</v>
      </c>
      <c r="I47" s="4233" t="s">
        <v>279</v>
      </c>
      <c r="J47" s="4234"/>
      <c r="K47" s="4234"/>
      <c r="L47" s="4234"/>
      <c r="M47" s="4235"/>
      <c r="N47" s="422" t="s">
        <v>55</v>
      </c>
      <c r="O47" s="4233" t="s">
        <v>299</v>
      </c>
      <c r="P47" s="4234"/>
      <c r="Q47" s="4234"/>
      <c r="R47" s="4234"/>
      <c r="S47" s="4234"/>
      <c r="T47" s="4235"/>
      <c r="U47" s="1058" t="s">
        <v>55</v>
      </c>
      <c r="V47" s="289"/>
      <c r="W47" s="289"/>
      <c r="X47" s="1106"/>
      <c r="Y47" s="289"/>
      <c r="Z47" s="289"/>
      <c r="AA47" s="289"/>
      <c r="AB47" s="289"/>
      <c r="AC47" s="401"/>
      <c r="AD47" s="401"/>
      <c r="AE47" s="1119"/>
    </row>
    <row r="48" spans="1:31" ht="15.75">
      <c r="A48" s="4224" t="s">
        <v>144</v>
      </c>
      <c r="B48" s="230" t="s">
        <v>145</v>
      </c>
      <c r="C48" s="1117" t="s">
        <v>146</v>
      </c>
      <c r="D48" s="1107"/>
      <c r="E48" s="1108"/>
      <c r="F48" s="1108"/>
      <c r="G48" s="1108"/>
      <c r="H48" s="1099"/>
      <c r="I48" s="1099"/>
      <c r="J48" s="1099"/>
      <c r="K48" s="1099"/>
      <c r="L48" s="1099"/>
      <c r="M48" s="1099"/>
      <c r="N48" s="1099"/>
      <c r="O48" s="1099"/>
      <c r="P48" s="1099"/>
      <c r="Q48" s="1099"/>
      <c r="R48" s="1099"/>
      <c r="S48" s="1099"/>
      <c r="T48" s="1099"/>
      <c r="U48" s="1099"/>
      <c r="V48" s="1099"/>
      <c r="W48" s="1099"/>
      <c r="X48" s="1100"/>
      <c r="Y48" s="1099"/>
      <c r="Z48" s="1099"/>
      <c r="AA48" s="1109"/>
      <c r="AB48" s="1109"/>
      <c r="AC48" s="1110"/>
      <c r="AD48" s="1111"/>
      <c r="AE48" s="1112"/>
    </row>
    <row r="49" spans="1:31" ht="15.75">
      <c r="A49" s="4225"/>
      <c r="B49" s="219" t="s">
        <v>145</v>
      </c>
      <c r="C49" s="1104" t="s">
        <v>148</v>
      </c>
      <c r="D49" s="1113"/>
      <c r="E49" s="293"/>
      <c r="F49" s="293"/>
      <c r="G49" s="294"/>
      <c r="H49" s="288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77"/>
      <c r="Y49" s="223"/>
      <c r="Z49" s="223"/>
      <c r="AA49" s="235"/>
      <c r="AB49" s="235"/>
      <c r="AC49" s="401"/>
      <c r="AD49" s="232"/>
      <c r="AE49" s="233"/>
    </row>
    <row r="50" spans="1:31" ht="15.75" customHeight="1">
      <c r="A50" s="4225"/>
      <c r="B50" s="219" t="s">
        <v>149</v>
      </c>
      <c r="C50" s="1104" t="s">
        <v>150</v>
      </c>
      <c r="D50" s="729" t="s">
        <v>226</v>
      </c>
      <c r="E50" s="4167" t="s">
        <v>295</v>
      </c>
      <c r="F50" s="4168"/>
      <c r="G50" s="4168"/>
      <c r="H50" s="4168"/>
      <c r="I50" s="4169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77"/>
      <c r="Y50" s="223"/>
      <c r="Z50" s="223"/>
      <c r="AA50" s="729" t="s">
        <v>264</v>
      </c>
      <c r="AB50" s="235"/>
      <c r="AC50" s="235"/>
      <c r="AD50" s="235"/>
      <c r="AE50" s="225"/>
    </row>
    <row r="51" spans="1:31" ht="15.75">
      <c r="A51" s="4226"/>
      <c r="B51" s="227" t="s">
        <v>149</v>
      </c>
      <c r="C51" s="1105" t="s">
        <v>151</v>
      </c>
      <c r="D51" s="1114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1115"/>
      <c r="Y51" s="241"/>
      <c r="Z51" s="241"/>
      <c r="AA51" s="241"/>
      <c r="AB51" s="241"/>
      <c r="AC51" s="241"/>
      <c r="AD51" s="241"/>
      <c r="AE51" s="1116"/>
    </row>
    <row r="52" spans="1:31" ht="15.75" customHeight="1">
      <c r="A52" s="4227" t="s">
        <v>13</v>
      </c>
      <c r="B52" s="214" t="s">
        <v>77</v>
      </c>
      <c r="C52" s="1103" t="s">
        <v>153</v>
      </c>
      <c r="D52" s="1120" t="s">
        <v>226</v>
      </c>
      <c r="E52" s="506" t="s">
        <v>55</v>
      </c>
      <c r="F52" s="1121" t="s">
        <v>300</v>
      </c>
      <c r="G52" s="200"/>
      <c r="H52" s="200"/>
      <c r="I52" s="215"/>
      <c r="J52" s="154"/>
      <c r="K52" s="1122" t="s">
        <v>273</v>
      </c>
      <c r="L52" s="154"/>
      <c r="M52" s="1123"/>
      <c r="N52" s="80"/>
      <c r="O52" s="80"/>
      <c r="P52" s="1123"/>
      <c r="Q52" s="1124"/>
      <c r="R52" s="1125"/>
      <c r="S52" s="154"/>
      <c r="T52" s="1125"/>
      <c r="U52" s="215"/>
      <c r="V52" s="215"/>
      <c r="W52" s="215"/>
      <c r="X52" s="299"/>
      <c r="Y52" s="215"/>
      <c r="Z52" s="215"/>
      <c r="AA52" s="1120" t="s">
        <v>264</v>
      </c>
      <c r="AB52" s="215"/>
      <c r="AC52" s="215"/>
      <c r="AD52" s="733" t="s">
        <v>275</v>
      </c>
      <c r="AE52" s="1126"/>
    </row>
    <row r="53" spans="1:31" ht="15.75">
      <c r="A53" s="4228"/>
      <c r="B53" s="234" t="s">
        <v>77</v>
      </c>
      <c r="C53" s="1104" t="s">
        <v>78</v>
      </c>
      <c r="D53" s="1101" t="s">
        <v>267</v>
      </c>
      <c r="E53" s="642"/>
      <c r="F53" s="236"/>
      <c r="G53" s="643"/>
      <c r="H53" s="72"/>
      <c r="I53" s="283"/>
      <c r="J53" s="634"/>
      <c r="K53" s="734" t="s">
        <v>273</v>
      </c>
      <c r="L53" s="511"/>
      <c r="M53" s="511"/>
      <c r="N53" s="511"/>
      <c r="O53" s="511"/>
      <c r="P53" s="511"/>
      <c r="Q53" s="511"/>
      <c r="R53" s="511"/>
      <c r="S53" s="635"/>
      <c r="T53" s="757"/>
      <c r="U53" s="223"/>
      <c r="V53" s="538"/>
      <c r="W53" s="539"/>
      <c r="X53" s="77"/>
      <c r="Y53" s="489"/>
      <c r="Z53" s="539"/>
      <c r="AA53" s="539"/>
      <c r="AB53" s="539"/>
      <c r="AC53" s="288"/>
      <c r="AD53" s="733" t="s">
        <v>275</v>
      </c>
      <c r="AE53" s="1102" t="s">
        <v>266</v>
      </c>
    </row>
    <row r="54" spans="1:31" ht="15.75">
      <c r="A54" s="4228"/>
      <c r="B54" s="234" t="s">
        <v>81</v>
      </c>
      <c r="C54" s="1104" t="s">
        <v>82</v>
      </c>
      <c r="D54" s="228"/>
      <c r="E54" s="761" t="s">
        <v>301</v>
      </c>
      <c r="F54" s="223"/>
      <c r="G54" s="221"/>
      <c r="H54" s="221"/>
      <c r="I54" s="222"/>
      <c r="J54" s="222"/>
      <c r="K54" s="4187" t="s">
        <v>55</v>
      </c>
      <c r="L54" s="4188"/>
      <c r="M54" s="4189" t="s">
        <v>278</v>
      </c>
      <c r="N54" s="4189"/>
      <c r="O54" s="4189"/>
      <c r="P54" s="4189"/>
      <c r="Q54" s="4189"/>
      <c r="R54" s="4189"/>
      <c r="S54" s="4190"/>
      <c r="T54" s="758" t="s">
        <v>55</v>
      </c>
      <c r="U54" s="223"/>
      <c r="V54" s="538"/>
      <c r="W54" s="1188"/>
      <c r="X54" s="4192" t="s">
        <v>302</v>
      </c>
      <c r="Y54" s="4193"/>
      <c r="Z54" s="4193"/>
      <c r="AA54" s="4193"/>
      <c r="AB54" s="4194"/>
      <c r="AC54" s="288"/>
      <c r="AD54" s="223"/>
      <c r="AE54" s="225"/>
    </row>
    <row r="55" spans="1:31" ht="15.75">
      <c r="A55" s="4228"/>
      <c r="B55" s="234" t="s">
        <v>95</v>
      </c>
      <c r="C55" s="1104" t="s">
        <v>86</v>
      </c>
      <c r="D55" s="1101" t="s">
        <v>267</v>
      </c>
      <c r="E55" s="369"/>
      <c r="F55" s="283"/>
      <c r="G55" s="644"/>
      <c r="H55" s="644"/>
      <c r="I55" s="4199" t="s">
        <v>276</v>
      </c>
      <c r="J55" s="4200"/>
      <c r="K55" s="4200"/>
      <c r="L55" s="4200"/>
      <c r="M55" s="4236" t="s">
        <v>197</v>
      </c>
      <c r="N55" s="4236"/>
      <c r="O55" s="4236"/>
      <c r="P55" s="4236"/>
      <c r="Q55" s="288"/>
      <c r="R55" s="223"/>
      <c r="S55" s="223"/>
      <c r="T55" s="223"/>
      <c r="U55" s="223"/>
      <c r="V55" s="237"/>
      <c r="W55" s="237"/>
      <c r="X55" s="77"/>
      <c r="Y55" s="489"/>
      <c r="Z55" s="237"/>
      <c r="AA55" s="237"/>
      <c r="AB55" s="237"/>
      <c r="AC55" s="237"/>
      <c r="AD55" s="733" t="s">
        <v>275</v>
      </c>
      <c r="AE55" s="238"/>
    </row>
    <row r="56" spans="1:31" ht="15.75">
      <c r="A56" s="4228"/>
      <c r="B56" s="234" t="s">
        <v>81</v>
      </c>
      <c r="C56" s="1104" t="s">
        <v>303</v>
      </c>
      <c r="D56" s="296"/>
      <c r="E56" s="289"/>
      <c r="F56" s="644"/>
      <c r="G56" s="290"/>
      <c r="H56" s="290"/>
      <c r="I56" s="4170" t="s">
        <v>276</v>
      </c>
      <c r="J56" s="4171"/>
      <c r="K56" s="4171"/>
      <c r="L56" s="4172"/>
      <c r="M56" s="215"/>
      <c r="N56" s="215"/>
      <c r="O56" s="289"/>
      <c r="P56" s="289"/>
      <c r="Q56" s="237"/>
      <c r="R56" s="237"/>
      <c r="S56" s="237"/>
      <c r="T56" s="237"/>
      <c r="U56" s="237"/>
      <c r="V56" s="237"/>
      <c r="W56" s="237"/>
      <c r="X56" s="77"/>
      <c r="Y56" s="237"/>
      <c r="Z56" s="237"/>
      <c r="AA56" s="237"/>
      <c r="AB56" s="237"/>
      <c r="AC56" s="237"/>
      <c r="AD56" s="237"/>
      <c r="AE56" s="238"/>
    </row>
    <row r="57" spans="1:31" ht="15.75">
      <c r="A57" s="4228"/>
      <c r="B57" s="287" t="s">
        <v>155</v>
      </c>
      <c r="C57" s="1105" t="s">
        <v>156</v>
      </c>
      <c r="D57" s="885" t="s">
        <v>226</v>
      </c>
      <c r="E57" s="886" t="s">
        <v>55</v>
      </c>
      <c r="F57" s="295"/>
      <c r="G57" s="295"/>
      <c r="H57" s="295"/>
      <c r="I57" s="240"/>
      <c r="J57" s="240"/>
      <c r="K57" s="240"/>
      <c r="L57" s="240"/>
      <c r="M57" s="239"/>
      <c r="N57" s="239"/>
      <c r="O57" s="241"/>
      <c r="P57" s="241"/>
      <c r="Q57" s="241"/>
      <c r="R57" s="242"/>
      <c r="S57" s="242"/>
      <c r="T57" s="242"/>
      <c r="U57" s="241"/>
      <c r="V57" s="241"/>
      <c r="W57" s="241"/>
      <c r="X57" s="242"/>
      <c r="Y57" s="242"/>
      <c r="Z57" s="242"/>
      <c r="AA57" s="242"/>
      <c r="AB57" s="242"/>
      <c r="AC57" s="242"/>
      <c r="AD57" s="242"/>
      <c r="AE57" s="243"/>
    </row>
  </sheetData>
  <mergeCells count="85">
    <mergeCell ref="AA23:AE23"/>
    <mergeCell ref="I21:M21"/>
    <mergeCell ref="K24:L24"/>
    <mergeCell ref="M24:S24"/>
    <mergeCell ref="I24:J24"/>
    <mergeCell ref="O8:Z8"/>
    <mergeCell ref="K20:L20"/>
    <mergeCell ref="O5:Q5"/>
    <mergeCell ref="M12:S12"/>
    <mergeCell ref="U5:AE5"/>
    <mergeCell ref="M20:N20"/>
    <mergeCell ref="Q16:T16"/>
    <mergeCell ref="A6:C6"/>
    <mergeCell ref="H5:M5"/>
    <mergeCell ref="A5:C5"/>
    <mergeCell ref="A11:C11"/>
    <mergeCell ref="A7:C7"/>
    <mergeCell ref="A8:C8"/>
    <mergeCell ref="A16:C16"/>
    <mergeCell ref="A9:C9"/>
    <mergeCell ref="A10:C10"/>
    <mergeCell ref="A12:C12"/>
    <mergeCell ref="I16:L16"/>
    <mergeCell ref="A15:C15"/>
    <mergeCell ref="A13:C13"/>
    <mergeCell ref="A14:C14"/>
    <mergeCell ref="A1:C1"/>
    <mergeCell ref="D1:AE1"/>
    <mergeCell ref="A2:C2"/>
    <mergeCell ref="A3:C3"/>
    <mergeCell ref="A4:C4"/>
    <mergeCell ref="U4:W4"/>
    <mergeCell ref="A17:C17"/>
    <mergeCell ref="A18:C18"/>
    <mergeCell ref="A24:A25"/>
    <mergeCell ref="A26:A31"/>
    <mergeCell ref="A21:A23"/>
    <mergeCell ref="A45:A47"/>
    <mergeCell ref="A48:A51"/>
    <mergeCell ref="A32:A44"/>
    <mergeCell ref="A52:A57"/>
    <mergeCell ref="I56:L56"/>
    <mergeCell ref="I45:L45"/>
    <mergeCell ref="D45:F45"/>
    <mergeCell ref="I42:L42"/>
    <mergeCell ref="I55:L55"/>
    <mergeCell ref="I47:M47"/>
    <mergeCell ref="M55:P55"/>
    <mergeCell ref="O47:T47"/>
    <mergeCell ref="E50:I50"/>
    <mergeCell ref="I46:L46"/>
    <mergeCell ref="Q45:T45"/>
    <mergeCell ref="Q46:T46"/>
    <mergeCell ref="D35:I35"/>
    <mergeCell ref="D26:F26"/>
    <mergeCell ref="K28:L28"/>
    <mergeCell ref="I27:M27"/>
    <mergeCell ref="K33:Z33"/>
    <mergeCell ref="D34:AE34"/>
    <mergeCell ref="J35:Z35"/>
    <mergeCell ref="Q28:T28"/>
    <mergeCell ref="Q29:T29"/>
    <mergeCell ref="I25:L25"/>
    <mergeCell ref="I26:L26"/>
    <mergeCell ref="I29:L29"/>
    <mergeCell ref="I30:L30"/>
    <mergeCell ref="I31:L31"/>
    <mergeCell ref="X45:AA45"/>
    <mergeCell ref="D41:E41"/>
    <mergeCell ref="H43:Q43"/>
    <mergeCell ref="H40:Z40"/>
    <mergeCell ref="K54:L54"/>
    <mergeCell ref="M54:S54"/>
    <mergeCell ref="N46:P46"/>
    <mergeCell ref="X54:AB54"/>
    <mergeCell ref="H36:Z36"/>
    <mergeCell ref="H37:Q37"/>
    <mergeCell ref="J44:Q44"/>
    <mergeCell ref="E44:I44"/>
    <mergeCell ref="I41:L41"/>
    <mergeCell ref="K39:Z39"/>
    <mergeCell ref="D38:F38"/>
    <mergeCell ref="H38:Z38"/>
    <mergeCell ref="Z37:AE37"/>
    <mergeCell ref="AD39:AE39"/>
  </mergeCells>
  <pageMargins left="0.25" right="0.25" top="0.75" bottom="0.75" header="0.3" footer="0.3"/>
  <pageSetup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8D69-2551-4CBD-8026-3E944DE0CF27}">
  <sheetPr>
    <pageSetUpPr fitToPage="1"/>
  </sheetPr>
  <dimension ref="A1:AM103"/>
  <sheetViews>
    <sheetView zoomScale="80" zoomScaleNormal="80" workbookViewId="0">
      <pane xSplit="3" topLeftCell="D1" activePane="topRight" state="frozen"/>
      <selection pane="topRight" activeCell="D36" sqref="D36"/>
    </sheetView>
  </sheetViews>
  <sheetFormatPr defaultRowHeight="15"/>
  <cols>
    <col min="3" max="3" width="11.42578125" bestFit="1" customWidth="1"/>
    <col min="13" max="13" width="12.5703125" bestFit="1" customWidth="1"/>
    <col min="26" max="26" width="11.140625" customWidth="1"/>
    <col min="34" max="34" width="10.42578125" customWidth="1"/>
  </cols>
  <sheetData>
    <row r="1" spans="1:34">
      <c r="A1" s="4304" t="s">
        <v>29</v>
      </c>
      <c r="B1" s="4304"/>
      <c r="C1" s="4304"/>
      <c r="D1" s="4336" t="s">
        <v>304</v>
      </c>
      <c r="E1" s="4336"/>
      <c r="F1" s="4336"/>
      <c r="G1" s="4336"/>
      <c r="H1" s="4336"/>
      <c r="I1" s="4336"/>
      <c r="J1" s="4336"/>
      <c r="K1" s="4336"/>
      <c r="L1" s="4336"/>
      <c r="M1" s="4336"/>
      <c r="N1" s="4336"/>
      <c r="O1" s="4336"/>
      <c r="P1" s="4336"/>
      <c r="Q1" s="4336"/>
      <c r="R1" s="4336"/>
      <c r="S1" s="4336"/>
      <c r="T1" s="4336"/>
      <c r="U1" s="4336"/>
      <c r="V1" s="4336"/>
      <c r="W1" s="4336"/>
      <c r="X1" s="4336"/>
      <c r="Y1" s="4336"/>
      <c r="Z1" s="4336"/>
      <c r="AA1" s="4336"/>
      <c r="AB1" s="4336"/>
      <c r="AC1" s="4336"/>
      <c r="AD1" s="4336"/>
      <c r="AE1" s="4336"/>
      <c r="AF1" s="4336"/>
      <c r="AG1" s="4336"/>
      <c r="AH1" s="4336"/>
    </row>
    <row r="2" spans="1:34">
      <c r="A2" s="4304" t="s">
        <v>31</v>
      </c>
      <c r="B2" s="4304"/>
      <c r="C2" s="4304"/>
      <c r="D2" s="3588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588">
        <v>24</v>
      </c>
      <c r="AB2" s="3588">
        <v>25</v>
      </c>
      <c r="AC2" s="3588">
        <v>26</v>
      </c>
      <c r="AD2" s="3588">
        <v>27</v>
      </c>
      <c r="AE2" s="3588">
        <v>28</v>
      </c>
      <c r="AF2" s="3588">
        <v>29</v>
      </c>
      <c r="AG2" s="3588">
        <v>30</v>
      </c>
      <c r="AH2" s="3588">
        <v>31</v>
      </c>
    </row>
    <row r="3" spans="1:34">
      <c r="A3" s="4304" t="s">
        <v>32</v>
      </c>
      <c r="B3" s="4304"/>
      <c r="C3" s="4304"/>
      <c r="D3" s="3588" t="s">
        <v>34</v>
      </c>
      <c r="E3" s="3588" t="s">
        <v>33</v>
      </c>
      <c r="F3" s="3588" t="s">
        <v>35</v>
      </c>
      <c r="G3" s="1267" t="s">
        <v>36</v>
      </c>
      <c r="H3" s="1267" t="s">
        <v>36</v>
      </c>
      <c r="I3" s="3588" t="s">
        <v>37</v>
      </c>
      <c r="J3" s="3588" t="s">
        <v>33</v>
      </c>
      <c r="K3" s="3588" t="s">
        <v>34</v>
      </c>
      <c r="L3" s="3588" t="s">
        <v>33</v>
      </c>
      <c r="M3" s="3588" t="s">
        <v>35</v>
      </c>
      <c r="N3" s="1267" t="s">
        <v>36</v>
      </c>
      <c r="O3" s="1267" t="s">
        <v>36</v>
      </c>
      <c r="P3" s="3588" t="s">
        <v>37</v>
      </c>
      <c r="Q3" s="3588" t="s">
        <v>33</v>
      </c>
      <c r="R3" s="3588" t="s">
        <v>34</v>
      </c>
      <c r="S3" s="3588" t="s">
        <v>33</v>
      </c>
      <c r="T3" s="3588" t="s">
        <v>35</v>
      </c>
      <c r="U3" s="1267" t="s">
        <v>36</v>
      </c>
      <c r="V3" s="1267" t="s">
        <v>36</v>
      </c>
      <c r="W3" s="3588" t="s">
        <v>37</v>
      </c>
      <c r="X3" s="3588" t="s">
        <v>33</v>
      </c>
      <c r="Y3" s="3588" t="s">
        <v>34</v>
      </c>
      <c r="Z3" s="3588" t="s">
        <v>33</v>
      </c>
      <c r="AA3" s="3588" t="s">
        <v>35</v>
      </c>
      <c r="AB3" s="1267" t="s">
        <v>36</v>
      </c>
      <c r="AC3" s="1267" t="s">
        <v>36</v>
      </c>
      <c r="AD3" s="3588" t="s">
        <v>37</v>
      </c>
      <c r="AE3" s="3588" t="s">
        <v>33</v>
      </c>
      <c r="AF3" s="3588" t="s">
        <v>34</v>
      </c>
      <c r="AG3" s="3588" t="s">
        <v>33</v>
      </c>
      <c r="AH3" s="3588" t="s">
        <v>35</v>
      </c>
    </row>
    <row r="4" spans="1:34" ht="15.75">
      <c r="A4" s="3941" t="s">
        <v>38</v>
      </c>
      <c r="B4" s="3941"/>
      <c r="C4" s="3941"/>
      <c r="D4" s="48"/>
      <c r="E4" s="48"/>
      <c r="F4" s="24"/>
      <c r="G4" s="24"/>
      <c r="H4" s="24"/>
      <c r="I4" s="24"/>
      <c r="J4" s="24"/>
      <c r="K4" s="24"/>
      <c r="L4" s="24"/>
      <c r="M4" s="24"/>
      <c r="N4" s="668"/>
      <c r="O4" s="668"/>
      <c r="P4" s="668"/>
      <c r="Q4" s="48"/>
      <c r="R4" s="48"/>
      <c r="S4" s="48"/>
      <c r="T4" s="24"/>
      <c r="U4" s="48"/>
      <c r="V4" s="48"/>
      <c r="W4" s="4342" t="s">
        <v>305</v>
      </c>
      <c r="X4" s="4342"/>
      <c r="Y4" s="4342"/>
      <c r="Z4" s="4342"/>
      <c r="AA4" s="4342"/>
      <c r="AB4" s="17"/>
      <c r="AC4" s="17"/>
      <c r="AD4" s="4341" t="s">
        <v>306</v>
      </c>
      <c r="AE4" s="4341"/>
      <c r="AF4" s="4341"/>
      <c r="AG4" s="4341"/>
      <c r="AH4" s="4341"/>
    </row>
    <row r="5" spans="1:34">
      <c r="A5" s="4286" t="s">
        <v>42</v>
      </c>
      <c r="B5" s="4286"/>
      <c r="C5" s="4286"/>
      <c r="D5" s="1268"/>
      <c r="E5" s="4286" t="s">
        <v>307</v>
      </c>
      <c r="F5" s="4286"/>
      <c r="G5" s="4286"/>
      <c r="H5" s="4286"/>
      <c r="I5" s="4286"/>
      <c r="J5" s="4286"/>
      <c r="K5" s="4286"/>
      <c r="L5" s="4286"/>
      <c r="M5" s="4286"/>
      <c r="N5" s="4286"/>
      <c r="O5" s="4286"/>
      <c r="P5" s="4286"/>
      <c r="Q5" s="4286"/>
      <c r="R5" s="4286"/>
      <c r="S5" s="4286"/>
      <c r="T5" s="4286"/>
      <c r="U5" s="4286"/>
      <c r="V5" s="4286"/>
      <c r="W5" s="4286"/>
      <c r="X5" s="4286"/>
      <c r="Y5" s="4286"/>
      <c r="Z5" s="4285" t="s">
        <v>308</v>
      </c>
      <c r="AA5" s="4285"/>
      <c r="AB5" s="4285"/>
      <c r="AC5" s="4285"/>
      <c r="AD5" s="4285"/>
      <c r="AE5" s="4285"/>
      <c r="AF5" s="4285"/>
      <c r="AG5" s="4285"/>
      <c r="AH5" s="4285"/>
    </row>
    <row r="6" spans="1:34" ht="15.75">
      <c r="A6" s="4310" t="s">
        <v>165</v>
      </c>
      <c r="B6" s="4310"/>
      <c r="C6" s="4310"/>
      <c r="D6" s="1086"/>
      <c r="E6" s="1086"/>
      <c r="F6" s="1086"/>
      <c r="G6" s="1086"/>
      <c r="H6" s="1086"/>
      <c r="I6" s="1086"/>
      <c r="J6" s="1086"/>
      <c r="K6" s="1086"/>
      <c r="L6" s="841"/>
      <c r="M6" s="841"/>
      <c r="N6" s="841"/>
      <c r="O6" s="841"/>
      <c r="P6" s="841"/>
      <c r="Q6" s="841"/>
      <c r="R6" s="841"/>
      <c r="S6" s="841"/>
      <c r="T6" s="555"/>
      <c r="U6" s="841"/>
      <c r="V6" s="841"/>
      <c r="W6" s="842"/>
      <c r="X6" s="842"/>
      <c r="Y6" s="842"/>
      <c r="Z6" s="842"/>
      <c r="AA6" s="843"/>
      <c r="AB6" s="843"/>
      <c r="AC6" s="843"/>
      <c r="AD6" s="843"/>
      <c r="AE6" s="842"/>
      <c r="AF6" s="842"/>
      <c r="AG6" s="842"/>
      <c r="AH6" s="842"/>
    </row>
    <row r="7" spans="1:34">
      <c r="A7" s="4307" t="s">
        <v>262</v>
      </c>
      <c r="B7" s="4307"/>
      <c r="C7" s="4307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915"/>
      <c r="Q7" s="546"/>
      <c r="R7" s="546"/>
      <c r="S7" s="546"/>
      <c r="T7" s="546"/>
      <c r="U7" s="546"/>
      <c r="V7" s="546"/>
      <c r="W7" s="546"/>
      <c r="X7" s="1087"/>
      <c r="Y7" s="1087"/>
      <c r="Z7" s="546"/>
      <c r="AA7" s="546"/>
      <c r="AB7" s="546"/>
      <c r="AC7" s="546"/>
      <c r="AD7" s="3666"/>
      <c r="AE7" s="3666"/>
      <c r="AF7" s="915"/>
      <c r="AG7" s="3666"/>
      <c r="AH7" s="1265"/>
    </row>
    <row r="8" spans="1:34">
      <c r="A8" s="4305" t="s">
        <v>49</v>
      </c>
      <c r="B8" s="4305"/>
      <c r="C8" s="4305"/>
      <c r="D8" s="1269"/>
      <c r="E8" s="380"/>
      <c r="F8" s="24"/>
      <c r="G8" s="23"/>
      <c r="H8" s="23"/>
      <c r="I8" s="4285" t="s">
        <v>308</v>
      </c>
      <c r="J8" s="4285"/>
      <c r="K8" s="4285"/>
      <c r="L8" s="4285"/>
      <c r="M8" s="4285"/>
      <c r="N8" s="4285"/>
      <c r="O8" s="4285"/>
      <c r="P8" s="4285"/>
      <c r="Q8" s="4285"/>
      <c r="R8" s="4285"/>
      <c r="S8" s="4285"/>
      <c r="T8" s="4285"/>
      <c r="U8" s="4285"/>
      <c r="V8" s="4285"/>
      <c r="W8" s="4340" t="s">
        <v>164</v>
      </c>
      <c r="X8" s="4340"/>
      <c r="Y8" s="4340"/>
      <c r="Z8" s="4340"/>
      <c r="AA8" s="4340"/>
      <c r="AB8" s="824"/>
      <c r="AC8" s="824"/>
      <c r="AD8" s="824"/>
      <c r="AE8" s="824"/>
      <c r="AF8" s="824"/>
      <c r="AG8" s="824"/>
      <c r="AH8" s="824"/>
    </row>
    <row r="9" spans="1:34">
      <c r="A9" s="4306" t="s">
        <v>225</v>
      </c>
      <c r="B9" s="4306"/>
      <c r="C9" s="4306"/>
      <c r="D9" s="18"/>
      <c r="E9" s="18"/>
      <c r="F9" s="1088"/>
      <c r="G9" s="24"/>
      <c r="H9" s="24"/>
      <c r="I9" s="24"/>
      <c r="J9" s="1089"/>
      <c r="K9" s="1089"/>
      <c r="L9" s="1089"/>
      <c r="M9" s="1089"/>
      <c r="N9" s="24"/>
      <c r="O9" s="24"/>
      <c r="P9" s="60"/>
      <c r="Q9" s="60"/>
      <c r="R9" s="1090" t="s">
        <v>309</v>
      </c>
      <c r="S9" s="24"/>
      <c r="T9" s="24"/>
      <c r="U9" s="24"/>
      <c r="V9" s="24"/>
      <c r="W9" s="24"/>
      <c r="X9" s="4338" t="s">
        <v>310</v>
      </c>
      <c r="Y9" s="4338"/>
      <c r="Z9" s="2"/>
      <c r="AA9" s="2"/>
      <c r="AB9" s="17"/>
      <c r="AC9" s="17"/>
      <c r="AD9" s="17"/>
      <c r="AE9" s="24"/>
      <c r="AF9" s="741"/>
      <c r="AG9" s="24"/>
      <c r="AH9" s="24"/>
    </row>
    <row r="10" spans="1:34">
      <c r="A10" s="4308" t="s">
        <v>272</v>
      </c>
      <c r="B10" s="4308"/>
      <c r="C10" s="4308"/>
      <c r="D10" s="18"/>
      <c r="E10" s="4337" t="s">
        <v>311</v>
      </c>
      <c r="F10" s="4337"/>
      <c r="G10" s="24"/>
      <c r="H10" s="24"/>
      <c r="I10" s="380"/>
      <c r="J10" s="380"/>
      <c r="K10" s="380"/>
      <c r="L10" s="380"/>
      <c r="M10" s="380"/>
      <c r="N10" s="24"/>
      <c r="O10" s="24"/>
      <c r="P10" s="60"/>
      <c r="Q10" s="60"/>
      <c r="R10" s="60"/>
      <c r="S10" s="60"/>
      <c r="T10" s="60"/>
      <c r="U10" s="24"/>
      <c r="V10" s="24"/>
      <c r="W10" s="24"/>
      <c r="X10" s="521" t="s">
        <v>312</v>
      </c>
      <c r="Y10" s="521"/>
      <c r="Z10" s="24"/>
      <c r="AA10" s="17"/>
      <c r="AB10" s="17"/>
      <c r="AC10" s="17"/>
      <c r="AD10" s="48"/>
      <c r="AE10" s="48"/>
      <c r="AF10" s="24"/>
      <c r="AG10" s="24"/>
      <c r="AH10" s="24"/>
    </row>
    <row r="11" spans="1:34">
      <c r="A11" s="4309" t="s">
        <v>265</v>
      </c>
      <c r="B11" s="4309"/>
      <c r="C11" s="4309"/>
      <c r="D11" s="24"/>
      <c r="E11" s="24"/>
      <c r="F11" s="24"/>
      <c r="G11" s="24"/>
      <c r="H11" s="24"/>
      <c r="I11" s="18"/>
      <c r="J11" s="18"/>
      <c r="K11" s="18"/>
      <c r="L11" s="18"/>
      <c r="M11" s="18"/>
      <c r="N11" s="18"/>
      <c r="O11" s="18"/>
      <c r="P11" s="2"/>
      <c r="Q11" s="2"/>
      <c r="R11" s="1091"/>
      <c r="S11" s="741"/>
      <c r="T11" s="741"/>
      <c r="U11" s="18"/>
      <c r="V11" s="18"/>
      <c r="W11" s="24"/>
      <c r="X11" s="24"/>
      <c r="Y11" s="24"/>
      <c r="Z11" s="24"/>
      <c r="AA11" s="17"/>
      <c r="AB11" s="17"/>
      <c r="AC11" s="17"/>
      <c r="AD11" s="48"/>
      <c r="AE11" s="48"/>
      <c r="AF11" s="741"/>
      <c r="AG11" s="24"/>
      <c r="AH11" s="24"/>
    </row>
    <row r="12" spans="1:34" ht="15" customHeight="1">
      <c r="A12" s="4311" t="s">
        <v>60</v>
      </c>
      <c r="B12" s="4311"/>
      <c r="C12" s="4311"/>
      <c r="D12" s="380" t="s">
        <v>313</v>
      </c>
      <c r="E12" s="380"/>
      <c r="F12" s="24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1194" t="s">
        <v>314</v>
      </c>
      <c r="R12" s="1092"/>
      <c r="S12" s="24"/>
      <c r="T12" s="20"/>
      <c r="U12" s="20"/>
      <c r="V12" s="24"/>
      <c r="W12" s="24"/>
      <c r="X12" s="46"/>
      <c r="Y12" s="24"/>
      <c r="Z12" s="24"/>
      <c r="AA12" s="24"/>
      <c r="AB12" s="24"/>
      <c r="AC12" s="24"/>
      <c r="AD12" s="48"/>
      <c r="AE12" s="48"/>
      <c r="AF12" s="24"/>
      <c r="AG12" s="24"/>
      <c r="AH12" s="24"/>
    </row>
    <row r="13" spans="1:34">
      <c r="A13" s="4312" t="s">
        <v>315</v>
      </c>
      <c r="B13" s="4312"/>
      <c r="C13" s="4312"/>
      <c r="D13" s="58"/>
      <c r="E13" s="58"/>
      <c r="F13" s="58"/>
      <c r="G13" s="2"/>
      <c r="H13" s="24"/>
      <c r="I13" s="24"/>
      <c r="J13" s="24"/>
      <c r="K13" s="24"/>
      <c r="L13" s="23"/>
      <c r="M13" s="23"/>
      <c r="N13" s="24"/>
      <c r="O13" s="24"/>
      <c r="P13" s="380"/>
      <c r="Q13" s="380"/>
      <c r="R13" s="24"/>
      <c r="S13" s="24"/>
      <c r="T13" s="24"/>
      <c r="U13" s="24"/>
      <c r="V13" s="24"/>
      <c r="W13" s="24"/>
      <c r="X13" s="47"/>
      <c r="Y13" s="48"/>
      <c r="Z13" s="380"/>
      <c r="AA13" s="380"/>
      <c r="AB13" s="48"/>
      <c r="AC13" s="48"/>
      <c r="AD13" s="48"/>
      <c r="AE13" s="48"/>
      <c r="AF13" s="47"/>
      <c r="AG13" s="47"/>
      <c r="AH13" s="47"/>
    </row>
    <row r="14" spans="1:34" ht="15.75">
      <c r="A14" s="4313" t="s">
        <v>63</v>
      </c>
      <c r="B14" s="4313"/>
      <c r="C14" s="4313"/>
      <c r="D14" s="3572" t="s">
        <v>227</v>
      </c>
      <c r="E14" s="24"/>
      <c r="F14" s="48"/>
      <c r="G14" s="2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50"/>
      <c r="V14" s="50"/>
      <c r="W14" s="50"/>
      <c r="X14" s="47"/>
      <c r="Y14" s="47"/>
      <c r="Z14" s="47"/>
      <c r="AA14" s="47"/>
      <c r="AB14" s="47"/>
      <c r="AC14" s="47"/>
      <c r="AD14" s="48"/>
      <c r="AE14" s="48"/>
      <c r="AF14" s="47"/>
      <c r="AG14" s="47"/>
      <c r="AH14" s="1270"/>
    </row>
    <row r="15" spans="1:34" ht="15.75">
      <c r="A15" s="4319" t="s">
        <v>54</v>
      </c>
      <c r="B15" s="4319"/>
      <c r="C15" s="4319"/>
      <c r="D15" s="512"/>
      <c r="E15" s="24"/>
      <c r="F15" s="48"/>
      <c r="G15" s="1093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1094"/>
      <c r="V15" s="1094"/>
      <c r="W15" s="1094"/>
      <c r="X15" s="1095"/>
      <c r="Y15" s="1095"/>
      <c r="Z15" s="1095"/>
      <c r="AA15" s="1095"/>
      <c r="AB15" s="1095"/>
      <c r="AC15" s="1095"/>
      <c r="AD15" s="48"/>
      <c r="AE15" s="48"/>
      <c r="AF15" s="1096" t="s">
        <v>316</v>
      </c>
      <c r="AG15" s="1095"/>
      <c r="AH15" s="1271"/>
    </row>
    <row r="16" spans="1:34" ht="15.75">
      <c r="A16" s="4314" t="s">
        <v>317</v>
      </c>
      <c r="B16" s="4314"/>
      <c r="C16" s="4314"/>
      <c r="D16" s="21"/>
      <c r="E16" s="21"/>
      <c r="F16" s="21"/>
      <c r="G16" s="1097"/>
      <c r="H16" s="1097"/>
      <c r="I16" s="4339" t="s">
        <v>318</v>
      </c>
      <c r="J16" s="4339"/>
      <c r="K16" s="4339"/>
      <c r="L16" s="4339"/>
      <c r="M16" s="4339"/>
      <c r="N16" s="1097"/>
      <c r="O16" s="1097"/>
      <c r="P16" s="1097"/>
      <c r="Q16" s="1097"/>
      <c r="R16" s="24"/>
      <c r="S16" s="24"/>
      <c r="T16" s="24"/>
      <c r="U16" s="24"/>
      <c r="V16" s="24"/>
      <c r="W16" s="24"/>
      <c r="X16" s="24"/>
      <c r="Y16" s="24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9">
      <c r="A17" s="4315" t="s">
        <v>179</v>
      </c>
      <c r="B17" s="4315"/>
      <c r="C17" s="4315"/>
      <c r="D17" s="24"/>
      <c r="E17" s="24"/>
      <c r="F17" s="24"/>
      <c r="G17" s="24"/>
      <c r="H17" s="24"/>
      <c r="I17" s="1098" t="s">
        <v>319</v>
      </c>
      <c r="J17" s="374"/>
      <c r="K17" s="37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47"/>
      <c r="Y17" s="47"/>
      <c r="Z17" s="47"/>
      <c r="AA17" s="47"/>
      <c r="AB17" s="47"/>
      <c r="AC17" s="53"/>
      <c r="AD17" s="47"/>
      <c r="AE17" s="47"/>
      <c r="AF17" s="47"/>
      <c r="AG17" s="47"/>
      <c r="AH17" s="47"/>
    </row>
    <row r="18" spans="1:39">
      <c r="A18" s="4316" t="s">
        <v>26</v>
      </c>
      <c r="B18" s="4316"/>
      <c r="C18" s="4316"/>
      <c r="D18" s="21"/>
      <c r="E18" s="21"/>
      <c r="F18" s="21"/>
      <c r="G18" s="21"/>
      <c r="H18" s="21"/>
      <c r="I18" s="24" t="s">
        <v>320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17"/>
      <c r="AA18" s="17"/>
      <c r="AB18" s="17"/>
      <c r="AC18" s="53"/>
      <c r="AD18" s="4296" t="s">
        <v>321</v>
      </c>
      <c r="AE18" s="4296"/>
      <c r="AF18" s="4296"/>
      <c r="AG18" s="4296"/>
      <c r="AH18" s="4296"/>
    </row>
    <row r="19" spans="1:39">
      <c r="A19" s="4318" t="s">
        <v>322</v>
      </c>
      <c r="B19" s="4318"/>
      <c r="C19" s="4318"/>
      <c r="D19" s="21"/>
      <c r="E19" s="21"/>
      <c r="F19" s="21"/>
      <c r="G19" s="21"/>
      <c r="H19" s="21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17"/>
      <c r="Y19" s="17"/>
      <c r="Z19" s="17"/>
      <c r="AA19" s="17"/>
      <c r="AB19" s="17"/>
      <c r="AC19" s="53"/>
      <c r="AD19" s="17"/>
      <c r="AE19" s="17"/>
      <c r="AF19" s="17"/>
      <c r="AG19" s="17"/>
      <c r="AH19" s="17"/>
    </row>
    <row r="20" spans="1:39" ht="15.75">
      <c r="A20" s="4291" t="s">
        <v>64</v>
      </c>
      <c r="B20" s="4291"/>
      <c r="C20" s="4291"/>
      <c r="D20" s="21"/>
      <c r="E20" s="21"/>
      <c r="F20" s="21"/>
      <c r="G20" s="21"/>
      <c r="H20" s="21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610" t="s">
        <v>55</v>
      </c>
      <c r="W20" s="4291" t="s">
        <v>323</v>
      </c>
      <c r="X20" s="4291"/>
      <c r="Y20" s="4291"/>
      <c r="Z20" s="4291"/>
      <c r="AA20" s="4291"/>
      <c r="AB20" s="610" t="s">
        <v>55</v>
      </c>
      <c r="AC20" s="24"/>
      <c r="AD20" s="24"/>
      <c r="AE20" s="24"/>
      <c r="AF20" s="24"/>
      <c r="AG20" s="24"/>
      <c r="AH20" s="24"/>
      <c r="AM20" t="s">
        <v>324</v>
      </c>
    </row>
    <row r="21" spans="1:39" ht="15" customHeight="1">
      <c r="A21" s="56" t="s">
        <v>66</v>
      </c>
      <c r="B21" s="56" t="s">
        <v>67</v>
      </c>
      <c r="C21" s="56" t="s">
        <v>68</v>
      </c>
      <c r="D21" s="56"/>
      <c r="E21" s="594"/>
      <c r="F21" s="594"/>
      <c r="G21" s="594"/>
      <c r="H21" s="594"/>
      <c r="I21" s="594"/>
      <c r="J21" s="593"/>
      <c r="K21" s="593"/>
      <c r="L21" s="593"/>
      <c r="M21" s="593"/>
      <c r="N21" s="593"/>
      <c r="O21" s="625"/>
      <c r="P21" s="625"/>
      <c r="Q21" s="625"/>
      <c r="R21" s="4298" t="s">
        <v>325</v>
      </c>
      <c r="S21" s="4298"/>
      <c r="T21" s="4298"/>
      <c r="U21" s="4298"/>
      <c r="V21" s="4298"/>
      <c r="W21" s="4298"/>
      <c r="X21" s="4298"/>
      <c r="Y21" s="4298"/>
      <c r="Z21" s="4298"/>
      <c r="AA21" s="4298"/>
      <c r="AB21" s="4298"/>
      <c r="AC21" s="4298"/>
      <c r="AD21" s="1085" t="s">
        <v>163</v>
      </c>
      <c r="AE21" s="57"/>
      <c r="AF21" s="57"/>
      <c r="AG21" s="57"/>
      <c r="AH21" s="57"/>
    </row>
    <row r="22" spans="1:39" ht="15" customHeight="1">
      <c r="A22" s="56" t="s">
        <v>73</v>
      </c>
      <c r="B22" s="56" t="s">
        <v>67</v>
      </c>
      <c r="C22" s="56" t="s">
        <v>74</v>
      </c>
      <c r="D22" s="56"/>
      <c r="E22" s="593"/>
      <c r="F22" s="593"/>
      <c r="G22" s="593"/>
      <c r="H22" s="593"/>
      <c r="I22" s="593"/>
      <c r="J22" s="593"/>
      <c r="K22" s="593"/>
      <c r="L22" s="593"/>
      <c r="M22" s="593"/>
      <c r="N22" s="627"/>
      <c r="O22" s="627"/>
      <c r="P22" s="627"/>
      <c r="Q22" s="627"/>
      <c r="R22" s="1272" t="s">
        <v>309</v>
      </c>
      <c r="S22" s="24"/>
      <c r="T22" s="24"/>
      <c r="U22" s="4333" t="s">
        <v>184</v>
      </c>
      <c r="V22" s="4334"/>
      <c r="W22" s="610" t="s">
        <v>55</v>
      </c>
      <c r="X22" s="4292" t="s">
        <v>310</v>
      </c>
      <c r="Y22" s="4292"/>
      <c r="Z22" s="610" t="s">
        <v>55</v>
      </c>
      <c r="AA22" s="24"/>
      <c r="AB22" s="24"/>
      <c r="AC22" s="56"/>
      <c r="AD22" s="1085" t="s">
        <v>163</v>
      </c>
      <c r="AE22" s="56"/>
      <c r="AF22" s="24"/>
      <c r="AG22" s="24"/>
      <c r="AH22" s="24"/>
    </row>
    <row r="23" spans="1:39">
      <c r="A23" s="4317" t="s">
        <v>84</v>
      </c>
      <c r="B23" s="56" t="s">
        <v>85</v>
      </c>
      <c r="C23" s="56" t="s">
        <v>86</v>
      </c>
      <c r="D23" s="56"/>
      <c r="E23" s="593"/>
      <c r="F23" s="593"/>
      <c r="G23" s="593"/>
      <c r="H23" s="593"/>
      <c r="I23" s="593"/>
      <c r="J23" s="593"/>
      <c r="K23" s="593"/>
      <c r="L23" s="593"/>
      <c r="M23" s="593"/>
      <c r="N23" s="593"/>
      <c r="O23" s="593"/>
      <c r="P23" s="593"/>
      <c r="Q23" s="593"/>
      <c r="R23" s="593"/>
      <c r="S23" s="593"/>
      <c r="T23" s="593"/>
      <c r="U23" s="593"/>
      <c r="V23" s="593"/>
      <c r="W23" s="593"/>
      <c r="X23" s="593"/>
      <c r="Y23" s="593"/>
      <c r="Z23" s="593"/>
      <c r="AA23" s="593"/>
      <c r="AB23" s="593"/>
      <c r="AC23" s="593"/>
      <c r="AD23" s="1320"/>
      <c r="AE23" s="1321"/>
      <c r="AF23" s="593"/>
      <c r="AG23" s="593"/>
      <c r="AH23" s="57"/>
    </row>
    <row r="24" spans="1:39">
      <c r="A24" s="4317"/>
      <c r="B24" s="56" t="s">
        <v>87</v>
      </c>
      <c r="C24" s="56" t="s">
        <v>88</v>
      </c>
      <c r="D24" s="56"/>
      <c r="E24" s="593"/>
      <c r="F24" s="593"/>
      <c r="G24" s="593"/>
      <c r="H24" s="593"/>
      <c r="I24" s="4294" t="s">
        <v>318</v>
      </c>
      <c r="J24" s="4294"/>
      <c r="K24" s="4294"/>
      <c r="L24" s="4294"/>
      <c r="M24" s="4294"/>
      <c r="N24" s="593"/>
      <c r="O24" s="593"/>
      <c r="P24" s="593"/>
      <c r="Q24" s="593"/>
      <c r="R24" s="593"/>
      <c r="S24" s="593"/>
      <c r="T24" s="593"/>
      <c r="U24" s="593"/>
      <c r="V24" s="593"/>
      <c r="W24" s="593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</row>
    <row r="25" spans="1:39">
      <c r="A25" s="4317"/>
      <c r="B25" s="56" t="s">
        <v>90</v>
      </c>
      <c r="C25" s="56" t="s">
        <v>91</v>
      </c>
      <c r="D25" s="4290" t="s">
        <v>280</v>
      </c>
      <c r="E25" s="4290"/>
      <c r="F25" s="4290"/>
      <c r="G25" s="4290"/>
      <c r="H25" s="4290"/>
      <c r="I25" s="4290"/>
      <c r="J25" s="4290"/>
      <c r="K25" s="4290"/>
      <c r="L25" s="4290"/>
      <c r="M25" s="4290"/>
      <c r="N25" s="4290"/>
      <c r="O25" s="4290"/>
      <c r="P25" s="1273"/>
      <c r="Q25" s="1273"/>
      <c r="R25" s="1273"/>
      <c r="S25" s="1273"/>
      <c r="T25" s="1273"/>
      <c r="U25" s="1273"/>
      <c r="V25" s="1273"/>
      <c r="W25" s="593"/>
      <c r="X25" s="56"/>
      <c r="Y25" s="56"/>
      <c r="Z25" s="56"/>
      <c r="AA25" s="56"/>
      <c r="AB25" s="1273"/>
      <c r="AC25" s="1273"/>
      <c r="AD25" s="1273"/>
      <c r="AE25" s="1273"/>
      <c r="AF25" s="24"/>
      <c r="AG25" s="24"/>
      <c r="AH25" s="24"/>
    </row>
    <row r="26" spans="1:39" ht="15.75" customHeight="1">
      <c r="A26" s="4317" t="s">
        <v>92</v>
      </c>
      <c r="B26" s="1274" t="s">
        <v>95</v>
      </c>
      <c r="C26" s="86" t="s">
        <v>243</v>
      </c>
      <c r="D26" s="56"/>
      <c r="E26" s="56"/>
      <c r="F26" s="3578" t="s">
        <v>312</v>
      </c>
      <c r="G26" s="56"/>
      <c r="H26" s="56"/>
      <c r="I26" s="4294" t="s">
        <v>318</v>
      </c>
      <c r="J26" s="4294"/>
      <c r="K26" s="4294"/>
      <c r="L26" s="4294"/>
      <c r="M26" s="4294"/>
      <c r="N26" s="593"/>
      <c r="O26" s="593"/>
      <c r="P26" s="593"/>
      <c r="Q26" s="593"/>
      <c r="R26" s="1273"/>
      <c r="S26" s="1273"/>
      <c r="U26" s="1273"/>
      <c r="V26" s="593"/>
      <c r="W26" s="610" t="s">
        <v>55</v>
      </c>
      <c r="X26" s="4292" t="s">
        <v>310</v>
      </c>
      <c r="Y26" s="4292"/>
      <c r="Z26" s="610" t="s">
        <v>55</v>
      </c>
      <c r="AA26" s="2"/>
      <c r="AB26" s="2"/>
      <c r="AC26" s="56"/>
      <c r="AD26" s="56"/>
      <c r="AE26" s="56"/>
      <c r="AF26" s="56"/>
      <c r="AG26" s="56"/>
      <c r="AH26" s="56"/>
    </row>
    <row r="27" spans="1:39" ht="15.75" customHeight="1">
      <c r="A27" s="4317"/>
      <c r="B27" s="1274" t="s">
        <v>326</v>
      </c>
      <c r="C27" s="86" t="s">
        <v>327</v>
      </c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</row>
    <row r="28" spans="1:39" ht="15.75" customHeight="1">
      <c r="A28" s="4317"/>
      <c r="B28" s="1274" t="s">
        <v>97</v>
      </c>
      <c r="C28" s="86" t="s">
        <v>98</v>
      </c>
      <c r="D28" s="57"/>
      <c r="E28" s="594"/>
      <c r="F28" s="594"/>
      <c r="G28" s="593"/>
      <c r="H28" s="593"/>
      <c r="I28" s="593"/>
      <c r="J28" s="593"/>
      <c r="K28" s="593"/>
      <c r="L28" s="593"/>
      <c r="M28" s="593"/>
      <c r="N28" s="593"/>
      <c r="O28" s="593"/>
      <c r="P28" s="593"/>
      <c r="Q28" s="593"/>
      <c r="R28" s="593"/>
      <c r="S28" s="593"/>
      <c r="T28" s="593"/>
      <c r="U28" s="593"/>
      <c r="V28" s="593"/>
      <c r="W28" s="593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</row>
    <row r="29" spans="1:39">
      <c r="A29" s="4317" t="s">
        <v>99</v>
      </c>
      <c r="B29" s="56" t="s">
        <v>100</v>
      </c>
      <c r="C29" s="56" t="s">
        <v>101</v>
      </c>
      <c r="D29" s="57"/>
      <c r="E29" s="594"/>
      <c r="F29" s="594"/>
      <c r="G29" s="594"/>
      <c r="H29" s="594"/>
      <c r="I29" s="594"/>
      <c r="J29" s="593"/>
      <c r="K29" s="593"/>
      <c r="L29" s="593"/>
      <c r="M29" s="593"/>
      <c r="N29" s="593"/>
      <c r="O29" s="593"/>
      <c r="P29" s="593"/>
      <c r="Q29" s="593"/>
      <c r="R29" s="593"/>
      <c r="S29" s="1475"/>
      <c r="T29" s="1273"/>
      <c r="U29" s="593"/>
      <c r="V29" s="593"/>
      <c r="W29" s="593"/>
      <c r="X29" s="521" t="s">
        <v>312</v>
      </c>
      <c r="Y29" s="521"/>
      <c r="Z29" s="56"/>
      <c r="AA29" s="816"/>
      <c r="AB29" s="816"/>
      <c r="AC29" s="816"/>
      <c r="AD29" s="56"/>
      <c r="AE29" s="56"/>
      <c r="AF29" s="24"/>
      <c r="AG29" s="24"/>
      <c r="AH29" s="24"/>
    </row>
    <row r="30" spans="1:39">
      <c r="A30" s="4317"/>
      <c r="B30" s="56" t="s">
        <v>77</v>
      </c>
      <c r="C30" s="56" t="s">
        <v>102</v>
      </c>
      <c r="D30" s="57"/>
      <c r="E30" s="594"/>
      <c r="F30" s="594"/>
      <c r="G30" s="594"/>
      <c r="H30" s="594"/>
      <c r="I30" s="594"/>
      <c r="J30" s="594"/>
      <c r="K30" s="594"/>
      <c r="L30" s="593"/>
      <c r="M30" s="593"/>
      <c r="N30" s="593"/>
      <c r="O30" s="593"/>
      <c r="P30" s="593"/>
      <c r="Q30" s="593"/>
      <c r="R30" s="593"/>
      <c r="S30" s="593"/>
      <c r="T30" s="593"/>
      <c r="U30" s="593"/>
      <c r="V30" s="2"/>
      <c r="W30" s="2"/>
      <c r="X30" s="2"/>
      <c r="Y30" s="2"/>
      <c r="Z30" s="1295"/>
      <c r="AA30" s="4330" t="s">
        <v>242</v>
      </c>
      <c r="AB30" s="4331"/>
      <c r="AC30" s="4332"/>
      <c r="AD30" s="518"/>
      <c r="AE30" s="56"/>
      <c r="AF30" s="56"/>
      <c r="AG30" s="56"/>
      <c r="AH30" s="56"/>
    </row>
    <row r="31" spans="1:39" ht="15.75">
      <c r="A31" s="4317"/>
      <c r="B31" s="56" t="s">
        <v>95</v>
      </c>
      <c r="C31" s="56" t="s">
        <v>245</v>
      </c>
      <c r="D31" s="57"/>
      <c r="E31" s="594"/>
      <c r="F31" s="594"/>
      <c r="G31" s="594"/>
      <c r="H31" s="594"/>
      <c r="I31" s="1098" t="s">
        <v>319</v>
      </c>
      <c r="J31" s="594"/>
      <c r="K31" s="594"/>
      <c r="L31" s="593"/>
      <c r="M31" s="593"/>
      <c r="N31" s="593"/>
      <c r="O31" s="593"/>
      <c r="P31" s="1475"/>
      <c r="Q31" s="1475"/>
      <c r="R31" s="1475"/>
      <c r="S31" s="1475"/>
      <c r="T31" s="1475"/>
      <c r="U31" s="875"/>
      <c r="V31" s="610" t="s">
        <v>55</v>
      </c>
      <c r="W31" s="4291" t="s">
        <v>323</v>
      </c>
      <c r="X31" s="4291"/>
      <c r="Y31" s="4291"/>
      <c r="Z31" s="4291"/>
      <c r="AA31" s="4320"/>
      <c r="AB31" s="811" t="s">
        <v>55</v>
      </c>
      <c r="AC31" s="266"/>
      <c r="AD31" s="56"/>
      <c r="AE31" s="56"/>
      <c r="AF31" s="56"/>
      <c r="AG31" s="56"/>
      <c r="AH31" s="56"/>
    </row>
    <row r="32" spans="1:39" ht="15.75">
      <c r="A32" s="4317"/>
      <c r="B32" s="56" t="s">
        <v>95</v>
      </c>
      <c r="C32" s="56" t="s">
        <v>105</v>
      </c>
      <c r="D32" s="57"/>
      <c r="E32" s="594"/>
      <c r="F32" s="594"/>
      <c r="G32" s="593"/>
      <c r="H32" s="593"/>
      <c r="I32" s="3587" t="s">
        <v>319</v>
      </c>
      <c r="J32" s="593"/>
      <c r="K32" s="593"/>
      <c r="L32" s="593"/>
      <c r="M32" s="593"/>
      <c r="N32" s="593"/>
      <c r="O32" s="593"/>
      <c r="P32" s="593"/>
      <c r="Q32" s="593"/>
      <c r="R32" s="593"/>
      <c r="S32" s="593"/>
      <c r="T32" s="593"/>
      <c r="U32" s="593"/>
      <c r="V32" s="610" t="s">
        <v>55</v>
      </c>
      <c r="W32" s="4291" t="s">
        <v>323</v>
      </c>
      <c r="X32" s="4291"/>
      <c r="Y32" s="4291"/>
      <c r="Z32" s="4291"/>
      <c r="AA32" s="4291"/>
      <c r="AB32" s="610" t="s">
        <v>55</v>
      </c>
      <c r="AC32" s="56"/>
      <c r="AD32" s="56"/>
      <c r="AE32" s="56"/>
      <c r="AF32" s="56"/>
      <c r="AG32" s="56"/>
      <c r="AH32" s="1296"/>
    </row>
    <row r="33" spans="1:34" ht="15.75">
      <c r="A33" s="4317"/>
      <c r="B33" s="56" t="s">
        <v>106</v>
      </c>
      <c r="C33" s="56" t="s">
        <v>107</v>
      </c>
      <c r="D33" s="57"/>
      <c r="E33" s="594"/>
      <c r="F33" s="594"/>
      <c r="G33" s="56"/>
      <c r="H33" s="56"/>
      <c r="I33" s="59"/>
      <c r="J33" s="59"/>
      <c r="K33" s="59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610" t="s">
        <v>55</v>
      </c>
      <c r="W33" s="4291" t="s">
        <v>323</v>
      </c>
      <c r="X33" s="4291"/>
      <c r="Y33" s="4291"/>
      <c r="Z33" s="4291"/>
      <c r="AA33" s="4291"/>
      <c r="AB33" s="610" t="s">
        <v>55</v>
      </c>
      <c r="AC33" s="56"/>
      <c r="AD33" s="56"/>
      <c r="AE33" s="56"/>
      <c r="AF33" s="56"/>
      <c r="AG33" s="56"/>
      <c r="AH33" s="1294" t="s">
        <v>70</v>
      </c>
    </row>
    <row r="34" spans="1:34">
      <c r="A34" s="4317"/>
      <c r="B34" s="56" t="s">
        <v>108</v>
      </c>
      <c r="C34" s="56" t="s">
        <v>109</v>
      </c>
      <c r="D34" s="57"/>
      <c r="E34" s="594"/>
      <c r="F34" s="594"/>
      <c r="G34" s="57"/>
      <c r="H34" s="57"/>
      <c r="I34" s="57"/>
      <c r="J34" s="57"/>
      <c r="K34" s="57"/>
      <c r="L34" s="56"/>
      <c r="M34" s="56"/>
      <c r="N34" s="56"/>
      <c r="O34" s="56"/>
      <c r="P34" s="60"/>
      <c r="Q34" s="60"/>
      <c r="R34" s="60"/>
      <c r="S34" s="60"/>
      <c r="T34" s="60"/>
      <c r="U34" s="56"/>
      <c r="V34" s="1273"/>
      <c r="W34" s="593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</row>
    <row r="35" spans="1:34" ht="15.75">
      <c r="A35" s="4335" t="s">
        <v>110</v>
      </c>
      <c r="B35" s="369" t="s">
        <v>283</v>
      </c>
      <c r="C35" s="369" t="s">
        <v>201</v>
      </c>
      <c r="D35" s="57"/>
      <c r="E35" s="4321" t="s">
        <v>328</v>
      </c>
      <c r="F35" s="4322"/>
      <c r="G35" s="4322"/>
      <c r="H35" s="4322"/>
      <c r="I35" s="4322"/>
      <c r="J35" s="4322"/>
      <c r="K35" s="4322"/>
      <c r="L35" s="4322"/>
      <c r="M35" s="4322"/>
      <c r="N35" s="4322"/>
      <c r="O35" s="4322"/>
      <c r="P35" s="4322"/>
      <c r="Q35" s="4322"/>
      <c r="R35" s="4322"/>
      <c r="S35" s="4322"/>
      <c r="T35" s="4322"/>
      <c r="U35" s="4322"/>
      <c r="V35" s="4322"/>
      <c r="W35" s="4322"/>
      <c r="X35" s="4322"/>
      <c r="Y35" s="4322"/>
      <c r="Z35" s="4322"/>
      <c r="AA35" s="4322"/>
      <c r="AB35" s="4322"/>
      <c r="AC35" s="4322"/>
      <c r="AD35" s="4323"/>
      <c r="AE35" s="56"/>
      <c r="AF35" s="56"/>
      <c r="AG35" s="56"/>
      <c r="AH35" s="56"/>
    </row>
    <row r="36" spans="1:34" ht="15.75">
      <c r="A36" s="4335"/>
      <c r="B36" s="369" t="s">
        <v>95</v>
      </c>
      <c r="C36" s="86" t="s">
        <v>249</v>
      </c>
      <c r="D36" s="56"/>
      <c r="E36" s="4321" t="s">
        <v>328</v>
      </c>
      <c r="F36" s="4322"/>
      <c r="G36" s="4322"/>
      <c r="H36" s="4322"/>
      <c r="I36" s="4322"/>
      <c r="J36" s="4322"/>
      <c r="K36" s="4322"/>
      <c r="L36" s="4322"/>
      <c r="M36" s="4322"/>
      <c r="N36" s="4322"/>
      <c r="O36" s="4322"/>
      <c r="P36" s="4322"/>
      <c r="Q36" s="4322"/>
      <c r="R36" s="4322"/>
      <c r="S36" s="4322"/>
      <c r="T36" s="4322"/>
      <c r="U36" s="4322"/>
      <c r="V36" s="4322"/>
      <c r="W36" s="4322"/>
      <c r="X36" s="4322"/>
      <c r="Y36" s="4322"/>
      <c r="Z36" s="4322"/>
      <c r="AA36" s="4322"/>
      <c r="AB36" s="4322"/>
      <c r="AC36" s="4322"/>
      <c r="AD36" s="4323"/>
      <c r="AE36" s="56"/>
      <c r="AF36" s="56"/>
      <c r="AG36" s="56"/>
      <c r="AH36" s="56"/>
    </row>
    <row r="37" spans="1:34" ht="15.75">
      <c r="A37" s="4335"/>
      <c r="B37" s="56" t="s">
        <v>113</v>
      </c>
      <c r="C37" s="1275" t="s">
        <v>114</v>
      </c>
      <c r="D37" s="891"/>
      <c r="E37" s="891"/>
      <c r="F37" s="266"/>
      <c r="G37" s="266"/>
      <c r="H37" s="266"/>
      <c r="I37" s="266"/>
      <c r="J37" s="266"/>
      <c r="K37" s="56"/>
      <c r="L37" s="56"/>
      <c r="M37" s="56"/>
      <c r="N37" s="56"/>
      <c r="O37" s="62"/>
      <c r="P37" s="62"/>
      <c r="Q37" s="62"/>
      <c r="R37" s="4344" t="s">
        <v>329</v>
      </c>
      <c r="S37" s="4345"/>
      <c r="T37" s="4345"/>
      <c r="U37" s="4345"/>
      <c r="V37" s="4345"/>
      <c r="W37" s="4345"/>
      <c r="X37" s="4345"/>
      <c r="Y37" s="4345"/>
      <c r="Z37" s="4345"/>
      <c r="AA37" s="4346"/>
      <c r="AB37" s="1266"/>
      <c r="AC37" s="1278" t="s">
        <v>55</v>
      </c>
      <c r="AD37" s="4327" t="s">
        <v>330</v>
      </c>
      <c r="AE37" s="4328"/>
      <c r="AF37" s="4328"/>
      <c r="AG37" s="4328"/>
      <c r="AH37" s="4329"/>
    </row>
    <row r="38" spans="1:34">
      <c r="A38" s="4335"/>
      <c r="B38" s="56" t="s">
        <v>113</v>
      </c>
      <c r="C38" s="56" t="s">
        <v>116</v>
      </c>
      <c r="D38" s="57"/>
      <c r="E38" s="4321" t="s">
        <v>328</v>
      </c>
      <c r="F38" s="4322"/>
      <c r="G38" s="4322"/>
      <c r="H38" s="4322"/>
      <c r="I38" s="4322"/>
      <c r="J38" s="4322"/>
      <c r="K38" s="4322"/>
      <c r="L38" s="4322"/>
      <c r="M38" s="4322"/>
      <c r="N38" s="4322"/>
      <c r="O38" s="4322"/>
      <c r="P38" s="4322"/>
      <c r="Q38" s="4322"/>
      <c r="R38" s="4322"/>
      <c r="S38" s="4322"/>
      <c r="T38" s="4322"/>
      <c r="U38" s="4322"/>
      <c r="V38" s="4322"/>
      <c r="W38" s="4322"/>
      <c r="X38" s="4322"/>
      <c r="Y38" s="4322"/>
      <c r="Z38" s="4322"/>
      <c r="AA38" s="4322"/>
      <c r="AB38" s="4322"/>
      <c r="AC38" s="4322"/>
      <c r="AD38" s="4323"/>
      <c r="AE38" s="57"/>
      <c r="AF38" s="57"/>
      <c r="AG38" s="57"/>
      <c r="AH38" s="57"/>
    </row>
    <row r="39" spans="1:34">
      <c r="A39" s="4335"/>
      <c r="B39" s="56" t="s">
        <v>118</v>
      </c>
      <c r="C39" s="56" t="s">
        <v>119</v>
      </c>
      <c r="D39" s="57"/>
      <c r="E39" s="4321" t="s">
        <v>328</v>
      </c>
      <c r="F39" s="4322"/>
      <c r="G39" s="4322"/>
      <c r="H39" s="4322"/>
      <c r="I39" s="4322"/>
      <c r="J39" s="4322"/>
      <c r="K39" s="4322"/>
      <c r="L39" s="4322"/>
      <c r="M39" s="4322"/>
      <c r="N39" s="4322"/>
      <c r="O39" s="4322"/>
      <c r="P39" s="4322"/>
      <c r="Q39" s="4322"/>
      <c r="R39" s="4322"/>
      <c r="S39" s="4322"/>
      <c r="T39" s="4322"/>
      <c r="U39" s="4322"/>
      <c r="V39" s="4322"/>
      <c r="W39" s="4322"/>
      <c r="X39" s="4322"/>
      <c r="Y39" s="4322"/>
      <c r="Z39" s="4322"/>
      <c r="AA39" s="4322"/>
      <c r="AB39" s="4322"/>
      <c r="AC39" s="4322"/>
      <c r="AD39" s="4323"/>
      <c r="AE39" s="57"/>
      <c r="AF39" s="57"/>
      <c r="AG39" s="57"/>
      <c r="AH39" s="57"/>
    </row>
    <row r="40" spans="1:34">
      <c r="A40" s="4335"/>
      <c r="B40" s="56" t="s">
        <v>120</v>
      </c>
      <c r="C40" s="56" t="s">
        <v>121</v>
      </c>
      <c r="D40" s="57"/>
      <c r="E40" s="4321" t="s">
        <v>331</v>
      </c>
      <c r="F40" s="4322"/>
      <c r="G40" s="4322"/>
      <c r="H40" s="4322"/>
      <c r="I40" s="4322"/>
      <c r="J40" s="4322"/>
      <c r="K40" s="4322"/>
      <c r="L40" s="4322"/>
      <c r="M40" s="4322"/>
      <c r="N40" s="4322"/>
      <c r="O40" s="4322"/>
      <c r="P40" s="4322"/>
      <c r="Q40" s="4322"/>
      <c r="R40" s="4322"/>
      <c r="S40" s="4322"/>
      <c r="T40" s="4322"/>
      <c r="U40" s="4322"/>
      <c r="V40" s="4322"/>
      <c r="W40" s="4322"/>
      <c r="X40" s="4322"/>
      <c r="Y40" s="4323"/>
      <c r="Z40" s="57"/>
      <c r="AA40" s="57"/>
      <c r="AB40" s="57"/>
      <c r="AC40" s="57"/>
      <c r="AD40" s="57"/>
      <c r="AE40" s="57"/>
      <c r="AF40" s="57"/>
      <c r="AG40" s="57"/>
      <c r="AH40" s="57"/>
    </row>
    <row r="41" spans="1:34">
      <c r="A41" s="4335"/>
      <c r="B41" s="56" t="s">
        <v>122</v>
      </c>
      <c r="C41" s="56" t="s">
        <v>123</v>
      </c>
      <c r="D41" s="57"/>
      <c r="E41" s="4321" t="s">
        <v>331</v>
      </c>
      <c r="F41" s="4322"/>
      <c r="G41" s="4322"/>
      <c r="H41" s="4322"/>
      <c r="I41" s="4322"/>
      <c r="J41" s="4322"/>
      <c r="K41" s="4322"/>
      <c r="L41" s="4322"/>
      <c r="M41" s="4322"/>
      <c r="N41" s="4322"/>
      <c r="O41" s="4322"/>
      <c r="P41" s="4322"/>
      <c r="Q41" s="4322"/>
      <c r="R41" s="4322"/>
      <c r="S41" s="4322"/>
      <c r="T41" s="4322"/>
      <c r="U41" s="4322"/>
      <c r="V41" s="4322"/>
      <c r="W41" s="4322"/>
      <c r="X41" s="4322"/>
      <c r="Y41" s="4323"/>
      <c r="Z41" s="1285"/>
      <c r="AA41" s="1285"/>
      <c r="AB41" s="594"/>
      <c r="AC41" s="594"/>
      <c r="AD41" s="594"/>
      <c r="AE41" s="594"/>
      <c r="AF41" s="594"/>
      <c r="AG41" s="594"/>
      <c r="AH41" s="594"/>
    </row>
    <row r="42" spans="1:34">
      <c r="A42" s="4335"/>
      <c r="B42" s="56" t="s">
        <v>124</v>
      </c>
      <c r="C42" s="56" t="s">
        <v>125</v>
      </c>
      <c r="D42" s="4290" t="s">
        <v>292</v>
      </c>
      <c r="E42" s="4290"/>
      <c r="F42" s="4290"/>
      <c r="G42" s="4290"/>
      <c r="H42" s="4290"/>
      <c r="I42" s="1187"/>
      <c r="J42" s="1187"/>
      <c r="K42" s="57"/>
      <c r="L42" s="56"/>
      <c r="M42" s="593"/>
      <c r="N42" s="593"/>
      <c r="O42" s="596"/>
      <c r="P42" s="596"/>
      <c r="Q42" s="593"/>
      <c r="R42" s="593"/>
      <c r="S42" s="593"/>
      <c r="T42" s="593"/>
      <c r="U42" s="593"/>
      <c r="V42" s="4324" t="s">
        <v>332</v>
      </c>
      <c r="W42" s="4325"/>
      <c r="X42" s="4325"/>
      <c r="Y42" s="4325"/>
      <c r="Z42" s="4325"/>
      <c r="AA42" s="4325"/>
      <c r="AB42" s="4325"/>
      <c r="AC42" s="4325"/>
      <c r="AD42" s="4326"/>
      <c r="AE42" s="596"/>
      <c r="AF42" s="596"/>
      <c r="AG42" s="596"/>
      <c r="AH42" s="596"/>
    </row>
    <row r="43" spans="1:34">
      <c r="A43" s="4335"/>
      <c r="B43" s="56" t="s">
        <v>124</v>
      </c>
      <c r="C43" s="56" t="s">
        <v>126</v>
      </c>
      <c r="D43" s="57"/>
      <c r="E43" s="57"/>
      <c r="F43" s="57"/>
      <c r="G43" s="57"/>
      <c r="H43" s="57"/>
      <c r="I43" s="57"/>
      <c r="J43" s="57"/>
      <c r="K43" s="57"/>
      <c r="L43" s="56"/>
      <c r="M43" s="593"/>
      <c r="N43" s="593"/>
      <c r="O43" s="596"/>
      <c r="P43" s="596"/>
      <c r="Q43" s="593"/>
      <c r="R43" s="593"/>
      <c r="S43" s="593"/>
      <c r="T43" s="593"/>
      <c r="U43" s="593"/>
      <c r="V43" s="596"/>
      <c r="W43" s="1286"/>
      <c r="X43" s="1286"/>
      <c r="Y43" s="1286"/>
      <c r="Z43" s="1286"/>
      <c r="AA43" s="1286"/>
      <c r="AB43" s="596"/>
      <c r="AC43" s="596"/>
      <c r="AD43" s="596"/>
      <c r="AE43" s="596"/>
      <c r="AF43" s="596"/>
      <c r="AG43" s="596"/>
      <c r="AH43" s="596"/>
    </row>
    <row r="44" spans="1:34" ht="15" customHeight="1">
      <c r="A44" s="4335"/>
      <c r="B44" s="56" t="s">
        <v>127</v>
      </c>
      <c r="C44" s="56" t="s">
        <v>128</v>
      </c>
      <c r="D44" s="57"/>
      <c r="E44" s="4321" t="s">
        <v>331</v>
      </c>
      <c r="F44" s="4322"/>
      <c r="G44" s="4322"/>
      <c r="H44" s="4322"/>
      <c r="I44" s="4322"/>
      <c r="J44" s="4322"/>
      <c r="K44" s="4322"/>
      <c r="L44" s="4322"/>
      <c r="M44" s="4322"/>
      <c r="N44" s="4322"/>
      <c r="O44" s="4322"/>
      <c r="P44" s="4322"/>
      <c r="Q44" s="4322"/>
      <c r="R44" s="4322"/>
      <c r="S44" s="4322"/>
      <c r="T44" s="4322"/>
      <c r="U44" s="4322"/>
      <c r="V44" s="4322"/>
      <c r="W44" s="4322"/>
      <c r="X44" s="4322"/>
      <c r="Y44" s="4323"/>
      <c r="Z44" s="1287"/>
      <c r="AA44" s="601"/>
      <c r="AB44" s="593"/>
      <c r="AC44" s="593"/>
      <c r="AD44" s="593"/>
      <c r="AE44" s="593"/>
      <c r="AF44" s="596"/>
      <c r="AG44" s="596"/>
      <c r="AH44" s="596"/>
    </row>
    <row r="45" spans="1:34">
      <c r="A45" s="4335"/>
      <c r="B45" s="56" t="s">
        <v>129</v>
      </c>
      <c r="C45" s="56" t="s">
        <v>130</v>
      </c>
      <c r="D45" s="57"/>
      <c r="E45" s="57"/>
      <c r="F45" s="943"/>
      <c r="G45" s="943"/>
      <c r="H45" s="943"/>
      <c r="I45" s="943"/>
      <c r="J45" s="943"/>
      <c r="K45" s="57"/>
      <c r="L45" s="56"/>
      <c r="M45" s="593"/>
      <c r="N45" s="593"/>
      <c r="O45" s="593"/>
      <c r="P45" s="594"/>
      <c r="Q45" s="594"/>
      <c r="R45" s="594"/>
      <c r="S45" s="594"/>
      <c r="T45" s="594"/>
      <c r="U45" s="594"/>
      <c r="V45" s="4324" t="s">
        <v>332</v>
      </c>
      <c r="W45" s="4325"/>
      <c r="X45" s="4325"/>
      <c r="Y45" s="4325"/>
      <c r="Z45" s="4325"/>
      <c r="AA45" s="4325"/>
      <c r="AB45" s="4325"/>
      <c r="AC45" s="4325"/>
      <c r="AD45" s="4326"/>
      <c r="AE45" s="594"/>
      <c r="AF45" s="594"/>
      <c r="AG45" s="594"/>
      <c r="AH45" s="594"/>
    </row>
    <row r="46" spans="1:34">
      <c r="A46" s="4335"/>
      <c r="B46" s="56" t="s">
        <v>134</v>
      </c>
      <c r="C46" s="56" t="s">
        <v>135</v>
      </c>
      <c r="D46" s="56"/>
      <c r="E46" s="4321" t="s">
        <v>331</v>
      </c>
      <c r="F46" s="4322"/>
      <c r="G46" s="4322"/>
      <c r="H46" s="4322"/>
      <c r="I46" s="4322"/>
      <c r="J46" s="4322"/>
      <c r="K46" s="4322"/>
      <c r="L46" s="4322"/>
      <c r="M46" s="4322"/>
      <c r="N46" s="4322"/>
      <c r="O46" s="4322"/>
      <c r="P46" s="4322"/>
      <c r="Q46" s="4322"/>
      <c r="R46" s="4322"/>
      <c r="S46" s="4322"/>
      <c r="T46" s="4322"/>
      <c r="U46" s="4322"/>
      <c r="V46" s="4322"/>
      <c r="W46" s="4322"/>
      <c r="X46" s="4322"/>
      <c r="Y46" s="4323"/>
      <c r="Z46" s="600"/>
      <c r="AA46" s="600"/>
      <c r="AB46" s="593"/>
      <c r="AC46" s="593"/>
      <c r="AD46" s="593"/>
      <c r="AE46" s="593"/>
      <c r="AF46" s="593"/>
      <c r="AG46" s="593"/>
      <c r="AH46" s="593"/>
    </row>
    <row r="47" spans="1:34">
      <c r="A47" s="4335"/>
      <c r="B47" s="56" t="s">
        <v>333</v>
      </c>
      <c r="C47" s="56" t="s">
        <v>334</v>
      </c>
      <c r="D47" s="320"/>
      <c r="E47" s="320"/>
      <c r="F47" s="320"/>
      <c r="G47" s="56"/>
      <c r="H47" s="56"/>
      <c r="I47" s="56"/>
      <c r="J47" s="56"/>
      <c r="K47" s="56"/>
      <c r="L47" s="56"/>
      <c r="M47" s="593"/>
      <c r="N47" s="593"/>
      <c r="O47" s="593"/>
      <c r="P47" s="593"/>
      <c r="Q47" s="593"/>
      <c r="R47" s="593"/>
      <c r="S47" s="593"/>
      <c r="T47" s="593"/>
      <c r="U47" s="593"/>
      <c r="V47" s="593"/>
      <c r="W47" s="593"/>
      <c r="X47" s="593"/>
      <c r="Y47" s="593"/>
      <c r="Z47" s="593"/>
      <c r="AA47" s="593"/>
      <c r="AB47" s="593"/>
      <c r="AC47" s="593"/>
      <c r="AD47" s="593"/>
      <c r="AE47" s="593"/>
      <c r="AF47" s="593"/>
      <c r="AG47" s="593"/>
      <c r="AH47" s="593"/>
    </row>
    <row r="48" spans="1:34" ht="15.75" customHeight="1">
      <c r="A48" s="4335"/>
      <c r="B48" s="56" t="s">
        <v>131</v>
      </c>
      <c r="C48" s="56" t="s">
        <v>132</v>
      </c>
      <c r="D48" s="57"/>
      <c r="E48" s="57"/>
      <c r="F48" s="57"/>
      <c r="G48" s="57"/>
      <c r="H48" s="57"/>
      <c r="I48" s="57"/>
      <c r="J48" s="57"/>
      <c r="K48" s="57"/>
      <c r="L48" s="56"/>
      <c r="M48" s="593"/>
      <c r="N48" s="593"/>
      <c r="O48" s="593"/>
      <c r="P48" s="594"/>
      <c r="Q48" s="594"/>
      <c r="R48" s="593"/>
      <c r="S48" s="593"/>
      <c r="T48" s="593"/>
      <c r="U48" s="593"/>
      <c r="V48" s="594" t="s">
        <v>335</v>
      </c>
      <c r="W48" s="610" t="s">
        <v>55</v>
      </c>
      <c r="X48" s="4292" t="s">
        <v>310</v>
      </c>
      <c r="Y48" s="4292"/>
      <c r="Z48" s="3873" t="s">
        <v>336</v>
      </c>
      <c r="AA48" s="3874"/>
      <c r="AB48" s="3874"/>
      <c r="AC48" s="3926"/>
      <c r="AD48" s="610" t="s">
        <v>55</v>
      </c>
      <c r="AE48" s="596"/>
      <c r="AF48" s="596"/>
      <c r="AG48" s="596"/>
      <c r="AH48" s="596"/>
    </row>
    <row r="49" spans="1:37" ht="15.75">
      <c r="A49" s="4317" t="s">
        <v>136</v>
      </c>
      <c r="B49" s="56" t="s">
        <v>77</v>
      </c>
      <c r="C49" s="56" t="s">
        <v>137</v>
      </c>
      <c r="D49" s="57"/>
      <c r="E49" s="57"/>
      <c r="F49" s="57"/>
      <c r="G49" s="61"/>
      <c r="H49" s="61"/>
      <c r="I49" s="1098" t="s">
        <v>319</v>
      </c>
      <c r="J49" s="61"/>
      <c r="K49" s="61"/>
      <c r="L49" s="56"/>
      <c r="M49" s="593"/>
      <c r="N49" s="593"/>
      <c r="O49" s="593"/>
      <c r="P49" s="593"/>
      <c r="Q49" s="593"/>
      <c r="R49" s="593"/>
      <c r="S49" s="593"/>
      <c r="T49" s="593"/>
      <c r="U49" s="593"/>
      <c r="V49" s="610" t="s">
        <v>55</v>
      </c>
      <c r="W49" s="4291" t="s">
        <v>323</v>
      </c>
      <c r="X49" s="4291"/>
      <c r="Y49" s="4291"/>
      <c r="Z49" s="4291"/>
      <c r="AA49" s="4291"/>
      <c r="AB49" s="610" t="s">
        <v>55</v>
      </c>
      <c r="AC49" s="610" t="s">
        <v>55</v>
      </c>
      <c r="AD49" s="4296" t="s">
        <v>321</v>
      </c>
      <c r="AE49" s="4296"/>
      <c r="AF49" s="4296"/>
      <c r="AG49" s="4296"/>
      <c r="AH49" s="4296"/>
    </row>
    <row r="50" spans="1:37" ht="15.75">
      <c r="A50" s="4317"/>
      <c r="B50" s="56" t="s">
        <v>95</v>
      </c>
      <c r="C50" s="56" t="s">
        <v>139</v>
      </c>
      <c r="D50" s="57"/>
      <c r="E50" s="4297" t="s">
        <v>311</v>
      </c>
      <c r="F50" s="4297"/>
      <c r="G50" s="56"/>
      <c r="H50" s="56"/>
      <c r="I50" s="1098" t="s">
        <v>319</v>
      </c>
      <c r="J50" s="59"/>
      <c r="K50" s="59"/>
      <c r="L50" s="56"/>
      <c r="M50" s="593"/>
      <c r="N50" s="593"/>
      <c r="O50" s="593"/>
      <c r="P50" s="593"/>
      <c r="Q50" s="593"/>
      <c r="R50" s="1272" t="s">
        <v>309</v>
      </c>
      <c r="S50" s="593"/>
      <c r="T50" s="593"/>
      <c r="U50" s="593"/>
      <c r="V50" s="1189"/>
      <c r="W50" s="610" t="s">
        <v>55</v>
      </c>
      <c r="X50" s="4292" t="s">
        <v>310</v>
      </c>
      <c r="Y50" s="4292"/>
      <c r="Z50" s="4343" t="s">
        <v>337</v>
      </c>
      <c r="AA50" s="4291"/>
      <c r="AB50" s="610" t="s">
        <v>55</v>
      </c>
      <c r="AC50" s="594"/>
      <c r="AD50" s="594"/>
      <c r="AE50" s="594"/>
      <c r="AF50" s="1189"/>
      <c r="AG50" s="593"/>
      <c r="AH50" s="593"/>
    </row>
    <row r="51" spans="1:37">
      <c r="A51" s="4317"/>
      <c r="B51" s="56" t="s">
        <v>142</v>
      </c>
      <c r="C51" s="56" t="s">
        <v>143</v>
      </c>
      <c r="D51" s="57"/>
      <c r="E51" s="57"/>
      <c r="F51" s="57"/>
      <c r="G51" s="57"/>
      <c r="H51" s="57"/>
      <c r="I51" s="57"/>
      <c r="J51" s="57"/>
      <c r="K51" s="57"/>
      <c r="L51" s="56"/>
      <c r="M51" s="593"/>
      <c r="N51" s="593"/>
      <c r="O51" s="593"/>
      <c r="P51" s="593"/>
      <c r="Q51" s="593"/>
      <c r="R51" s="593"/>
      <c r="S51" s="593"/>
      <c r="T51" s="593"/>
      <c r="U51" s="593"/>
      <c r="V51" s="593"/>
      <c r="W51" s="593"/>
      <c r="X51" s="593"/>
      <c r="Y51" s="593"/>
      <c r="Z51" s="593"/>
      <c r="AA51" s="593"/>
      <c r="AB51" s="593"/>
      <c r="AC51" s="593"/>
      <c r="AD51" s="593"/>
      <c r="AE51" s="593"/>
      <c r="AF51" s="593"/>
      <c r="AG51" s="593"/>
      <c r="AH51" s="593"/>
    </row>
    <row r="52" spans="1:37">
      <c r="A52" s="4317" t="s">
        <v>144</v>
      </c>
      <c r="B52" s="56" t="s">
        <v>145</v>
      </c>
      <c r="C52" s="56" t="s">
        <v>146</v>
      </c>
      <c r="D52" s="57"/>
      <c r="E52" s="57"/>
      <c r="F52" s="57"/>
      <c r="G52" s="56"/>
      <c r="H52" s="56"/>
      <c r="I52" s="56"/>
      <c r="J52" s="56"/>
      <c r="K52" s="56"/>
      <c r="L52" s="56"/>
      <c r="M52" s="593"/>
      <c r="N52" s="593"/>
      <c r="O52" s="593"/>
      <c r="P52" s="593"/>
      <c r="Q52" s="593"/>
      <c r="R52" s="593"/>
      <c r="S52" s="613"/>
      <c r="T52" s="613"/>
      <c r="U52" s="593"/>
      <c r="V52" s="593"/>
      <c r="W52" s="593"/>
      <c r="X52" s="593"/>
      <c r="Y52" s="593"/>
      <c r="Z52" s="593"/>
      <c r="AA52" s="2226"/>
      <c r="AB52" s="2226"/>
      <c r="AC52" s="2226"/>
      <c r="AD52" s="2226"/>
      <c r="AE52" s="593"/>
      <c r="AF52" s="593"/>
      <c r="AG52" s="593"/>
      <c r="AH52" s="593"/>
    </row>
    <row r="53" spans="1:37" ht="15.75">
      <c r="A53" s="4317"/>
      <c r="B53" s="56" t="s">
        <v>145</v>
      </c>
      <c r="C53" s="56" t="s">
        <v>148</v>
      </c>
      <c r="D53" s="56"/>
      <c r="E53" s="56"/>
      <c r="F53" s="56"/>
      <c r="G53" s="56"/>
      <c r="H53" s="56"/>
      <c r="I53" s="4294" t="s">
        <v>318</v>
      </c>
      <c r="J53" s="4294"/>
      <c r="K53" s="4294"/>
      <c r="L53" s="4294"/>
      <c r="M53" s="4294"/>
      <c r="N53" s="593"/>
      <c r="O53" s="593"/>
      <c r="P53" s="593"/>
      <c r="Q53" s="593"/>
      <c r="R53" s="593"/>
      <c r="S53" s="593"/>
      <c r="T53" s="593"/>
      <c r="U53" s="593"/>
      <c r="V53" s="610" t="s">
        <v>55</v>
      </c>
      <c r="W53" s="4291" t="s">
        <v>323</v>
      </c>
      <c r="X53" s="4291"/>
      <c r="Y53" s="4291"/>
      <c r="Z53" s="4291"/>
      <c r="AA53" s="4291"/>
      <c r="AB53" s="610" t="s">
        <v>55</v>
      </c>
      <c r="AC53" s="2226"/>
      <c r="AD53" s="4295" t="s">
        <v>338</v>
      </c>
      <c r="AE53" s="4295"/>
      <c r="AF53" s="4295"/>
      <c r="AG53" s="4295"/>
      <c r="AH53" s="4295"/>
    </row>
    <row r="54" spans="1:37" ht="15.75" customHeight="1">
      <c r="A54" s="4317"/>
      <c r="B54" s="56" t="s">
        <v>149</v>
      </c>
      <c r="C54" s="56" t="s">
        <v>150</v>
      </c>
      <c r="D54" s="56"/>
      <c r="E54" s="56"/>
      <c r="F54" s="56"/>
      <c r="G54" s="2"/>
      <c r="H54" s="56"/>
      <c r="I54" s="56"/>
      <c r="J54" s="56"/>
      <c r="K54" s="56"/>
      <c r="L54" s="56"/>
      <c r="M54" s="593"/>
      <c r="N54" s="593"/>
      <c r="O54" s="593"/>
      <c r="P54" s="593"/>
      <c r="Q54" s="593"/>
      <c r="R54" s="1272" t="s">
        <v>309</v>
      </c>
      <c r="S54" s="593"/>
      <c r="T54" s="593"/>
      <c r="U54" s="593"/>
      <c r="V54" s="593"/>
      <c r="W54" s="610" t="s">
        <v>55</v>
      </c>
      <c r="X54" s="4292" t="s">
        <v>310</v>
      </c>
      <c r="Y54" s="4292"/>
      <c r="Z54" s="3873" t="s">
        <v>336</v>
      </c>
      <c r="AA54" s="3874"/>
      <c r="AB54" s="3926"/>
      <c r="AC54" s="610" t="s">
        <v>55</v>
      </c>
      <c r="AD54" s="1189"/>
      <c r="AE54" s="593"/>
      <c r="AF54" s="593"/>
      <c r="AG54" s="593"/>
      <c r="AH54" s="593"/>
    </row>
    <row r="55" spans="1:37">
      <c r="A55" s="4317"/>
      <c r="B55" s="56" t="s">
        <v>149</v>
      </c>
      <c r="C55" s="56" t="s">
        <v>151</v>
      </c>
      <c r="D55" s="56"/>
      <c r="E55" s="4297" t="s">
        <v>311</v>
      </c>
      <c r="F55" s="4297"/>
      <c r="G55" s="56"/>
      <c r="H55" s="56"/>
      <c r="I55" s="56"/>
      <c r="J55" s="56"/>
      <c r="K55" s="56"/>
      <c r="L55" s="56"/>
      <c r="M55" s="593"/>
      <c r="N55" s="593"/>
      <c r="O55" s="593"/>
      <c r="P55" s="593"/>
      <c r="Q55" s="593"/>
      <c r="R55" s="593"/>
      <c r="S55" s="593"/>
      <c r="T55" s="593"/>
      <c r="U55" s="593"/>
      <c r="V55" s="1273"/>
      <c r="W55" s="593"/>
      <c r="X55" s="56"/>
      <c r="Y55" s="56"/>
      <c r="Z55" s="593"/>
      <c r="AA55" s="593"/>
      <c r="AB55" s="593"/>
      <c r="AC55" s="593"/>
      <c r="AD55" s="593"/>
      <c r="AE55" s="593"/>
      <c r="AF55" s="593"/>
      <c r="AG55" s="593"/>
      <c r="AH55" s="593"/>
    </row>
    <row r="56" spans="1:37" ht="15.75" customHeight="1">
      <c r="A56" s="4335" t="s">
        <v>13</v>
      </c>
      <c r="B56" s="56" t="s">
        <v>77</v>
      </c>
      <c r="C56" s="56" t="s">
        <v>153</v>
      </c>
      <c r="D56" s="57"/>
      <c r="E56" s="56"/>
      <c r="F56" s="56"/>
      <c r="G56" s="56"/>
      <c r="H56" s="56"/>
      <c r="I56" s="4294" t="s">
        <v>318</v>
      </c>
      <c r="J56" s="4294"/>
      <c r="K56" s="4294"/>
      <c r="L56" s="4294"/>
      <c r="M56" s="4294"/>
      <c r="N56" s="1276"/>
      <c r="O56" s="593"/>
      <c r="P56" s="613"/>
      <c r="Q56" s="613"/>
      <c r="R56" s="1272" t="s">
        <v>309</v>
      </c>
      <c r="S56" s="593"/>
      <c r="T56" s="593"/>
      <c r="U56" s="593"/>
      <c r="V56" s="1273"/>
      <c r="W56" s="610" t="s">
        <v>55</v>
      </c>
      <c r="X56" s="4292" t="s">
        <v>310</v>
      </c>
      <c r="Y56" s="4292"/>
      <c r="Z56" s="610" t="s">
        <v>55</v>
      </c>
      <c r="AA56" s="4293" t="s">
        <v>336</v>
      </c>
      <c r="AB56" s="4293"/>
      <c r="AC56" s="4293"/>
      <c r="AD56" s="4293"/>
      <c r="AE56" s="4293"/>
      <c r="AF56" s="4293"/>
      <c r="AG56" s="593"/>
      <c r="AH56" s="593"/>
    </row>
    <row r="57" spans="1:37" ht="15.75" customHeight="1">
      <c r="A57" s="4335"/>
      <c r="B57" s="56" t="s">
        <v>100</v>
      </c>
      <c r="C57" s="56" t="s">
        <v>78</v>
      </c>
      <c r="D57" s="56"/>
      <c r="E57" s="4297" t="s">
        <v>311</v>
      </c>
      <c r="F57" s="4297"/>
      <c r="G57" s="56"/>
      <c r="H57" s="56"/>
      <c r="I57" s="4294" t="s">
        <v>30</v>
      </c>
      <c r="J57" s="4294"/>
      <c r="K57" s="4294"/>
      <c r="L57" s="4294"/>
      <c r="M57" s="4294"/>
      <c r="N57" s="23"/>
      <c r="O57" s="23"/>
      <c r="P57" s="23"/>
      <c r="Q57" s="23"/>
      <c r="R57" s="23"/>
      <c r="S57" s="613"/>
      <c r="T57" s="4295" t="s">
        <v>339</v>
      </c>
      <c r="U57" s="4295"/>
      <c r="V57" s="4295"/>
      <c r="W57" s="4295"/>
      <c r="X57" s="4295"/>
      <c r="Y57" s="4295"/>
      <c r="Z57" s="4295"/>
      <c r="AA57" s="4295"/>
      <c r="AB57" s="4295"/>
      <c r="AC57" s="4295"/>
      <c r="AD57" s="4295"/>
      <c r="AE57" s="4295"/>
      <c r="AF57" s="4295"/>
      <c r="AG57" s="4295"/>
      <c r="AH57" s="4295"/>
    </row>
    <row r="58" spans="1:37" ht="15.75" customHeight="1">
      <c r="A58" s="4335"/>
      <c r="B58" s="56" t="s">
        <v>283</v>
      </c>
      <c r="C58" s="56" t="s">
        <v>340</v>
      </c>
      <c r="D58" s="56"/>
      <c r="E58" s="56"/>
      <c r="F58" s="56"/>
      <c r="G58" s="56"/>
      <c r="H58" s="56"/>
      <c r="I58" s="4294" t="s">
        <v>318</v>
      </c>
      <c r="J58" s="4294"/>
      <c r="K58" s="4294"/>
      <c r="L58" s="4294"/>
      <c r="M58" s="4294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</row>
    <row r="59" spans="1:37" ht="16.5" customHeight="1">
      <c r="A59" s="4335"/>
      <c r="B59" s="56" t="s">
        <v>95</v>
      </c>
      <c r="C59" s="56" t="s">
        <v>82</v>
      </c>
      <c r="D59" s="56"/>
      <c r="E59" s="56"/>
      <c r="F59" s="56"/>
      <c r="G59" s="56"/>
      <c r="H59" s="56"/>
      <c r="I59" s="603"/>
      <c r="J59" s="603"/>
      <c r="K59" s="593"/>
      <c r="L59" s="593"/>
      <c r="M59" s="593"/>
      <c r="N59" s="593"/>
      <c r="O59" s="593"/>
      <c r="P59" s="625"/>
      <c r="Q59" s="625"/>
      <c r="R59" s="1272" t="s">
        <v>309</v>
      </c>
      <c r="S59" s="593"/>
      <c r="T59" s="593"/>
      <c r="U59" s="593"/>
      <c r="V59" s="627"/>
      <c r="W59" s="610" t="s">
        <v>55</v>
      </c>
      <c r="X59" s="4292" t="s">
        <v>310</v>
      </c>
      <c r="Y59" s="4292"/>
      <c r="Z59" s="610" t="s">
        <v>55</v>
      </c>
      <c r="AA59" s="2"/>
      <c r="AB59" s="2"/>
      <c r="AC59" s="56"/>
      <c r="AD59" s="56"/>
      <c r="AE59" s="56"/>
      <c r="AF59" s="56"/>
      <c r="AG59" s="56"/>
      <c r="AH59" s="56"/>
    </row>
    <row r="60" spans="1:37" ht="15.75" customHeight="1">
      <c r="A60" s="4335"/>
      <c r="B60" s="56" t="s">
        <v>95</v>
      </c>
      <c r="C60" s="56" t="s">
        <v>86</v>
      </c>
      <c r="D60" s="56"/>
      <c r="E60" s="4297" t="s">
        <v>311</v>
      </c>
      <c r="F60" s="4297"/>
      <c r="G60" s="56"/>
      <c r="H60" s="56"/>
      <c r="I60" s="4294" t="s">
        <v>318</v>
      </c>
      <c r="J60" s="4294"/>
      <c r="K60" s="4294"/>
      <c r="L60" s="4294"/>
      <c r="M60" s="4294"/>
      <c r="N60" s="1276"/>
      <c r="O60" s="23"/>
      <c r="P60" s="1277" t="s">
        <v>341</v>
      </c>
      <c r="Q60" s="1195" t="s">
        <v>314</v>
      </c>
      <c r="R60" s="1092"/>
      <c r="S60" s="593"/>
      <c r="T60" s="593"/>
      <c r="U60" s="593"/>
      <c r="V60" s="610" t="s">
        <v>55</v>
      </c>
      <c r="W60" s="4291" t="s">
        <v>323</v>
      </c>
      <c r="X60" s="4291"/>
      <c r="Y60" s="4291"/>
      <c r="Z60" s="4291"/>
      <c r="AA60" s="4291"/>
      <c r="AB60" s="610" t="s">
        <v>55</v>
      </c>
      <c r="AC60" s="2226"/>
      <c r="AD60" s="593"/>
      <c r="AE60" s="1277" t="s">
        <v>341</v>
      </c>
      <c r="AF60" s="56"/>
      <c r="AG60" s="521"/>
      <c r="AH60" s="521"/>
    </row>
    <row r="61" spans="1:37" ht="15" customHeight="1">
      <c r="A61" s="4335"/>
      <c r="B61" s="56" t="s">
        <v>155</v>
      </c>
      <c r="C61" s="56" t="s">
        <v>156</v>
      </c>
      <c r="D61" s="56"/>
      <c r="E61" s="56"/>
      <c r="F61" s="56"/>
      <c r="G61" s="56"/>
      <c r="H61" s="56"/>
      <c r="I61" s="59"/>
      <c r="J61" s="59"/>
      <c r="K61" s="59"/>
      <c r="L61" s="59"/>
      <c r="M61" s="603"/>
      <c r="N61" s="1276"/>
      <c r="O61" s="1276"/>
      <c r="P61" s="1276"/>
      <c r="Q61" s="1276"/>
      <c r="R61" s="1276"/>
      <c r="S61" s="613"/>
      <c r="T61" s="613"/>
      <c r="U61" s="593"/>
      <c r="V61" s="593"/>
      <c r="W61" s="610" t="s">
        <v>55</v>
      </c>
      <c r="X61" s="4292" t="s">
        <v>310</v>
      </c>
      <c r="Y61" s="4292"/>
      <c r="Z61" s="610" t="s">
        <v>55</v>
      </c>
      <c r="AA61" s="4293" t="s">
        <v>112</v>
      </c>
      <c r="AB61" s="4293"/>
      <c r="AC61" s="4293"/>
      <c r="AD61" s="4293"/>
      <c r="AE61" s="4293"/>
      <c r="AF61" s="4293"/>
      <c r="AG61" s="4293"/>
      <c r="AH61" s="4293"/>
    </row>
    <row r="62" spans="1:37" ht="15" hidden="1" customHeight="1">
      <c r="A62" s="877"/>
      <c r="B62" s="426"/>
      <c r="C62" s="426"/>
      <c r="D62" s="1081">
        <v>1</v>
      </c>
      <c r="E62" s="1082">
        <v>2</v>
      </c>
      <c r="F62" s="1082">
        <v>3</v>
      </c>
      <c r="G62" s="1082">
        <v>4</v>
      </c>
      <c r="H62" s="1082">
        <v>5</v>
      </c>
      <c r="I62" s="1082">
        <v>6</v>
      </c>
      <c r="J62" s="1082">
        <v>7</v>
      </c>
      <c r="K62" s="1082">
        <v>8</v>
      </c>
      <c r="L62" s="1082">
        <v>9</v>
      </c>
      <c r="M62" s="1082">
        <v>10</v>
      </c>
      <c r="N62" s="1082">
        <v>11</v>
      </c>
      <c r="O62" s="1082">
        <v>12</v>
      </c>
      <c r="P62" s="1082">
        <v>13</v>
      </c>
      <c r="Q62" s="1082">
        <v>14</v>
      </c>
      <c r="R62" s="1082">
        <v>15</v>
      </c>
      <c r="S62" s="1082">
        <v>16</v>
      </c>
      <c r="T62" s="1082">
        <v>17</v>
      </c>
      <c r="U62" s="1082">
        <v>18</v>
      </c>
      <c r="V62" s="1082">
        <v>19</v>
      </c>
      <c r="W62" s="1082">
        <v>20</v>
      </c>
      <c r="X62" s="1082">
        <v>21</v>
      </c>
      <c r="Y62" s="1082">
        <v>22</v>
      </c>
      <c r="Z62" s="1082">
        <v>23</v>
      </c>
      <c r="AA62" s="1083">
        <v>24</v>
      </c>
      <c r="AB62" s="1083">
        <v>25</v>
      </c>
      <c r="AC62" s="1083">
        <v>26</v>
      </c>
      <c r="AD62" s="1083">
        <v>27</v>
      </c>
      <c r="AE62" s="1084">
        <v>28</v>
      </c>
      <c r="AF62" s="1084">
        <v>29</v>
      </c>
      <c r="AG62" s="1084">
        <v>30</v>
      </c>
      <c r="AH62" s="1084">
        <v>31</v>
      </c>
    </row>
    <row r="63" spans="1:37" hidden="1">
      <c r="A63" s="4299" t="s">
        <v>342</v>
      </c>
      <c r="B63" s="4299"/>
      <c r="C63" s="4299"/>
      <c r="D63">
        <f>D69+D64</f>
        <v>14</v>
      </c>
      <c r="E63">
        <f t="shared" ref="E63:AH63" si="0">E69+E64</f>
        <v>14</v>
      </c>
      <c r="F63">
        <f t="shared" si="0"/>
        <v>14</v>
      </c>
      <c r="G63">
        <f t="shared" si="0"/>
        <v>14</v>
      </c>
      <c r="H63">
        <f t="shared" si="0"/>
        <v>13</v>
      </c>
      <c r="I63">
        <f t="shared" si="0"/>
        <v>15</v>
      </c>
      <c r="J63">
        <f t="shared" si="0"/>
        <v>14</v>
      </c>
      <c r="K63">
        <f t="shared" si="0"/>
        <v>13</v>
      </c>
      <c r="L63">
        <f t="shared" si="0"/>
        <v>13</v>
      </c>
      <c r="M63">
        <f t="shared" si="0"/>
        <v>13</v>
      </c>
      <c r="N63">
        <f t="shared" si="0"/>
        <v>11</v>
      </c>
      <c r="O63">
        <f t="shared" si="0"/>
        <v>12</v>
      </c>
      <c r="P63">
        <f t="shared" si="0"/>
        <v>12</v>
      </c>
      <c r="Q63">
        <f t="shared" si="0"/>
        <v>13</v>
      </c>
      <c r="R63">
        <f t="shared" si="0"/>
        <v>13</v>
      </c>
      <c r="S63">
        <f t="shared" si="0"/>
        <v>14</v>
      </c>
      <c r="T63">
        <f t="shared" si="0"/>
        <v>14</v>
      </c>
      <c r="U63">
        <f t="shared" si="0"/>
        <v>14</v>
      </c>
      <c r="V63">
        <f t="shared" si="0"/>
        <v>13</v>
      </c>
      <c r="W63">
        <f t="shared" si="0"/>
        <v>13</v>
      </c>
      <c r="X63">
        <f t="shared" si="0"/>
        <v>13</v>
      </c>
      <c r="Y63">
        <f t="shared" si="0"/>
        <v>13</v>
      </c>
      <c r="Z63">
        <f t="shared" si="0"/>
        <v>13</v>
      </c>
      <c r="AA63">
        <f t="shared" si="0"/>
        <v>13</v>
      </c>
      <c r="AB63">
        <f t="shared" si="0"/>
        <v>13</v>
      </c>
      <c r="AC63">
        <f t="shared" si="0"/>
        <v>15</v>
      </c>
      <c r="AD63">
        <f t="shared" si="0"/>
        <v>15</v>
      </c>
      <c r="AE63">
        <f t="shared" si="0"/>
        <v>15</v>
      </c>
      <c r="AF63">
        <f t="shared" si="0"/>
        <v>15</v>
      </c>
      <c r="AG63">
        <f t="shared" si="0"/>
        <v>15</v>
      </c>
      <c r="AH63">
        <f t="shared" si="0"/>
        <v>15</v>
      </c>
      <c r="AI63" s="4299" t="s">
        <v>342</v>
      </c>
      <c r="AJ63" s="4299"/>
      <c r="AK63" s="4299"/>
    </row>
    <row r="64" spans="1:37" hidden="1">
      <c r="A64" s="4287" t="s">
        <v>343</v>
      </c>
      <c r="B64" s="4287"/>
      <c r="C64" s="4287"/>
      <c r="D64">
        <f>SUM(D65:D68)</f>
        <v>11</v>
      </c>
      <c r="E64">
        <f t="shared" ref="E64:AH64" si="1">SUM(E65:E68)</f>
        <v>10</v>
      </c>
      <c r="F64">
        <f t="shared" si="1"/>
        <v>9</v>
      </c>
      <c r="G64">
        <f t="shared" si="1"/>
        <v>9</v>
      </c>
      <c r="H64">
        <f t="shared" si="1"/>
        <v>9</v>
      </c>
      <c r="I64">
        <f t="shared" si="1"/>
        <v>9</v>
      </c>
      <c r="J64">
        <f t="shared" si="1"/>
        <v>9</v>
      </c>
      <c r="K64">
        <f t="shared" si="1"/>
        <v>9</v>
      </c>
      <c r="L64">
        <f t="shared" si="1"/>
        <v>9</v>
      </c>
      <c r="M64">
        <f t="shared" si="1"/>
        <v>8</v>
      </c>
      <c r="N64">
        <f t="shared" si="1"/>
        <v>7</v>
      </c>
      <c r="O64">
        <f t="shared" si="1"/>
        <v>7</v>
      </c>
      <c r="P64">
        <f t="shared" si="1"/>
        <v>7</v>
      </c>
      <c r="Q64">
        <f t="shared" si="1"/>
        <v>7</v>
      </c>
      <c r="R64">
        <f t="shared" si="1"/>
        <v>7</v>
      </c>
      <c r="S64">
        <f t="shared" si="1"/>
        <v>9</v>
      </c>
      <c r="T64">
        <f t="shared" si="1"/>
        <v>9</v>
      </c>
      <c r="U64">
        <f t="shared" si="1"/>
        <v>9</v>
      </c>
      <c r="V64">
        <f t="shared" si="1"/>
        <v>7</v>
      </c>
      <c r="W64">
        <f t="shared" si="1"/>
        <v>7</v>
      </c>
      <c r="X64">
        <f t="shared" si="1"/>
        <v>7</v>
      </c>
      <c r="Y64">
        <f t="shared" si="1"/>
        <v>7</v>
      </c>
      <c r="Z64">
        <f t="shared" si="1"/>
        <v>8</v>
      </c>
      <c r="AA64">
        <f t="shared" si="1"/>
        <v>8</v>
      </c>
      <c r="AB64">
        <f t="shared" si="1"/>
        <v>8</v>
      </c>
      <c r="AC64">
        <f t="shared" si="1"/>
        <v>10</v>
      </c>
      <c r="AD64">
        <f t="shared" si="1"/>
        <v>10</v>
      </c>
      <c r="AE64">
        <f t="shared" si="1"/>
        <v>10</v>
      </c>
      <c r="AF64">
        <f t="shared" si="1"/>
        <v>10</v>
      </c>
      <c r="AG64">
        <f t="shared" si="1"/>
        <v>10</v>
      </c>
      <c r="AH64">
        <f t="shared" si="1"/>
        <v>10</v>
      </c>
      <c r="AI64" s="4287" t="s">
        <v>343</v>
      </c>
      <c r="AJ64" s="4287"/>
      <c r="AK64" s="4287"/>
    </row>
    <row r="65" spans="1:37" hidden="1">
      <c r="A65" s="4289" t="s">
        <v>344</v>
      </c>
      <c r="B65" s="4289"/>
      <c r="C65" s="4289"/>
      <c r="D65">
        <v>3</v>
      </c>
      <c r="E65">
        <v>2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 s="4289" t="s">
        <v>345</v>
      </c>
      <c r="AJ65" s="4289"/>
      <c r="AK65" s="4289"/>
    </row>
    <row r="66" spans="1:37" hidden="1">
      <c r="A66" s="4289" t="s">
        <v>346</v>
      </c>
      <c r="B66" s="4289"/>
      <c r="C66" s="4289"/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 s="4289" t="s">
        <v>346</v>
      </c>
      <c r="AJ66" s="4289"/>
      <c r="AK66" s="4289"/>
    </row>
    <row r="67" spans="1:37" hidden="1">
      <c r="A67" s="4289" t="s">
        <v>347</v>
      </c>
      <c r="B67" s="4289"/>
      <c r="C67" s="4289"/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 s="3583"/>
      <c r="AJ67" s="3583"/>
      <c r="AK67" s="3583"/>
    </row>
    <row r="68" spans="1:37" hidden="1">
      <c r="A68" s="4289" t="s">
        <v>23</v>
      </c>
      <c r="B68" s="4289"/>
      <c r="C68" s="4289"/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3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 s="4289" t="s">
        <v>23</v>
      </c>
      <c r="AJ68" s="4289"/>
      <c r="AK68" s="4289"/>
    </row>
    <row r="69" spans="1:37" hidden="1">
      <c r="A69" s="4287" t="s">
        <v>348</v>
      </c>
      <c r="B69" s="4287"/>
      <c r="C69" s="4287"/>
      <c r="D69">
        <f>SUM(D70:D73)</f>
        <v>3</v>
      </c>
      <c r="E69">
        <f t="shared" ref="E69:AH69" si="2">SUM(E70:E73)</f>
        <v>4</v>
      </c>
      <c r="F69">
        <f t="shared" si="2"/>
        <v>5</v>
      </c>
      <c r="G69">
        <f t="shared" si="2"/>
        <v>5</v>
      </c>
      <c r="H69">
        <f t="shared" si="2"/>
        <v>4</v>
      </c>
      <c r="I69">
        <f t="shared" si="2"/>
        <v>6</v>
      </c>
      <c r="J69">
        <f t="shared" si="2"/>
        <v>5</v>
      </c>
      <c r="K69">
        <f t="shared" si="2"/>
        <v>4</v>
      </c>
      <c r="L69">
        <f t="shared" si="2"/>
        <v>4</v>
      </c>
      <c r="M69">
        <f t="shared" si="2"/>
        <v>5</v>
      </c>
      <c r="N69">
        <f t="shared" si="2"/>
        <v>4</v>
      </c>
      <c r="O69">
        <f t="shared" si="2"/>
        <v>5</v>
      </c>
      <c r="P69">
        <f t="shared" si="2"/>
        <v>5</v>
      </c>
      <c r="Q69">
        <f t="shared" si="2"/>
        <v>6</v>
      </c>
      <c r="R69">
        <f t="shared" si="2"/>
        <v>6</v>
      </c>
      <c r="S69">
        <f t="shared" si="2"/>
        <v>5</v>
      </c>
      <c r="T69">
        <f t="shared" si="2"/>
        <v>5</v>
      </c>
      <c r="U69">
        <f t="shared" si="2"/>
        <v>5</v>
      </c>
      <c r="V69">
        <f t="shared" si="2"/>
        <v>6</v>
      </c>
      <c r="W69">
        <f t="shared" si="2"/>
        <v>6</v>
      </c>
      <c r="X69">
        <f t="shared" si="2"/>
        <v>6</v>
      </c>
      <c r="Y69">
        <f t="shared" si="2"/>
        <v>6</v>
      </c>
      <c r="Z69">
        <f t="shared" si="2"/>
        <v>5</v>
      </c>
      <c r="AA69">
        <f t="shared" si="2"/>
        <v>5</v>
      </c>
      <c r="AB69">
        <f t="shared" si="2"/>
        <v>5</v>
      </c>
      <c r="AC69">
        <f t="shared" si="2"/>
        <v>5</v>
      </c>
      <c r="AD69">
        <f t="shared" si="2"/>
        <v>5</v>
      </c>
      <c r="AE69">
        <f t="shared" si="2"/>
        <v>5</v>
      </c>
      <c r="AF69">
        <f t="shared" si="2"/>
        <v>5</v>
      </c>
      <c r="AG69">
        <f t="shared" si="2"/>
        <v>5</v>
      </c>
      <c r="AH69">
        <f t="shared" si="2"/>
        <v>5</v>
      </c>
      <c r="AI69" s="4287" t="s">
        <v>348</v>
      </c>
      <c r="AJ69" s="4287"/>
      <c r="AK69" s="4287"/>
    </row>
    <row r="70" spans="1:37" hidden="1">
      <c r="A70" s="4289" t="s">
        <v>345</v>
      </c>
      <c r="B70" s="4289"/>
      <c r="C70" s="4289"/>
      <c r="D70">
        <v>0</v>
      </c>
      <c r="E70">
        <v>1</v>
      </c>
      <c r="F70">
        <v>2</v>
      </c>
      <c r="G70">
        <v>2</v>
      </c>
      <c r="H70">
        <v>2</v>
      </c>
      <c r="I70">
        <v>2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s="4289" t="s">
        <v>345</v>
      </c>
      <c r="AJ70" s="4289"/>
      <c r="AK70" s="4289"/>
    </row>
    <row r="71" spans="1:37" hidden="1">
      <c r="A71" s="4289" t="s">
        <v>346</v>
      </c>
      <c r="B71" s="4289"/>
      <c r="C71" s="4289"/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2</v>
      </c>
      <c r="R71">
        <v>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s="4289" t="s">
        <v>346</v>
      </c>
      <c r="AJ71" s="4289"/>
      <c r="AK71" s="4289"/>
    </row>
    <row r="72" spans="1:37" hidden="1">
      <c r="A72" s="4289" t="s">
        <v>347</v>
      </c>
      <c r="B72" s="4289"/>
      <c r="C72" s="4289"/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 s="3583"/>
      <c r="AJ72" s="3583"/>
      <c r="AK72" s="3583"/>
    </row>
    <row r="73" spans="1:37" hidden="1">
      <c r="A73" s="4289" t="s">
        <v>23</v>
      </c>
      <c r="B73" s="4289"/>
      <c r="C73" s="4289"/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3</v>
      </c>
      <c r="AI73" s="4289" t="s">
        <v>23</v>
      </c>
      <c r="AJ73" s="4289"/>
      <c r="AK73" s="4289"/>
    </row>
    <row r="74" spans="1:37" hidden="1">
      <c r="A74" s="4287" t="s">
        <v>349</v>
      </c>
      <c r="B74" s="4287"/>
      <c r="C74" s="4287"/>
      <c r="D74">
        <v>38</v>
      </c>
      <c r="E74">
        <v>38</v>
      </c>
      <c r="F74">
        <v>38</v>
      </c>
      <c r="G74">
        <v>38</v>
      </c>
      <c r="H74">
        <v>38</v>
      </c>
      <c r="I74">
        <v>38</v>
      </c>
      <c r="J74">
        <v>38</v>
      </c>
      <c r="K74">
        <v>38</v>
      </c>
      <c r="L74">
        <v>38</v>
      </c>
      <c r="M74">
        <v>38</v>
      </c>
      <c r="N74">
        <v>38</v>
      </c>
      <c r="O74">
        <v>38</v>
      </c>
      <c r="P74">
        <v>39</v>
      </c>
      <c r="Q74">
        <v>37</v>
      </c>
      <c r="R74">
        <v>37</v>
      </c>
      <c r="S74">
        <v>37</v>
      </c>
      <c r="T74">
        <v>37</v>
      </c>
      <c r="U74">
        <v>37</v>
      </c>
      <c r="V74">
        <v>37</v>
      </c>
      <c r="W74">
        <v>37</v>
      </c>
      <c r="X74">
        <v>37</v>
      </c>
      <c r="Y74">
        <v>37</v>
      </c>
      <c r="Z74">
        <v>37</v>
      </c>
      <c r="AA74">
        <v>37</v>
      </c>
      <c r="AB74">
        <v>37</v>
      </c>
      <c r="AC74">
        <v>39</v>
      </c>
      <c r="AD74">
        <v>37</v>
      </c>
      <c r="AE74">
        <v>37</v>
      </c>
      <c r="AF74">
        <v>37</v>
      </c>
      <c r="AG74">
        <v>37</v>
      </c>
      <c r="AH74">
        <v>37</v>
      </c>
      <c r="AI74" s="4287" t="s">
        <v>349</v>
      </c>
      <c r="AJ74" s="4287"/>
      <c r="AK74" s="4287"/>
    </row>
    <row r="75" spans="1:37" hidden="1">
      <c r="A75" s="4287" t="s">
        <v>345</v>
      </c>
      <c r="B75" s="4287"/>
      <c r="C75" s="4287"/>
      <c r="D75">
        <v>13</v>
      </c>
      <c r="E75">
        <v>13</v>
      </c>
      <c r="F75">
        <v>13</v>
      </c>
      <c r="G75">
        <v>13</v>
      </c>
      <c r="H75">
        <v>13</v>
      </c>
      <c r="I75">
        <v>13</v>
      </c>
      <c r="J75">
        <v>13</v>
      </c>
      <c r="K75">
        <v>13</v>
      </c>
      <c r="L75">
        <v>13</v>
      </c>
      <c r="M75">
        <v>13</v>
      </c>
      <c r="N75">
        <v>13</v>
      </c>
      <c r="O75">
        <v>13</v>
      </c>
      <c r="P75">
        <v>13</v>
      </c>
      <c r="Q75">
        <v>13</v>
      </c>
      <c r="R75">
        <v>13</v>
      </c>
      <c r="S75">
        <v>13</v>
      </c>
      <c r="T75">
        <v>13</v>
      </c>
      <c r="U75">
        <v>13</v>
      </c>
      <c r="V75">
        <v>13</v>
      </c>
      <c r="W75">
        <v>13</v>
      </c>
      <c r="X75">
        <v>13</v>
      </c>
      <c r="Y75">
        <v>13</v>
      </c>
      <c r="Z75">
        <v>13</v>
      </c>
      <c r="AA75">
        <v>13</v>
      </c>
      <c r="AB75">
        <v>13</v>
      </c>
      <c r="AC75">
        <v>13</v>
      </c>
      <c r="AD75">
        <v>13</v>
      </c>
      <c r="AE75">
        <v>13</v>
      </c>
      <c r="AF75">
        <v>13</v>
      </c>
      <c r="AG75">
        <v>13</v>
      </c>
      <c r="AH75">
        <v>13</v>
      </c>
      <c r="AI75" s="4287" t="s">
        <v>345</v>
      </c>
      <c r="AJ75" s="4287"/>
      <c r="AK75" s="4287"/>
    </row>
    <row r="76" spans="1:37" hidden="1">
      <c r="A76" s="4287" t="s">
        <v>346</v>
      </c>
      <c r="B76" s="4287"/>
      <c r="C76" s="4287"/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 s="4287" t="s">
        <v>346</v>
      </c>
      <c r="AJ76" s="4287"/>
      <c r="AK76" s="4287"/>
    </row>
    <row r="77" spans="1:37" hidden="1">
      <c r="A77" s="4287" t="s">
        <v>350</v>
      </c>
      <c r="B77" s="4287"/>
      <c r="C77" s="4287"/>
      <c r="D77">
        <v>8</v>
      </c>
      <c r="E77">
        <v>8</v>
      </c>
      <c r="F77">
        <v>8</v>
      </c>
      <c r="G77">
        <v>8</v>
      </c>
      <c r="H77">
        <v>8</v>
      </c>
      <c r="I77">
        <v>8</v>
      </c>
      <c r="J77">
        <v>8</v>
      </c>
      <c r="K77">
        <v>8</v>
      </c>
      <c r="L77">
        <v>8</v>
      </c>
      <c r="M77">
        <v>8</v>
      </c>
      <c r="N77">
        <v>8</v>
      </c>
      <c r="O77">
        <v>8</v>
      </c>
      <c r="P77">
        <v>8</v>
      </c>
      <c r="Q77">
        <v>8</v>
      </c>
      <c r="R77">
        <v>8</v>
      </c>
      <c r="S77">
        <v>8</v>
      </c>
      <c r="T77">
        <v>8</v>
      </c>
      <c r="U77">
        <v>8</v>
      </c>
      <c r="V77">
        <v>8</v>
      </c>
      <c r="W77">
        <v>8</v>
      </c>
      <c r="X77">
        <v>8</v>
      </c>
      <c r="Y77">
        <v>8</v>
      </c>
      <c r="Z77">
        <v>8</v>
      </c>
      <c r="AA77">
        <v>8</v>
      </c>
      <c r="AB77">
        <v>8</v>
      </c>
      <c r="AC77">
        <v>8</v>
      </c>
      <c r="AD77">
        <v>8</v>
      </c>
      <c r="AE77">
        <v>8</v>
      </c>
      <c r="AF77">
        <v>8</v>
      </c>
      <c r="AG77">
        <v>8</v>
      </c>
      <c r="AH77">
        <v>8</v>
      </c>
      <c r="AI77" s="4287" t="s">
        <v>350</v>
      </c>
      <c r="AJ77" s="4287"/>
      <c r="AK77" s="4287"/>
    </row>
    <row r="78" spans="1:37" hidden="1">
      <c r="A78" s="4288" t="s">
        <v>351</v>
      </c>
      <c r="B78" s="4288"/>
      <c r="C78" s="4288"/>
      <c r="D78">
        <f>SUM(D79:D82)</f>
        <v>22</v>
      </c>
      <c r="E78">
        <f t="shared" ref="E78:AH78" si="3">SUM(E79:E82)</f>
        <v>22</v>
      </c>
      <c r="F78">
        <f t="shared" si="3"/>
        <v>9</v>
      </c>
      <c r="G78">
        <f t="shared" si="3"/>
        <v>9</v>
      </c>
      <c r="H78">
        <f t="shared" si="3"/>
        <v>12</v>
      </c>
      <c r="I78">
        <f t="shared" si="3"/>
        <v>6</v>
      </c>
      <c r="J78">
        <f t="shared" si="3"/>
        <v>10</v>
      </c>
      <c r="K78">
        <f t="shared" si="3"/>
        <v>10</v>
      </c>
      <c r="L78">
        <f t="shared" si="3"/>
        <v>10</v>
      </c>
      <c r="M78">
        <f t="shared" si="3"/>
        <v>10</v>
      </c>
      <c r="N78">
        <f t="shared" si="3"/>
        <v>12</v>
      </c>
      <c r="O78">
        <f t="shared" si="3"/>
        <v>9</v>
      </c>
      <c r="P78">
        <f t="shared" si="3"/>
        <v>9</v>
      </c>
      <c r="Q78">
        <f t="shared" si="3"/>
        <v>9</v>
      </c>
      <c r="R78">
        <f t="shared" si="3"/>
        <v>8</v>
      </c>
      <c r="S78">
        <f t="shared" si="3"/>
        <v>21</v>
      </c>
      <c r="T78">
        <f t="shared" si="3"/>
        <v>21</v>
      </c>
      <c r="U78">
        <f t="shared" si="3"/>
        <v>21</v>
      </c>
      <c r="V78">
        <f t="shared" si="3"/>
        <v>15</v>
      </c>
      <c r="W78">
        <f t="shared" si="3"/>
        <v>15</v>
      </c>
      <c r="X78">
        <f t="shared" si="3"/>
        <v>15</v>
      </c>
      <c r="Y78">
        <f t="shared" si="3"/>
        <v>15</v>
      </c>
      <c r="Z78">
        <f t="shared" si="3"/>
        <v>15</v>
      </c>
      <c r="AA78">
        <f t="shared" si="3"/>
        <v>15</v>
      </c>
      <c r="AB78">
        <f t="shared" si="3"/>
        <v>15</v>
      </c>
      <c r="AC78">
        <f t="shared" si="3"/>
        <v>21</v>
      </c>
      <c r="AD78">
        <f t="shared" si="3"/>
        <v>21</v>
      </c>
      <c r="AE78">
        <f t="shared" si="3"/>
        <v>21</v>
      </c>
      <c r="AF78">
        <f t="shared" si="3"/>
        <v>21</v>
      </c>
      <c r="AG78">
        <f t="shared" si="3"/>
        <v>21</v>
      </c>
      <c r="AH78">
        <f t="shared" si="3"/>
        <v>21</v>
      </c>
      <c r="AI78" s="4288" t="s">
        <v>351</v>
      </c>
      <c r="AJ78" s="4288"/>
      <c r="AK78" s="4288"/>
    </row>
    <row r="79" spans="1:37" hidden="1">
      <c r="A79" s="4289" t="s">
        <v>345</v>
      </c>
      <c r="B79" s="4289"/>
      <c r="C79" s="4289"/>
      <c r="D79">
        <v>13</v>
      </c>
      <c r="E79">
        <v>13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13</v>
      </c>
      <c r="T79">
        <v>13</v>
      </c>
      <c r="U79">
        <v>13</v>
      </c>
      <c r="V79">
        <v>13</v>
      </c>
      <c r="W79">
        <v>13</v>
      </c>
      <c r="X79">
        <v>13</v>
      </c>
      <c r="Y79">
        <v>13</v>
      </c>
      <c r="Z79">
        <v>13</v>
      </c>
      <c r="AA79">
        <v>13</v>
      </c>
      <c r="AB79">
        <v>13</v>
      </c>
      <c r="AC79">
        <v>13</v>
      </c>
      <c r="AD79">
        <v>13</v>
      </c>
      <c r="AE79">
        <v>13</v>
      </c>
      <c r="AF79">
        <v>13</v>
      </c>
      <c r="AG79">
        <v>13</v>
      </c>
      <c r="AH79">
        <v>13</v>
      </c>
      <c r="AI79" s="4289" t="s">
        <v>345</v>
      </c>
      <c r="AJ79" s="4289"/>
      <c r="AK79" s="4289"/>
    </row>
    <row r="80" spans="1:37" hidden="1">
      <c r="A80" s="4289" t="s">
        <v>346</v>
      </c>
      <c r="B80" s="4289"/>
      <c r="C80" s="4289"/>
      <c r="D80">
        <v>2</v>
      </c>
      <c r="E80">
        <v>2</v>
      </c>
      <c r="F80">
        <v>2</v>
      </c>
      <c r="G80">
        <v>2</v>
      </c>
      <c r="H80">
        <v>5</v>
      </c>
      <c r="I80">
        <v>3</v>
      </c>
      <c r="J80">
        <v>3</v>
      </c>
      <c r="K80">
        <v>3</v>
      </c>
      <c r="L80">
        <v>3</v>
      </c>
      <c r="M80">
        <v>3</v>
      </c>
      <c r="N80">
        <v>5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 s="4289" t="s">
        <v>346</v>
      </c>
      <c r="AJ80" s="4289"/>
      <c r="AK80" s="4289"/>
    </row>
    <row r="81" spans="1:37" hidden="1">
      <c r="A81" s="4289" t="s">
        <v>347</v>
      </c>
      <c r="B81" s="4289"/>
      <c r="C81" s="4289"/>
      <c r="AI81" s="3583"/>
      <c r="AJ81" s="3583"/>
      <c r="AK81" s="3583"/>
    </row>
    <row r="82" spans="1:37" hidden="1">
      <c r="A82" s="4289" t="s">
        <v>23</v>
      </c>
      <c r="B82" s="4289"/>
      <c r="C82" s="4289"/>
      <c r="D82">
        <v>7</v>
      </c>
      <c r="E82">
        <v>7</v>
      </c>
      <c r="F82">
        <v>7</v>
      </c>
      <c r="G82">
        <v>7</v>
      </c>
      <c r="H82">
        <v>7</v>
      </c>
      <c r="I82">
        <v>3</v>
      </c>
      <c r="J82">
        <v>7</v>
      </c>
      <c r="K82">
        <v>7</v>
      </c>
      <c r="L82">
        <v>7</v>
      </c>
      <c r="M82">
        <v>7</v>
      </c>
      <c r="N82">
        <v>7</v>
      </c>
      <c r="O82">
        <v>7</v>
      </c>
      <c r="P82">
        <v>7</v>
      </c>
      <c r="Q82">
        <v>7</v>
      </c>
      <c r="R82">
        <v>7</v>
      </c>
      <c r="S82">
        <v>7</v>
      </c>
      <c r="T82">
        <v>7</v>
      </c>
      <c r="U82">
        <v>7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7</v>
      </c>
      <c r="AD82">
        <v>7</v>
      </c>
      <c r="AE82">
        <v>7</v>
      </c>
      <c r="AF82">
        <v>7</v>
      </c>
      <c r="AG82">
        <v>7</v>
      </c>
      <c r="AH82">
        <v>7</v>
      </c>
      <c r="AI82" s="4289" t="s">
        <v>23</v>
      </c>
      <c r="AJ82" s="4289"/>
      <c r="AK82" s="4289"/>
    </row>
    <row r="83" spans="1:37" hidden="1">
      <c r="A83" s="4288" t="s">
        <v>352</v>
      </c>
      <c r="B83" s="4288"/>
      <c r="C83" s="4288"/>
      <c r="D83">
        <f>SUM(D84:D87)</f>
        <v>7</v>
      </c>
      <c r="E83">
        <f t="shared" ref="E83:AH83" si="4">SUM(E84:E87)</f>
        <v>7</v>
      </c>
      <c r="F83">
        <f t="shared" si="4"/>
        <v>20</v>
      </c>
      <c r="G83">
        <f t="shared" si="4"/>
        <v>20</v>
      </c>
      <c r="H83">
        <f t="shared" si="4"/>
        <v>15</v>
      </c>
      <c r="I83">
        <f t="shared" si="4"/>
        <v>19</v>
      </c>
      <c r="J83">
        <f t="shared" si="4"/>
        <v>17</v>
      </c>
      <c r="K83">
        <f t="shared" si="4"/>
        <v>17</v>
      </c>
      <c r="L83">
        <f t="shared" si="4"/>
        <v>17</v>
      </c>
      <c r="M83">
        <f t="shared" si="4"/>
        <v>17</v>
      </c>
      <c r="N83">
        <f t="shared" si="4"/>
        <v>15</v>
      </c>
      <c r="O83">
        <f t="shared" si="4"/>
        <v>20</v>
      </c>
      <c r="P83">
        <f t="shared" si="4"/>
        <v>20</v>
      </c>
      <c r="Q83">
        <f t="shared" si="4"/>
        <v>20</v>
      </c>
      <c r="R83">
        <f t="shared" si="4"/>
        <v>26</v>
      </c>
      <c r="S83">
        <f t="shared" si="4"/>
        <v>7</v>
      </c>
      <c r="T83">
        <f t="shared" si="4"/>
        <v>7</v>
      </c>
      <c r="U83">
        <f t="shared" si="4"/>
        <v>7</v>
      </c>
      <c r="V83">
        <f t="shared" si="4"/>
        <v>12</v>
      </c>
      <c r="W83">
        <f t="shared" si="4"/>
        <v>12</v>
      </c>
      <c r="X83">
        <f t="shared" si="4"/>
        <v>12</v>
      </c>
      <c r="Y83">
        <f t="shared" si="4"/>
        <v>12</v>
      </c>
      <c r="Z83">
        <f t="shared" si="4"/>
        <v>9</v>
      </c>
      <c r="AA83">
        <f t="shared" si="4"/>
        <v>9</v>
      </c>
      <c r="AB83">
        <f t="shared" si="4"/>
        <v>9</v>
      </c>
      <c r="AC83">
        <f t="shared" si="4"/>
        <v>2</v>
      </c>
      <c r="AD83">
        <f t="shared" si="4"/>
        <v>2</v>
      </c>
      <c r="AE83">
        <f t="shared" si="4"/>
        <v>2</v>
      </c>
      <c r="AF83">
        <f t="shared" si="4"/>
        <v>2</v>
      </c>
      <c r="AG83">
        <f t="shared" si="4"/>
        <v>2</v>
      </c>
      <c r="AH83">
        <f t="shared" si="4"/>
        <v>2</v>
      </c>
      <c r="AI83" s="4288" t="s">
        <v>352</v>
      </c>
      <c r="AJ83" s="4288"/>
      <c r="AK83" s="4288"/>
    </row>
    <row r="84" spans="1:37" hidden="1">
      <c r="A84" s="4289" t="s">
        <v>345</v>
      </c>
      <c r="B84" s="4289"/>
      <c r="C84" s="4289"/>
      <c r="D84">
        <v>0</v>
      </c>
      <c r="E84">
        <v>0</v>
      </c>
      <c r="F84">
        <v>13</v>
      </c>
      <c r="G84">
        <v>13</v>
      </c>
      <c r="H84">
        <v>13</v>
      </c>
      <c r="I84">
        <v>13</v>
      </c>
      <c r="J84">
        <v>13</v>
      </c>
      <c r="K84">
        <v>13</v>
      </c>
      <c r="L84">
        <v>13</v>
      </c>
      <c r="M84">
        <v>13</v>
      </c>
      <c r="N84">
        <v>13</v>
      </c>
      <c r="O84">
        <v>13</v>
      </c>
      <c r="P84">
        <v>13</v>
      </c>
      <c r="Q84">
        <v>13</v>
      </c>
      <c r="R84">
        <v>13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s="4289" t="s">
        <v>345</v>
      </c>
      <c r="AJ84" s="4289"/>
      <c r="AK84" s="4289"/>
    </row>
    <row r="85" spans="1:37" hidden="1">
      <c r="A85" s="4289" t="s">
        <v>346</v>
      </c>
      <c r="B85" s="4289"/>
      <c r="C85" s="4289"/>
      <c r="D85">
        <v>5</v>
      </c>
      <c r="E85">
        <v>5</v>
      </c>
      <c r="F85">
        <v>5</v>
      </c>
      <c r="G85">
        <v>5</v>
      </c>
      <c r="H85">
        <v>0</v>
      </c>
      <c r="I85">
        <v>2</v>
      </c>
      <c r="J85">
        <v>2</v>
      </c>
      <c r="K85">
        <v>2</v>
      </c>
      <c r="L85">
        <v>2</v>
      </c>
      <c r="M85">
        <v>2</v>
      </c>
      <c r="N85">
        <v>0</v>
      </c>
      <c r="O85">
        <v>5</v>
      </c>
      <c r="P85">
        <v>5</v>
      </c>
      <c r="Q85">
        <v>5</v>
      </c>
      <c r="R85">
        <v>11</v>
      </c>
      <c r="S85">
        <v>5</v>
      </c>
      <c r="T85">
        <v>5</v>
      </c>
      <c r="U85">
        <v>5</v>
      </c>
      <c r="V85">
        <v>3</v>
      </c>
      <c r="W85">
        <v>3</v>
      </c>
      <c r="X85">
        <v>3</v>
      </c>
      <c r="Y85">
        <v>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s="4289" t="s">
        <v>346</v>
      </c>
      <c r="AJ85" s="4289"/>
      <c r="AK85" s="4289"/>
    </row>
    <row r="86" spans="1:37" hidden="1">
      <c r="A86" s="4289" t="s">
        <v>347</v>
      </c>
      <c r="B86" s="4289"/>
      <c r="C86" s="4289"/>
      <c r="AI86" s="3583"/>
      <c r="AJ86" s="3583"/>
      <c r="AK86" s="3583"/>
    </row>
    <row r="87" spans="1:37" hidden="1">
      <c r="A87" s="4289" t="s">
        <v>23</v>
      </c>
      <c r="B87" s="4289"/>
      <c r="C87" s="4289"/>
      <c r="D87">
        <v>2</v>
      </c>
      <c r="E87">
        <v>2</v>
      </c>
      <c r="F87">
        <v>2</v>
      </c>
      <c r="G87">
        <v>2</v>
      </c>
      <c r="H87">
        <v>2</v>
      </c>
      <c r="I87">
        <v>4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 s="4289" t="s">
        <v>23</v>
      </c>
      <c r="AJ87" s="4289"/>
      <c r="AK87" s="4289"/>
    </row>
    <row r="88" spans="1:37" hidden="1">
      <c r="A88" s="4301"/>
      <c r="B88" s="4301"/>
      <c r="C88" s="4301"/>
      <c r="D88" s="4301"/>
      <c r="E88" s="4301"/>
      <c r="F88" s="4301"/>
      <c r="G88" s="4301"/>
      <c r="H88" s="4301"/>
      <c r="I88" s="4301"/>
      <c r="J88" s="4301"/>
      <c r="K88" s="4301"/>
      <c r="L88" s="4301"/>
      <c r="M88" s="4301"/>
      <c r="N88" s="4301"/>
      <c r="O88" s="4301"/>
      <c r="P88" s="4301"/>
      <c r="Q88" s="4301"/>
      <c r="R88" s="4301"/>
      <c r="S88" s="4301"/>
      <c r="T88" s="4301"/>
      <c r="U88" s="4301"/>
      <c r="V88" s="4301"/>
      <c r="W88" s="4301"/>
      <c r="X88" s="4301"/>
      <c r="Y88" s="4301"/>
      <c r="Z88" s="4301"/>
      <c r="AA88" s="4301"/>
      <c r="AB88" s="4301"/>
      <c r="AC88" s="4301"/>
      <c r="AD88" s="4301"/>
      <c r="AE88" s="4301"/>
      <c r="AF88" s="4301"/>
      <c r="AG88" s="4301"/>
      <c r="AH88" s="3580"/>
      <c r="AI88" s="4301"/>
      <c r="AJ88" s="4301"/>
      <c r="AK88" s="4301"/>
    </row>
    <row r="89" spans="1:37" hidden="1">
      <c r="A89" s="3580"/>
      <c r="B89" s="3580"/>
      <c r="C89" s="3580"/>
      <c r="D89" s="3699">
        <v>1</v>
      </c>
      <c r="E89" s="3588">
        <v>2</v>
      </c>
      <c r="F89" s="3588">
        <v>3</v>
      </c>
      <c r="G89" s="3588">
        <v>4</v>
      </c>
      <c r="H89" s="3588">
        <v>5</v>
      </c>
      <c r="I89" s="3588">
        <v>6</v>
      </c>
      <c r="J89" s="3588">
        <v>7</v>
      </c>
      <c r="K89" s="3588">
        <v>8</v>
      </c>
      <c r="L89" s="3588">
        <v>9</v>
      </c>
      <c r="M89" s="3588">
        <v>10</v>
      </c>
      <c r="N89" s="3588">
        <v>11</v>
      </c>
      <c r="O89" s="3588">
        <v>12</v>
      </c>
      <c r="P89" s="3588">
        <v>13</v>
      </c>
      <c r="Q89" s="3588">
        <v>14</v>
      </c>
      <c r="R89" s="3588">
        <v>15</v>
      </c>
      <c r="S89" s="3588">
        <v>16</v>
      </c>
      <c r="T89" s="3588">
        <v>17</v>
      </c>
      <c r="U89" s="3588">
        <v>18</v>
      </c>
      <c r="V89" s="3588">
        <v>19</v>
      </c>
      <c r="W89" s="3588">
        <v>20</v>
      </c>
      <c r="X89" s="3588">
        <v>21</v>
      </c>
      <c r="Y89" s="3588">
        <v>22</v>
      </c>
      <c r="Z89" s="3588">
        <v>23</v>
      </c>
      <c r="AA89" s="3703">
        <v>24</v>
      </c>
      <c r="AB89" s="3703">
        <v>25</v>
      </c>
      <c r="AC89" s="3703">
        <v>26</v>
      </c>
      <c r="AD89" s="3703">
        <v>27</v>
      </c>
      <c r="AE89" s="41">
        <v>28</v>
      </c>
      <c r="AF89" s="41">
        <v>29</v>
      </c>
      <c r="AG89" s="41">
        <v>30</v>
      </c>
      <c r="AH89" s="41">
        <v>31</v>
      </c>
      <c r="AI89" s="3580"/>
      <c r="AJ89" s="3580"/>
      <c r="AK89" s="3580"/>
    </row>
    <row r="90" spans="1:37" hidden="1">
      <c r="A90" s="4300" t="s">
        <v>353</v>
      </c>
      <c r="B90" s="4300"/>
      <c r="C90" s="4300"/>
      <c r="D90" s="4299"/>
      <c r="E90" s="4299"/>
      <c r="F90" s="4299"/>
      <c r="G90" s="4299"/>
      <c r="H90" s="4299"/>
      <c r="I90" s="4299"/>
      <c r="J90" s="4299"/>
      <c r="K90" s="4299"/>
      <c r="L90" s="4299"/>
      <c r="M90" s="4299"/>
      <c r="N90" s="4299"/>
      <c r="O90" s="4299"/>
      <c r="P90" s="4299"/>
      <c r="Q90" s="4299"/>
      <c r="R90" s="4299"/>
      <c r="S90" s="4299"/>
      <c r="T90" s="4299"/>
      <c r="U90" s="4299"/>
      <c r="V90" s="4299"/>
      <c r="W90" s="4299"/>
      <c r="X90" s="4299"/>
      <c r="Y90" s="4299"/>
      <c r="Z90" s="4299"/>
      <c r="AA90" s="4299"/>
      <c r="AB90" s="4299"/>
      <c r="AC90" s="4299"/>
      <c r="AD90" s="4299"/>
      <c r="AE90" s="4299"/>
      <c r="AF90" s="4299"/>
      <c r="AG90" s="4299"/>
      <c r="AH90" s="3579"/>
      <c r="AI90" s="4300" t="s">
        <v>354</v>
      </c>
      <c r="AJ90" s="4300"/>
      <c r="AK90" s="4300"/>
    </row>
    <row r="91" spans="1:37" hidden="1">
      <c r="A91" s="4299" t="s">
        <v>345</v>
      </c>
      <c r="B91" s="4299"/>
      <c r="C91" s="4299"/>
      <c r="D91">
        <f t="shared" ref="D91:AH91" si="5">(D79+D84)/D75</f>
        <v>1</v>
      </c>
      <c r="E91">
        <f t="shared" si="5"/>
        <v>1</v>
      </c>
      <c r="F91">
        <f t="shared" si="5"/>
        <v>1</v>
      </c>
      <c r="G91">
        <f t="shared" si="5"/>
        <v>1</v>
      </c>
      <c r="H91">
        <f t="shared" si="5"/>
        <v>1</v>
      </c>
      <c r="I91">
        <f t="shared" si="5"/>
        <v>1</v>
      </c>
      <c r="J91">
        <f t="shared" si="5"/>
        <v>1</v>
      </c>
      <c r="K91">
        <f t="shared" si="5"/>
        <v>1</v>
      </c>
      <c r="L91">
        <f t="shared" si="5"/>
        <v>1</v>
      </c>
      <c r="M91">
        <f t="shared" si="5"/>
        <v>1</v>
      </c>
      <c r="N91">
        <f t="shared" si="5"/>
        <v>1</v>
      </c>
      <c r="O91">
        <f t="shared" si="5"/>
        <v>1</v>
      </c>
      <c r="P91">
        <f t="shared" si="5"/>
        <v>1</v>
      </c>
      <c r="Q91">
        <f t="shared" si="5"/>
        <v>1</v>
      </c>
      <c r="R91">
        <f t="shared" si="5"/>
        <v>1</v>
      </c>
      <c r="S91">
        <f t="shared" si="5"/>
        <v>1</v>
      </c>
      <c r="T91">
        <f t="shared" si="5"/>
        <v>1</v>
      </c>
      <c r="U91">
        <f t="shared" si="5"/>
        <v>1</v>
      </c>
      <c r="V91">
        <f t="shared" si="5"/>
        <v>1</v>
      </c>
      <c r="W91">
        <f t="shared" si="5"/>
        <v>1</v>
      </c>
      <c r="X91">
        <f t="shared" si="5"/>
        <v>1</v>
      </c>
      <c r="Y91">
        <f t="shared" si="5"/>
        <v>1</v>
      </c>
      <c r="Z91">
        <f t="shared" si="5"/>
        <v>1</v>
      </c>
      <c r="AA91">
        <f t="shared" si="5"/>
        <v>1</v>
      </c>
      <c r="AB91">
        <f t="shared" si="5"/>
        <v>1</v>
      </c>
      <c r="AC91">
        <f t="shared" si="5"/>
        <v>1</v>
      </c>
      <c r="AD91">
        <f t="shared" si="5"/>
        <v>1</v>
      </c>
      <c r="AE91">
        <f t="shared" si="5"/>
        <v>1</v>
      </c>
      <c r="AF91">
        <f t="shared" si="5"/>
        <v>1</v>
      </c>
      <c r="AG91">
        <f t="shared" si="5"/>
        <v>1</v>
      </c>
      <c r="AH91">
        <f t="shared" si="5"/>
        <v>1</v>
      </c>
      <c r="AI91" s="4299" t="s">
        <v>345</v>
      </c>
      <c r="AJ91" s="4299"/>
      <c r="AK91" s="4299"/>
    </row>
    <row r="92" spans="1:37" hidden="1">
      <c r="A92" s="4299" t="s">
        <v>346</v>
      </c>
      <c r="B92" s="4299"/>
      <c r="C92" s="4299"/>
      <c r="D92">
        <f t="shared" ref="D92:AH92" si="6">(D80+D85)/D76</f>
        <v>1.4</v>
      </c>
      <c r="E92">
        <f t="shared" si="6"/>
        <v>1.4</v>
      </c>
      <c r="F92">
        <f t="shared" si="6"/>
        <v>1.4</v>
      </c>
      <c r="G92">
        <f t="shared" si="6"/>
        <v>1.4</v>
      </c>
      <c r="H92">
        <f t="shared" si="6"/>
        <v>1</v>
      </c>
      <c r="I92">
        <f t="shared" si="6"/>
        <v>1</v>
      </c>
      <c r="J92">
        <f t="shared" si="6"/>
        <v>1</v>
      </c>
      <c r="K92">
        <f t="shared" si="6"/>
        <v>1</v>
      </c>
      <c r="L92">
        <f t="shared" si="6"/>
        <v>1</v>
      </c>
      <c r="M92">
        <f t="shared" si="6"/>
        <v>1</v>
      </c>
      <c r="N92">
        <f t="shared" si="6"/>
        <v>1</v>
      </c>
      <c r="O92">
        <f t="shared" si="6"/>
        <v>1.4</v>
      </c>
      <c r="P92">
        <f t="shared" si="6"/>
        <v>1.4</v>
      </c>
      <c r="Q92">
        <f t="shared" si="6"/>
        <v>1.4</v>
      </c>
      <c r="R92">
        <f t="shared" si="6"/>
        <v>2.4</v>
      </c>
      <c r="S92">
        <f t="shared" si="6"/>
        <v>1.2</v>
      </c>
      <c r="T92">
        <f t="shared" si="6"/>
        <v>1.2</v>
      </c>
      <c r="U92">
        <f t="shared" si="6"/>
        <v>1.2</v>
      </c>
      <c r="V92">
        <f t="shared" si="6"/>
        <v>0.8</v>
      </c>
      <c r="W92">
        <f t="shared" si="6"/>
        <v>0.8</v>
      </c>
      <c r="X92">
        <f t="shared" si="6"/>
        <v>0.8</v>
      </c>
      <c r="Y92">
        <f t="shared" si="6"/>
        <v>0.8</v>
      </c>
      <c r="Z92">
        <f t="shared" si="6"/>
        <v>0.2</v>
      </c>
      <c r="AA92">
        <f t="shared" si="6"/>
        <v>0.2</v>
      </c>
      <c r="AB92">
        <f t="shared" si="6"/>
        <v>0.2</v>
      </c>
      <c r="AC92">
        <f t="shared" si="6"/>
        <v>0.2</v>
      </c>
      <c r="AD92">
        <f t="shared" si="6"/>
        <v>0.2</v>
      </c>
      <c r="AE92">
        <f t="shared" si="6"/>
        <v>0.2</v>
      </c>
      <c r="AF92">
        <f t="shared" si="6"/>
        <v>0.2</v>
      </c>
      <c r="AG92">
        <f t="shared" si="6"/>
        <v>0.2</v>
      </c>
      <c r="AH92">
        <f t="shared" si="6"/>
        <v>0.2</v>
      </c>
      <c r="AI92" s="4299" t="s">
        <v>346</v>
      </c>
      <c r="AJ92" s="4299"/>
      <c r="AK92" s="4299"/>
    </row>
    <row r="93" spans="1:37" hidden="1">
      <c r="A93" s="4299" t="s">
        <v>347</v>
      </c>
      <c r="B93" s="4299"/>
      <c r="C93" s="4299"/>
      <c r="AI93" s="3579"/>
      <c r="AJ93" s="3579"/>
      <c r="AK93" s="3579"/>
    </row>
    <row r="94" spans="1:37" hidden="1">
      <c r="A94" s="4299" t="s">
        <v>23</v>
      </c>
      <c r="B94" s="4299"/>
      <c r="C94" s="4299"/>
      <c r="D94">
        <f t="shared" ref="D94:AH94" si="7">(D82+D87)/D77</f>
        <v>1.125</v>
      </c>
      <c r="E94">
        <f t="shared" si="7"/>
        <v>1.125</v>
      </c>
      <c r="F94">
        <f t="shared" si="7"/>
        <v>1.125</v>
      </c>
      <c r="G94">
        <f t="shared" si="7"/>
        <v>1.125</v>
      </c>
      <c r="H94">
        <f t="shared" si="7"/>
        <v>1.125</v>
      </c>
      <c r="I94">
        <f t="shared" si="7"/>
        <v>0.875</v>
      </c>
      <c r="J94">
        <f t="shared" si="7"/>
        <v>1.125</v>
      </c>
      <c r="K94">
        <f t="shared" si="7"/>
        <v>1.125</v>
      </c>
      <c r="L94">
        <f t="shared" si="7"/>
        <v>1.125</v>
      </c>
      <c r="M94">
        <f t="shared" si="7"/>
        <v>1.125</v>
      </c>
      <c r="N94">
        <f t="shared" si="7"/>
        <v>1.125</v>
      </c>
      <c r="O94">
        <f t="shared" si="7"/>
        <v>1.125</v>
      </c>
      <c r="P94">
        <f t="shared" si="7"/>
        <v>1.125</v>
      </c>
      <c r="Q94">
        <f t="shared" si="7"/>
        <v>1.125</v>
      </c>
      <c r="R94">
        <f t="shared" si="7"/>
        <v>1.125</v>
      </c>
      <c r="S94">
        <f t="shared" si="7"/>
        <v>1.125</v>
      </c>
      <c r="T94">
        <f t="shared" si="7"/>
        <v>1.125</v>
      </c>
      <c r="U94">
        <f t="shared" si="7"/>
        <v>1.125</v>
      </c>
      <c r="V94">
        <f t="shared" si="7"/>
        <v>1.25</v>
      </c>
      <c r="W94">
        <f t="shared" si="7"/>
        <v>1.25</v>
      </c>
      <c r="X94">
        <f t="shared" si="7"/>
        <v>1.25</v>
      </c>
      <c r="Y94">
        <f t="shared" si="7"/>
        <v>1.25</v>
      </c>
      <c r="Z94">
        <f t="shared" si="7"/>
        <v>1.25</v>
      </c>
      <c r="AA94">
        <f t="shared" si="7"/>
        <v>1.25</v>
      </c>
      <c r="AB94">
        <f t="shared" si="7"/>
        <v>1.25</v>
      </c>
      <c r="AC94">
        <f t="shared" si="7"/>
        <v>1.125</v>
      </c>
      <c r="AD94">
        <f t="shared" si="7"/>
        <v>1.125</v>
      </c>
      <c r="AE94">
        <f t="shared" si="7"/>
        <v>1.125</v>
      </c>
      <c r="AF94">
        <f t="shared" si="7"/>
        <v>1.125</v>
      </c>
      <c r="AG94">
        <f t="shared" si="7"/>
        <v>1.125</v>
      </c>
      <c r="AH94">
        <f t="shared" si="7"/>
        <v>1.125</v>
      </c>
      <c r="AI94" s="4299" t="s">
        <v>23</v>
      </c>
      <c r="AJ94" s="4299"/>
      <c r="AK94" s="4299"/>
    </row>
    <row r="95" spans="1:37" hidden="1">
      <c r="A95" s="4302" t="s">
        <v>355</v>
      </c>
      <c r="B95" s="4299"/>
      <c r="C95" s="4299"/>
      <c r="D95" s="4299"/>
      <c r="E95" s="4299"/>
      <c r="F95" s="4299"/>
      <c r="G95" s="4299"/>
      <c r="H95" s="4299"/>
      <c r="I95" s="4299"/>
      <c r="J95" s="4299"/>
      <c r="K95" s="4299"/>
      <c r="L95" s="4299"/>
      <c r="M95" s="4299"/>
      <c r="N95" s="4299"/>
      <c r="O95" s="4299"/>
      <c r="P95" s="4299"/>
      <c r="Q95" s="4299"/>
      <c r="R95" s="4299"/>
      <c r="S95" s="4299"/>
      <c r="T95" s="4299"/>
      <c r="U95" s="4299"/>
      <c r="V95" s="4299"/>
      <c r="W95" s="4299"/>
      <c r="X95" s="4299"/>
      <c r="Y95" s="4299"/>
      <c r="Z95" s="4299"/>
      <c r="AA95" s="4299"/>
      <c r="AB95" s="4299"/>
      <c r="AC95" s="4299"/>
      <c r="AD95" s="4299"/>
      <c r="AE95" s="4299"/>
      <c r="AF95" s="4299"/>
      <c r="AG95" s="4299"/>
      <c r="AH95" s="3579"/>
      <c r="AI95" s="4302" t="s">
        <v>355</v>
      </c>
      <c r="AJ95" s="4299"/>
      <c r="AK95" s="4299"/>
    </row>
    <row r="96" spans="1:37" hidden="1">
      <c r="A96" s="4303" t="s">
        <v>356</v>
      </c>
      <c r="B96" s="4303"/>
      <c r="C96" s="4303"/>
      <c r="D96">
        <f>D75/(D65+D70)</f>
        <v>4.333333333333333</v>
      </c>
      <c r="E96">
        <f t="shared" ref="E96:AH96" si="8">E75/(E65+E70)</f>
        <v>4.333333333333333</v>
      </c>
      <c r="F96">
        <f t="shared" si="8"/>
        <v>4.333333333333333</v>
      </c>
      <c r="G96">
        <f t="shared" si="8"/>
        <v>4.333333333333333</v>
      </c>
      <c r="H96">
        <f t="shared" si="8"/>
        <v>4.333333333333333</v>
      </c>
      <c r="I96">
        <f t="shared" si="8"/>
        <v>4.333333333333333</v>
      </c>
      <c r="J96">
        <f t="shared" si="8"/>
        <v>4.333333333333333</v>
      </c>
      <c r="K96">
        <f t="shared" si="8"/>
        <v>6.5</v>
      </c>
      <c r="L96">
        <f t="shared" si="8"/>
        <v>6.5</v>
      </c>
      <c r="M96">
        <f t="shared" si="8"/>
        <v>6.5</v>
      </c>
      <c r="N96">
        <f t="shared" si="8"/>
        <v>6.5</v>
      </c>
      <c r="O96">
        <f t="shared" si="8"/>
        <v>6.5</v>
      </c>
      <c r="P96">
        <f t="shared" si="8"/>
        <v>6.5</v>
      </c>
      <c r="Q96">
        <f t="shared" si="8"/>
        <v>6.5</v>
      </c>
      <c r="R96">
        <f t="shared" si="8"/>
        <v>6.5</v>
      </c>
      <c r="S96">
        <f t="shared" si="8"/>
        <v>4.333333333333333</v>
      </c>
      <c r="T96">
        <f t="shared" si="8"/>
        <v>4.333333333333333</v>
      </c>
      <c r="U96">
        <f t="shared" si="8"/>
        <v>4.333333333333333</v>
      </c>
      <c r="V96">
        <f t="shared" si="8"/>
        <v>4.333333333333333</v>
      </c>
      <c r="W96">
        <f t="shared" si="8"/>
        <v>4.333333333333333</v>
      </c>
      <c r="X96">
        <f t="shared" si="8"/>
        <v>4.333333333333333</v>
      </c>
      <c r="Y96">
        <f t="shared" si="8"/>
        <v>4.333333333333333</v>
      </c>
      <c r="Z96">
        <f t="shared" si="8"/>
        <v>4.333333333333333</v>
      </c>
      <c r="AA96">
        <f t="shared" si="8"/>
        <v>4.333333333333333</v>
      </c>
      <c r="AB96">
        <f t="shared" si="8"/>
        <v>4.333333333333333</v>
      </c>
      <c r="AC96">
        <f t="shared" si="8"/>
        <v>4.333333333333333</v>
      </c>
      <c r="AD96">
        <f t="shared" si="8"/>
        <v>4.333333333333333</v>
      </c>
      <c r="AE96">
        <f t="shared" si="8"/>
        <v>4.333333333333333</v>
      </c>
      <c r="AF96">
        <f t="shared" si="8"/>
        <v>4.333333333333333</v>
      </c>
      <c r="AG96">
        <f t="shared" si="8"/>
        <v>4.333333333333333</v>
      </c>
      <c r="AH96">
        <f t="shared" si="8"/>
        <v>4.333333333333333</v>
      </c>
      <c r="AI96" s="4303" t="s">
        <v>356</v>
      </c>
      <c r="AJ96" s="4303"/>
      <c r="AK96" s="4303"/>
    </row>
    <row r="97" spans="1:37" hidden="1">
      <c r="A97" s="4303" t="s">
        <v>357</v>
      </c>
      <c r="B97" s="4303"/>
      <c r="C97" s="4303"/>
      <c r="D97">
        <f>D76/(D71+D66)</f>
        <v>1.6666666666666667</v>
      </c>
      <c r="E97">
        <f t="shared" ref="E97:AH97" si="9">E76/(E71+E66)</f>
        <v>1.6666666666666667</v>
      </c>
      <c r="F97">
        <f t="shared" si="9"/>
        <v>1.6666666666666667</v>
      </c>
      <c r="G97">
        <f t="shared" si="9"/>
        <v>1.6666666666666667</v>
      </c>
      <c r="H97">
        <f t="shared" si="9"/>
        <v>2.5</v>
      </c>
      <c r="I97">
        <f t="shared" si="9"/>
        <v>1.6666666666666667</v>
      </c>
      <c r="J97">
        <f t="shared" si="9"/>
        <v>1.6666666666666667</v>
      </c>
      <c r="K97">
        <f t="shared" si="9"/>
        <v>1.6666666666666667</v>
      </c>
      <c r="L97">
        <f t="shared" si="9"/>
        <v>1.6666666666666667</v>
      </c>
      <c r="M97">
        <f t="shared" si="9"/>
        <v>1.6666666666666667</v>
      </c>
      <c r="N97">
        <f t="shared" si="9"/>
        <v>2.5</v>
      </c>
      <c r="O97">
        <f t="shared" si="9"/>
        <v>1.6666666666666667</v>
      </c>
      <c r="P97">
        <f t="shared" si="9"/>
        <v>1.6666666666666667</v>
      </c>
      <c r="Q97">
        <f t="shared" si="9"/>
        <v>1.25</v>
      </c>
      <c r="R97">
        <f t="shared" si="9"/>
        <v>1.25</v>
      </c>
      <c r="S97">
        <f t="shared" si="9"/>
        <v>1.6666666666666667</v>
      </c>
      <c r="T97">
        <f t="shared" si="9"/>
        <v>1.6666666666666667</v>
      </c>
      <c r="U97">
        <f t="shared" si="9"/>
        <v>1.6666666666666667</v>
      </c>
      <c r="V97">
        <f t="shared" si="9"/>
        <v>2.5</v>
      </c>
      <c r="W97">
        <f t="shared" si="9"/>
        <v>2.5</v>
      </c>
      <c r="X97">
        <f t="shared" si="9"/>
        <v>2.5</v>
      </c>
      <c r="Y97">
        <f t="shared" si="9"/>
        <v>2.5</v>
      </c>
      <c r="Z97" s="878">
        <f t="shared" si="9"/>
        <v>2.5</v>
      </c>
      <c r="AA97">
        <f t="shared" si="9"/>
        <v>2.5</v>
      </c>
      <c r="AB97">
        <f t="shared" si="9"/>
        <v>2.5</v>
      </c>
      <c r="AC97">
        <f t="shared" si="9"/>
        <v>2.5</v>
      </c>
      <c r="AD97">
        <f t="shared" si="9"/>
        <v>2.5</v>
      </c>
      <c r="AE97">
        <f t="shared" si="9"/>
        <v>2.5</v>
      </c>
      <c r="AF97">
        <f t="shared" si="9"/>
        <v>2.5</v>
      </c>
      <c r="AG97">
        <f t="shared" si="9"/>
        <v>2.5</v>
      </c>
      <c r="AH97">
        <f t="shared" si="9"/>
        <v>2.5</v>
      </c>
      <c r="AI97" s="4303" t="s">
        <v>357</v>
      </c>
      <c r="AJ97" s="4303"/>
      <c r="AK97" s="4303"/>
    </row>
    <row r="98" spans="1:37" hidden="1">
      <c r="A98" s="4303" t="s">
        <v>347</v>
      </c>
      <c r="B98" s="4303"/>
      <c r="C98" s="4303"/>
      <c r="Z98" s="878"/>
      <c r="AI98" s="3581"/>
      <c r="AJ98" s="3581"/>
      <c r="AK98" s="3581"/>
    </row>
    <row r="99" spans="1:37" hidden="1">
      <c r="A99" s="4303" t="s">
        <v>358</v>
      </c>
      <c r="B99" s="4303"/>
      <c r="C99" s="4303"/>
      <c r="D99">
        <f>D77/(D73+D68)</f>
        <v>2</v>
      </c>
      <c r="E99">
        <f t="shared" ref="E99:AH99" si="10">E77/(E73+E68)</f>
        <v>2</v>
      </c>
      <c r="F99">
        <f t="shared" si="10"/>
        <v>2</v>
      </c>
      <c r="G99">
        <f t="shared" si="10"/>
        <v>2</v>
      </c>
      <c r="H99">
        <f t="shared" si="10"/>
        <v>2</v>
      </c>
      <c r="I99">
        <f t="shared" si="10"/>
        <v>1.6</v>
      </c>
      <c r="J99">
        <f t="shared" si="10"/>
        <v>2</v>
      </c>
      <c r="K99">
        <f t="shared" si="10"/>
        <v>2</v>
      </c>
      <c r="L99">
        <f t="shared" si="10"/>
        <v>2</v>
      </c>
      <c r="M99">
        <f t="shared" si="10"/>
        <v>2</v>
      </c>
      <c r="N99">
        <f t="shared" si="10"/>
        <v>2.6666666666666665</v>
      </c>
      <c r="O99">
        <f t="shared" si="10"/>
        <v>2.6666666666666665</v>
      </c>
      <c r="P99">
        <f t="shared" si="10"/>
        <v>2.6666666666666665</v>
      </c>
      <c r="Q99">
        <f t="shared" si="10"/>
        <v>2.6666666666666665</v>
      </c>
      <c r="R99">
        <f t="shared" si="10"/>
        <v>2.6666666666666665</v>
      </c>
      <c r="S99">
        <f t="shared" si="10"/>
        <v>2</v>
      </c>
      <c r="T99">
        <f t="shared" si="10"/>
        <v>2</v>
      </c>
      <c r="U99">
        <f t="shared" si="10"/>
        <v>2</v>
      </c>
      <c r="V99">
        <f t="shared" si="10"/>
        <v>2</v>
      </c>
      <c r="W99">
        <f t="shared" si="10"/>
        <v>2</v>
      </c>
      <c r="X99">
        <f t="shared" si="10"/>
        <v>2</v>
      </c>
      <c r="Y99">
        <f t="shared" si="10"/>
        <v>2</v>
      </c>
      <c r="Z99">
        <f t="shared" si="10"/>
        <v>2</v>
      </c>
      <c r="AA99">
        <f t="shared" si="10"/>
        <v>2</v>
      </c>
      <c r="AB99">
        <f t="shared" si="10"/>
        <v>2</v>
      </c>
      <c r="AC99">
        <f>AC77/(AC73+AC68)</f>
        <v>1.3333333333333333</v>
      </c>
      <c r="AD99">
        <f t="shared" si="10"/>
        <v>1.3333333333333333</v>
      </c>
      <c r="AE99">
        <f t="shared" si="10"/>
        <v>1.3333333333333333</v>
      </c>
      <c r="AF99">
        <f t="shared" si="10"/>
        <v>1.3333333333333333</v>
      </c>
      <c r="AG99">
        <f t="shared" si="10"/>
        <v>1.3333333333333333</v>
      </c>
      <c r="AH99">
        <f t="shared" si="10"/>
        <v>1.3333333333333333</v>
      </c>
      <c r="AI99" s="4303" t="s">
        <v>358</v>
      </c>
      <c r="AJ99" s="4303"/>
      <c r="AK99" s="4303"/>
    </row>
    <row r="100" spans="1:37" hidden="1">
      <c r="A100" s="4300" t="s">
        <v>359</v>
      </c>
      <c r="B100" s="4300"/>
      <c r="C100" s="4300"/>
      <c r="D100" s="4300"/>
      <c r="E100" s="4300"/>
      <c r="F100" s="4300"/>
      <c r="G100" s="4300"/>
      <c r="H100" s="4300"/>
      <c r="I100" s="4300"/>
      <c r="J100" s="4300"/>
      <c r="K100" s="4300"/>
      <c r="L100" s="4300"/>
      <c r="M100" s="4300"/>
      <c r="N100" s="4300"/>
      <c r="O100" s="4300"/>
      <c r="P100" s="4300"/>
      <c r="Q100" s="4300"/>
      <c r="R100" s="4300"/>
      <c r="S100" s="4300"/>
      <c r="T100" s="4300"/>
      <c r="U100" s="4300"/>
      <c r="V100" s="4300"/>
      <c r="W100" s="4300"/>
      <c r="X100" s="4300"/>
      <c r="Y100" s="4300"/>
      <c r="Z100" s="4300"/>
      <c r="AA100" s="4300"/>
      <c r="AB100" s="4300"/>
      <c r="AC100" s="4300"/>
      <c r="AD100" s="4300"/>
      <c r="AE100" s="4300"/>
      <c r="AF100" s="4300"/>
      <c r="AG100" s="4300"/>
      <c r="AH100" s="3582"/>
      <c r="AI100" s="4300" t="s">
        <v>360</v>
      </c>
      <c r="AJ100" s="4300"/>
      <c r="AK100" s="4300"/>
    </row>
    <row r="101" spans="1:37" hidden="1">
      <c r="A101" s="4299" t="s">
        <v>345</v>
      </c>
      <c r="B101" s="4299"/>
      <c r="C101" s="4299"/>
      <c r="D101">
        <f>ABS(D91-((((D75*8)/D96)/(D75*8))*(D70+D65)))</f>
        <v>0.30769230769230771</v>
      </c>
      <c r="E101">
        <f t="shared" ref="E101:AH101" si="11">ABS(E91-((((E75*8)/E96)/(E75*8))*(E70+E65)))</f>
        <v>0.30769230769230771</v>
      </c>
      <c r="F101">
        <f>ABS(F91-((((F75*8)/F96)/(F75*8))*(F70+F65)))</f>
        <v>0.30769230769230771</v>
      </c>
      <c r="G101">
        <f t="shared" si="11"/>
        <v>0.30769230769230771</v>
      </c>
      <c r="H101">
        <f t="shared" si="11"/>
        <v>0.30769230769230771</v>
      </c>
      <c r="I101">
        <f t="shared" si="11"/>
        <v>0.30769230769230771</v>
      </c>
      <c r="J101">
        <f t="shared" si="11"/>
        <v>0.30769230769230771</v>
      </c>
      <c r="K101">
        <f t="shared" si="11"/>
        <v>0.69230769230769229</v>
      </c>
      <c r="L101">
        <f t="shared" si="11"/>
        <v>0.69230769230769229</v>
      </c>
      <c r="M101">
        <f t="shared" si="11"/>
        <v>0.69230769230769229</v>
      </c>
      <c r="N101">
        <f t="shared" si="11"/>
        <v>0.69230769230769229</v>
      </c>
      <c r="O101">
        <f t="shared" si="11"/>
        <v>0.69230769230769229</v>
      </c>
      <c r="P101">
        <f t="shared" si="11"/>
        <v>0.69230769230769229</v>
      </c>
      <c r="Q101">
        <f t="shared" si="11"/>
        <v>0.69230769230769229</v>
      </c>
      <c r="R101">
        <f t="shared" si="11"/>
        <v>0.69230769230769229</v>
      </c>
      <c r="S101">
        <f t="shared" si="11"/>
        <v>0.30769230769230771</v>
      </c>
      <c r="T101">
        <f t="shared" si="11"/>
        <v>0.30769230769230771</v>
      </c>
      <c r="U101">
        <f t="shared" si="11"/>
        <v>0.30769230769230771</v>
      </c>
      <c r="V101">
        <f t="shared" si="11"/>
        <v>0.30769230769230771</v>
      </c>
      <c r="W101">
        <f t="shared" si="11"/>
        <v>0.30769230769230771</v>
      </c>
      <c r="X101">
        <f t="shared" si="11"/>
        <v>0.30769230769230771</v>
      </c>
      <c r="Y101">
        <f t="shared" si="11"/>
        <v>0.30769230769230771</v>
      </c>
      <c r="Z101">
        <f t="shared" si="11"/>
        <v>0.30769230769230771</v>
      </c>
      <c r="AA101">
        <f t="shared" si="11"/>
        <v>0.30769230769230771</v>
      </c>
      <c r="AB101">
        <f t="shared" si="11"/>
        <v>0.30769230769230771</v>
      </c>
      <c r="AC101">
        <f t="shared" si="11"/>
        <v>0.30769230769230771</v>
      </c>
      <c r="AD101">
        <f t="shared" si="11"/>
        <v>0.30769230769230771</v>
      </c>
      <c r="AE101">
        <f t="shared" si="11"/>
        <v>0.30769230769230771</v>
      </c>
      <c r="AF101">
        <f t="shared" si="11"/>
        <v>0.30769230769230771</v>
      </c>
      <c r="AG101">
        <f t="shared" si="11"/>
        <v>0.30769230769230771</v>
      </c>
      <c r="AH101">
        <f t="shared" si="11"/>
        <v>0.30769230769230771</v>
      </c>
      <c r="AI101" s="4299" t="s">
        <v>345</v>
      </c>
      <c r="AJ101" s="4299"/>
      <c r="AK101" s="4299"/>
    </row>
    <row r="102" spans="1:37" hidden="1">
      <c r="A102" s="4299" t="s">
        <v>346</v>
      </c>
      <c r="B102" s="4299"/>
      <c r="C102" s="4299"/>
      <c r="D102">
        <f>ABS(D92-((((D76*8)/D97)/(D76*8))*(D71+D66)))</f>
        <v>0.39999999999999991</v>
      </c>
      <c r="E102">
        <f t="shared" ref="E102:AH102" si="12">ABS(E92-((((E76*8)/E97)/(E76*8))*(E71+E66)))</f>
        <v>0.39999999999999991</v>
      </c>
      <c r="F102">
        <f t="shared" si="12"/>
        <v>0.39999999999999991</v>
      </c>
      <c r="G102">
        <f t="shared" si="12"/>
        <v>0.39999999999999991</v>
      </c>
      <c r="H102">
        <f t="shared" si="12"/>
        <v>0.19999999999999996</v>
      </c>
      <c r="I102">
        <f t="shared" si="12"/>
        <v>0.79999999999999982</v>
      </c>
      <c r="J102">
        <f t="shared" si="12"/>
        <v>0.79999999999999982</v>
      </c>
      <c r="K102">
        <f t="shared" si="12"/>
        <v>0.79999999999999982</v>
      </c>
      <c r="L102">
        <f t="shared" si="12"/>
        <v>0.79999999999999982</v>
      </c>
      <c r="M102">
        <f t="shared" si="12"/>
        <v>0.79999999999999982</v>
      </c>
      <c r="N102">
        <f t="shared" si="12"/>
        <v>0.19999999999999996</v>
      </c>
      <c r="O102">
        <f t="shared" si="12"/>
        <v>0.39999999999999991</v>
      </c>
      <c r="P102">
        <f t="shared" si="12"/>
        <v>0.39999999999999991</v>
      </c>
      <c r="Q102">
        <f t="shared" si="12"/>
        <v>1.8000000000000003</v>
      </c>
      <c r="R102">
        <f t="shared" si="12"/>
        <v>0.80000000000000027</v>
      </c>
      <c r="S102">
        <f t="shared" si="12"/>
        <v>0.59999999999999987</v>
      </c>
      <c r="T102">
        <f t="shared" si="12"/>
        <v>0.59999999999999987</v>
      </c>
      <c r="U102">
        <f t="shared" si="12"/>
        <v>0.59999999999999987</v>
      </c>
      <c r="V102">
        <f t="shared" si="12"/>
        <v>0</v>
      </c>
      <c r="W102">
        <f t="shared" si="12"/>
        <v>0</v>
      </c>
      <c r="X102">
        <f t="shared" si="12"/>
        <v>0</v>
      </c>
      <c r="Y102">
        <f t="shared" si="12"/>
        <v>0</v>
      </c>
      <c r="Z102">
        <f t="shared" si="12"/>
        <v>0.60000000000000009</v>
      </c>
      <c r="AA102">
        <f t="shared" si="12"/>
        <v>0.60000000000000009</v>
      </c>
      <c r="AB102">
        <f t="shared" si="12"/>
        <v>0.60000000000000009</v>
      </c>
      <c r="AC102">
        <f t="shared" si="12"/>
        <v>0.60000000000000009</v>
      </c>
      <c r="AD102">
        <f t="shared" si="12"/>
        <v>0.60000000000000009</v>
      </c>
      <c r="AE102">
        <f t="shared" si="12"/>
        <v>0.60000000000000009</v>
      </c>
      <c r="AF102">
        <f t="shared" si="12"/>
        <v>0.60000000000000009</v>
      </c>
      <c r="AG102">
        <f t="shared" si="12"/>
        <v>0.60000000000000009</v>
      </c>
      <c r="AH102">
        <f t="shared" si="12"/>
        <v>0.60000000000000009</v>
      </c>
      <c r="AI102" s="4299" t="s">
        <v>346</v>
      </c>
      <c r="AJ102" s="4299"/>
      <c r="AK102" s="4299"/>
    </row>
    <row r="103" spans="1:37" hidden="1">
      <c r="A103" s="4299" t="s">
        <v>23</v>
      </c>
      <c r="B103" s="4299"/>
      <c r="C103" s="4299"/>
      <c r="D103">
        <f>ABS(D94-((((D77*8)/D99)/(D77*8))*(D73+D68)))</f>
        <v>0.875</v>
      </c>
      <c r="E103">
        <f t="shared" ref="E103:AH103" si="13">ABS(E94-((((E77*8)/E99)/(E77*8))*(E73+E68)))</f>
        <v>0.875</v>
      </c>
      <c r="F103">
        <f t="shared" si="13"/>
        <v>0.875</v>
      </c>
      <c r="G103">
        <f t="shared" si="13"/>
        <v>0.875</v>
      </c>
      <c r="H103">
        <f t="shared" si="13"/>
        <v>0.875</v>
      </c>
      <c r="I103">
        <f t="shared" si="13"/>
        <v>2.25</v>
      </c>
      <c r="J103">
        <f t="shared" si="13"/>
        <v>0.875</v>
      </c>
      <c r="K103">
        <f t="shared" si="13"/>
        <v>0.875</v>
      </c>
      <c r="L103">
        <f t="shared" si="13"/>
        <v>0.875</v>
      </c>
      <c r="M103">
        <f t="shared" si="13"/>
        <v>0.875</v>
      </c>
      <c r="N103">
        <f t="shared" si="13"/>
        <v>0</v>
      </c>
      <c r="O103">
        <f t="shared" si="13"/>
        <v>0</v>
      </c>
      <c r="P103">
        <f t="shared" si="13"/>
        <v>0</v>
      </c>
      <c r="Q103">
        <f t="shared" si="13"/>
        <v>0</v>
      </c>
      <c r="R103">
        <f t="shared" si="13"/>
        <v>0</v>
      </c>
      <c r="S103">
        <f t="shared" si="13"/>
        <v>0.875</v>
      </c>
      <c r="T103">
        <f t="shared" si="13"/>
        <v>0.875</v>
      </c>
      <c r="U103">
        <f t="shared" si="13"/>
        <v>0.875</v>
      </c>
      <c r="V103">
        <f t="shared" si="13"/>
        <v>0.75</v>
      </c>
      <c r="W103">
        <f t="shared" si="13"/>
        <v>0.75</v>
      </c>
      <c r="X103">
        <f t="shared" si="13"/>
        <v>0.75</v>
      </c>
      <c r="Y103">
        <f t="shared" si="13"/>
        <v>0.75</v>
      </c>
      <c r="Z103">
        <f t="shared" si="13"/>
        <v>0.75</v>
      </c>
      <c r="AA103">
        <f t="shared" si="13"/>
        <v>0.75</v>
      </c>
      <c r="AB103">
        <f t="shared" si="13"/>
        <v>0.75</v>
      </c>
      <c r="AC103">
        <f t="shared" si="13"/>
        <v>3.375</v>
      </c>
      <c r="AD103">
        <f t="shared" si="13"/>
        <v>3.375</v>
      </c>
      <c r="AE103">
        <f t="shared" si="13"/>
        <v>3.375</v>
      </c>
      <c r="AF103">
        <f t="shared" si="13"/>
        <v>3.375</v>
      </c>
      <c r="AG103">
        <f t="shared" si="13"/>
        <v>3.375</v>
      </c>
      <c r="AH103">
        <f t="shared" si="13"/>
        <v>3.375</v>
      </c>
      <c r="AI103" s="4299" t="s">
        <v>23</v>
      </c>
      <c r="AJ103" s="4299"/>
      <c r="AK103" s="4299"/>
    </row>
  </sheetData>
  <mergeCells count="203">
    <mergeCell ref="I56:M56"/>
    <mergeCell ref="I53:M53"/>
    <mergeCell ref="E55:F55"/>
    <mergeCell ref="E50:F50"/>
    <mergeCell ref="I60:M60"/>
    <mergeCell ref="X54:Y54"/>
    <mergeCell ref="W33:AA33"/>
    <mergeCell ref="X50:Y50"/>
    <mergeCell ref="Z50:AA50"/>
    <mergeCell ref="R37:AA37"/>
    <mergeCell ref="E40:Y40"/>
    <mergeCell ref="Z48:AC48"/>
    <mergeCell ref="Z54:AB54"/>
    <mergeCell ref="G95:I95"/>
    <mergeCell ref="J95:L95"/>
    <mergeCell ref="M95:O95"/>
    <mergeCell ref="P95:R95"/>
    <mergeCell ref="G90:I90"/>
    <mergeCell ref="J90:L90"/>
    <mergeCell ref="M90:O90"/>
    <mergeCell ref="P90:R90"/>
    <mergeCell ref="Y88:AA88"/>
    <mergeCell ref="V95:X95"/>
    <mergeCell ref="Y95:AA95"/>
    <mergeCell ref="Y90:AA90"/>
    <mergeCell ref="A98:C98"/>
    <mergeCell ref="S95:U95"/>
    <mergeCell ref="A35:A48"/>
    <mergeCell ref="V100:X100"/>
    <mergeCell ref="Y100:AA100"/>
    <mergeCell ref="A64:C64"/>
    <mergeCell ref="A66:C66"/>
    <mergeCell ref="A65:C65"/>
    <mergeCell ref="A68:C68"/>
    <mergeCell ref="A69:C69"/>
    <mergeCell ref="A70:C70"/>
    <mergeCell ref="A71:C71"/>
    <mergeCell ref="A73:C73"/>
    <mergeCell ref="A75:C75"/>
    <mergeCell ref="P100:R100"/>
    <mergeCell ref="A88:C88"/>
    <mergeCell ref="D88:F88"/>
    <mergeCell ref="A84:C84"/>
    <mergeCell ref="A85:C85"/>
    <mergeCell ref="A76:C76"/>
    <mergeCell ref="A94:C94"/>
    <mergeCell ref="D95:F95"/>
    <mergeCell ref="A97:C97"/>
    <mergeCell ref="A49:A51"/>
    <mergeCell ref="A102:C102"/>
    <mergeCell ref="A103:C103"/>
    <mergeCell ref="S100:U100"/>
    <mergeCell ref="A101:C101"/>
    <mergeCell ref="G100:I100"/>
    <mergeCell ref="J100:L100"/>
    <mergeCell ref="M100:O100"/>
    <mergeCell ref="A99:C99"/>
    <mergeCell ref="A100:C100"/>
    <mergeCell ref="D100:F100"/>
    <mergeCell ref="A52:A55"/>
    <mergeCell ref="M88:O88"/>
    <mergeCell ref="P88:R88"/>
    <mergeCell ref="A56:A61"/>
    <mergeCell ref="D90:F90"/>
    <mergeCell ref="D1:AH1"/>
    <mergeCell ref="E10:F10"/>
    <mergeCell ref="X9:Y9"/>
    <mergeCell ref="AD18:AH18"/>
    <mergeCell ref="W20:AA20"/>
    <mergeCell ref="I16:M16"/>
    <mergeCell ref="W8:AA8"/>
    <mergeCell ref="I8:V8"/>
    <mergeCell ref="AD4:AH4"/>
    <mergeCell ref="W4:AA4"/>
    <mergeCell ref="AA56:AF56"/>
    <mergeCell ref="J88:L88"/>
    <mergeCell ref="S88:U88"/>
    <mergeCell ref="V88:X88"/>
    <mergeCell ref="S90:U90"/>
    <mergeCell ref="V90:X90"/>
    <mergeCell ref="A63:C63"/>
    <mergeCell ref="G88:I88"/>
    <mergeCell ref="E57:F57"/>
    <mergeCell ref="A90:C90"/>
    <mergeCell ref="A96:C96"/>
    <mergeCell ref="A95:C95"/>
    <mergeCell ref="A91:C91"/>
    <mergeCell ref="A92:C92"/>
    <mergeCell ref="A87:C87"/>
    <mergeCell ref="A67:C67"/>
    <mergeCell ref="A72:C72"/>
    <mergeCell ref="A77:C77"/>
    <mergeCell ref="A74:C74"/>
    <mergeCell ref="A78:C78"/>
    <mergeCell ref="A83:C83"/>
    <mergeCell ref="A79:C79"/>
    <mergeCell ref="A80:C80"/>
    <mergeCell ref="A93:C93"/>
    <mergeCell ref="A81:C81"/>
    <mergeCell ref="A86:C86"/>
    <mergeCell ref="A82:C82"/>
    <mergeCell ref="A29:A34"/>
    <mergeCell ref="A26:A28"/>
    <mergeCell ref="A15:C15"/>
    <mergeCell ref="I26:M26"/>
    <mergeCell ref="X48:Y48"/>
    <mergeCell ref="D42:H42"/>
    <mergeCell ref="W31:AA31"/>
    <mergeCell ref="X26:Y26"/>
    <mergeCell ref="E41:Y41"/>
    <mergeCell ref="V42:AD42"/>
    <mergeCell ref="V45:AD45"/>
    <mergeCell ref="E35:AD35"/>
    <mergeCell ref="E36:AD36"/>
    <mergeCell ref="E38:AD38"/>
    <mergeCell ref="E39:AD39"/>
    <mergeCell ref="E46:Y46"/>
    <mergeCell ref="E44:Y44"/>
    <mergeCell ref="AD37:AH37"/>
    <mergeCell ref="AA30:AC30"/>
    <mergeCell ref="U22:V22"/>
    <mergeCell ref="A12:C12"/>
    <mergeCell ref="A13:C13"/>
    <mergeCell ref="A14:C14"/>
    <mergeCell ref="A16:C16"/>
    <mergeCell ref="A17:C17"/>
    <mergeCell ref="A18:C18"/>
    <mergeCell ref="A20:C20"/>
    <mergeCell ref="X22:Y22"/>
    <mergeCell ref="A23:A25"/>
    <mergeCell ref="A19:C19"/>
    <mergeCell ref="I24:M24"/>
    <mergeCell ref="A1:C1"/>
    <mergeCell ref="A2:C2"/>
    <mergeCell ref="A3:C3"/>
    <mergeCell ref="A4:C4"/>
    <mergeCell ref="A8:C8"/>
    <mergeCell ref="A9:C9"/>
    <mergeCell ref="A7:C7"/>
    <mergeCell ref="A10:C10"/>
    <mergeCell ref="A11:C11"/>
    <mergeCell ref="A5:C5"/>
    <mergeCell ref="A6:C6"/>
    <mergeCell ref="AI103:AK103"/>
    <mergeCell ref="AI88:AK88"/>
    <mergeCell ref="AI90:AK90"/>
    <mergeCell ref="AI91:AK91"/>
    <mergeCell ref="AI92:AK92"/>
    <mergeCell ref="AI94:AK94"/>
    <mergeCell ref="AI95:AK95"/>
    <mergeCell ref="AI96:AK96"/>
    <mergeCell ref="AI97:AK97"/>
    <mergeCell ref="AI99:AK99"/>
    <mergeCell ref="AI83:AK83"/>
    <mergeCell ref="AI100:AK100"/>
    <mergeCell ref="AI101:AK101"/>
    <mergeCell ref="AI102:AK102"/>
    <mergeCell ref="AB100:AD100"/>
    <mergeCell ref="AE100:AG100"/>
    <mergeCell ref="AI84:AK84"/>
    <mergeCell ref="AI85:AK85"/>
    <mergeCell ref="AI87:AK87"/>
    <mergeCell ref="AB90:AD90"/>
    <mergeCell ref="AB88:AD88"/>
    <mergeCell ref="AE88:AG88"/>
    <mergeCell ref="AB95:AD95"/>
    <mergeCell ref="AE95:AG95"/>
    <mergeCell ref="AE90:AG90"/>
    <mergeCell ref="AI80:AK80"/>
    <mergeCell ref="AI82:AK82"/>
    <mergeCell ref="AI63:AK63"/>
    <mergeCell ref="AI64:AK64"/>
    <mergeCell ref="AI65:AK65"/>
    <mergeCell ref="AI66:AK66"/>
    <mergeCell ref="AI68:AK68"/>
    <mergeCell ref="AI69:AK69"/>
    <mergeCell ref="AI70:AK70"/>
    <mergeCell ref="AI71:AK71"/>
    <mergeCell ref="AI73:AK73"/>
    <mergeCell ref="Z5:AH5"/>
    <mergeCell ref="E5:Y5"/>
    <mergeCell ref="AI74:AK74"/>
    <mergeCell ref="AI75:AK75"/>
    <mergeCell ref="AI76:AK76"/>
    <mergeCell ref="AI77:AK77"/>
    <mergeCell ref="AI78:AK78"/>
    <mergeCell ref="AI79:AK79"/>
    <mergeCell ref="D25:O25"/>
    <mergeCell ref="W32:AA32"/>
    <mergeCell ref="X61:Y61"/>
    <mergeCell ref="X56:Y56"/>
    <mergeCell ref="AA61:AH61"/>
    <mergeCell ref="W60:AA60"/>
    <mergeCell ref="I57:M57"/>
    <mergeCell ref="T57:AH57"/>
    <mergeCell ref="I58:M58"/>
    <mergeCell ref="W49:AA49"/>
    <mergeCell ref="AD49:AH49"/>
    <mergeCell ref="AD53:AH53"/>
    <mergeCell ref="W53:AA53"/>
    <mergeCell ref="E60:F60"/>
    <mergeCell ref="X59:Y59"/>
    <mergeCell ref="R21:AC21"/>
  </mergeCells>
  <pageMargins left="0.25" right="0.25" top="0.75" bottom="0.75" header="0.3" footer="0.3"/>
  <pageSetup scale="4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E6F7-2496-42AC-B488-29EA965D92EC}">
  <sheetPr>
    <pageSetUpPr fitToPage="1"/>
  </sheetPr>
  <dimension ref="A1:AG61"/>
  <sheetViews>
    <sheetView zoomScale="85" zoomScaleNormal="85" workbookViewId="0">
      <pane xSplit="3" ySplit="4" topLeftCell="AE22" activePane="bottomRight" state="frozen"/>
      <selection pane="bottomRight" activeCell="AE23" sqref="AE23"/>
      <selection pane="bottomLeft"/>
      <selection pane="topRight"/>
    </sheetView>
  </sheetViews>
  <sheetFormatPr defaultRowHeight="15"/>
  <cols>
    <col min="1" max="1" width="10.28515625" customWidth="1"/>
    <col min="3" max="3" width="12.140625" customWidth="1"/>
    <col min="24" max="24" width="10" customWidth="1"/>
  </cols>
  <sheetData>
    <row r="1" spans="1:33">
      <c r="A1" s="4375" t="s">
        <v>29</v>
      </c>
      <c r="B1" s="4375"/>
      <c r="C1" s="4375"/>
      <c r="D1" s="4376" t="s">
        <v>30</v>
      </c>
      <c r="E1" s="4376"/>
      <c r="F1" s="4376"/>
      <c r="G1" s="4376"/>
      <c r="H1" s="4376"/>
      <c r="I1" s="4376"/>
      <c r="J1" s="4376"/>
      <c r="K1" s="4376"/>
      <c r="L1" s="4376"/>
      <c r="M1" s="4376"/>
      <c r="N1" s="4376"/>
      <c r="O1" s="4376"/>
      <c r="P1" s="4376"/>
      <c r="Q1" s="4376"/>
      <c r="R1" s="4376"/>
      <c r="S1" s="4376"/>
      <c r="T1" s="4376"/>
      <c r="U1" s="4376"/>
      <c r="V1" s="4376"/>
      <c r="W1" s="4376"/>
      <c r="X1" s="4376"/>
      <c r="Y1" s="4376"/>
      <c r="Z1" s="4376"/>
      <c r="AA1" s="4376"/>
      <c r="AB1" s="4376"/>
      <c r="AC1" s="4376"/>
      <c r="AD1" s="4376"/>
      <c r="AE1" s="4376"/>
      <c r="AF1" s="4376"/>
      <c r="AG1" s="4376"/>
    </row>
    <row r="2" spans="1:33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4378" t="s">
        <v>32</v>
      </c>
      <c r="B3" s="4378"/>
      <c r="C3" s="4378"/>
      <c r="D3" s="19" t="s">
        <v>36</v>
      </c>
      <c r="E3" s="19" t="s">
        <v>36</v>
      </c>
      <c r="F3" s="3703" t="s">
        <v>37</v>
      </c>
      <c r="G3" s="3703" t="s">
        <v>33</v>
      </c>
      <c r="H3" s="3703" t="s">
        <v>34</v>
      </c>
      <c r="I3" s="3703" t="s">
        <v>33</v>
      </c>
      <c r="J3" s="3703" t="s">
        <v>35</v>
      </c>
      <c r="K3" s="19" t="s">
        <v>36</v>
      </c>
      <c r="L3" s="19" t="s">
        <v>36</v>
      </c>
      <c r="M3" s="3703" t="s">
        <v>37</v>
      </c>
      <c r="N3" s="3703" t="s">
        <v>33</v>
      </c>
      <c r="O3" s="3703" t="s">
        <v>34</v>
      </c>
      <c r="P3" s="3703" t="s">
        <v>33</v>
      </c>
      <c r="Q3" s="3703" t="s">
        <v>35</v>
      </c>
      <c r="R3" s="19" t="s">
        <v>36</v>
      </c>
      <c r="S3" s="19" t="s">
        <v>36</v>
      </c>
      <c r="T3" s="3703" t="s">
        <v>37</v>
      </c>
      <c r="U3" s="3703" t="s">
        <v>33</v>
      </c>
      <c r="V3" s="3703" t="s">
        <v>34</v>
      </c>
      <c r="W3" s="40" t="s">
        <v>33</v>
      </c>
      <c r="X3" s="3703" t="s">
        <v>35</v>
      </c>
      <c r="Y3" s="19" t="s">
        <v>36</v>
      </c>
      <c r="Z3" s="19" t="s">
        <v>36</v>
      </c>
      <c r="AA3" s="3703" t="s">
        <v>37</v>
      </c>
      <c r="AB3" s="41" t="s">
        <v>33</v>
      </c>
      <c r="AC3" s="41" t="s">
        <v>34</v>
      </c>
      <c r="AD3" s="41" t="s">
        <v>33</v>
      </c>
      <c r="AE3" s="41" t="s">
        <v>35</v>
      </c>
      <c r="AF3" s="19" t="s">
        <v>36</v>
      </c>
      <c r="AG3" s="19" t="s">
        <v>36</v>
      </c>
    </row>
    <row r="4" spans="1:33" ht="15.75">
      <c r="A4" s="4249" t="s">
        <v>38</v>
      </c>
      <c r="B4" s="4249"/>
      <c r="C4" s="4249"/>
      <c r="D4" s="251"/>
      <c r="E4" s="252"/>
      <c r="F4" s="253"/>
      <c r="G4" s="253"/>
      <c r="H4" s="253"/>
      <c r="I4" s="663"/>
      <c r="J4" s="4379" t="s">
        <v>361</v>
      </c>
      <c r="K4" s="4379"/>
      <c r="L4" s="4379"/>
      <c r="M4" s="270"/>
      <c r="N4" s="254"/>
      <c r="O4" s="254"/>
      <c r="P4" s="254"/>
      <c r="Q4" s="252"/>
      <c r="R4" s="252"/>
      <c r="S4" s="252"/>
      <c r="T4" s="253"/>
      <c r="U4" s="252"/>
      <c r="V4" s="252"/>
      <c r="W4" s="252"/>
      <c r="X4" s="252"/>
      <c r="Y4" s="252"/>
      <c r="Z4" s="253"/>
      <c r="AA4" s="255"/>
      <c r="AB4" s="255"/>
      <c r="AC4" s="255"/>
      <c r="AD4" s="255"/>
      <c r="AE4" s="661"/>
      <c r="AF4" s="662"/>
      <c r="AG4" s="1078"/>
    </row>
    <row r="5" spans="1:33">
      <c r="A5" s="4286" t="s">
        <v>42</v>
      </c>
      <c r="B5" s="4286"/>
      <c r="C5" s="4389"/>
      <c r="D5" s="4392" t="s">
        <v>308</v>
      </c>
      <c r="E5" s="4285"/>
      <c r="F5" s="4349" t="s">
        <v>362</v>
      </c>
      <c r="G5" s="4349"/>
      <c r="H5" s="4349"/>
      <c r="I5" s="4349"/>
      <c r="J5" s="4349"/>
      <c r="K5" s="4349"/>
      <c r="L5" s="4350"/>
      <c r="M5" s="4392" t="s">
        <v>308</v>
      </c>
      <c r="N5" s="4392"/>
      <c r="O5" s="4392"/>
      <c r="P5" s="4392"/>
      <c r="Q5" s="4392"/>
      <c r="R5" s="4392"/>
      <c r="S5" s="4392"/>
      <c r="T5" s="4392"/>
      <c r="U5" s="4392"/>
      <c r="V5" s="4392"/>
      <c r="W5" s="4392"/>
      <c r="X5" s="4392"/>
      <c r="Y5" s="4392"/>
      <c r="Z5" s="4392"/>
      <c r="AA5" s="4392"/>
      <c r="AB5" s="4392"/>
      <c r="AC5" s="4392"/>
      <c r="AD5" s="4392"/>
      <c r="AE5" s="4392"/>
      <c r="AF5" s="4392"/>
      <c r="AG5" s="4393"/>
    </row>
    <row r="6" spans="1:33">
      <c r="A6" s="4061" t="s">
        <v>165</v>
      </c>
      <c r="B6" s="4061"/>
      <c r="C6" s="4061"/>
      <c r="D6" s="1253"/>
      <c r="E6" s="1254"/>
      <c r="F6" s="656"/>
      <c r="G6" s="656"/>
      <c r="H6" s="1207"/>
      <c r="I6" s="1207"/>
      <c r="J6" s="1207"/>
      <c r="K6" s="4396" t="s">
        <v>224</v>
      </c>
      <c r="L6" s="4394"/>
      <c r="M6" s="4394"/>
      <c r="N6" s="4394"/>
      <c r="O6" s="4394"/>
      <c r="P6" s="4394"/>
      <c r="Q6" s="4394"/>
      <c r="R6" s="4394"/>
      <c r="S6" s="4394"/>
      <c r="T6" s="4394"/>
      <c r="U6" s="656"/>
      <c r="V6" s="656"/>
      <c r="W6" s="656"/>
      <c r="X6" s="656"/>
      <c r="Y6" s="656"/>
      <c r="Z6" s="656"/>
      <c r="AA6" s="656"/>
      <c r="AB6" s="656"/>
      <c r="AC6" s="656"/>
      <c r="AD6" s="656"/>
      <c r="AE6" s="4394" t="s">
        <v>164</v>
      </c>
      <c r="AF6" s="4394"/>
      <c r="AG6" s="4395"/>
    </row>
    <row r="7" spans="1:33">
      <c r="A7" s="4265" t="s">
        <v>262</v>
      </c>
      <c r="B7" s="4265"/>
      <c r="C7" s="4265"/>
      <c r="D7" s="1079"/>
      <c r="E7" s="667"/>
      <c r="F7" s="667"/>
      <c r="G7" s="667"/>
      <c r="H7" s="667"/>
      <c r="I7" s="667"/>
      <c r="J7" s="667"/>
      <c r="K7" s="666"/>
      <c r="L7" s="665"/>
      <c r="M7" s="666"/>
      <c r="N7" s="666"/>
      <c r="O7" s="659" t="s">
        <v>44</v>
      </c>
      <c r="P7" s="666"/>
      <c r="Q7" s="432"/>
      <c r="R7" s="372"/>
      <c r="S7" s="372"/>
      <c r="T7" s="372"/>
      <c r="U7" s="1196"/>
      <c r="V7" s="1196"/>
      <c r="W7" s="1196"/>
      <c r="X7" s="1196"/>
      <c r="Y7" s="1196"/>
      <c r="Z7" s="1196"/>
      <c r="AA7" s="568"/>
      <c r="AB7" s="534"/>
      <c r="AC7" s="913"/>
      <c r="AD7" s="913"/>
      <c r="AE7" s="913"/>
      <c r="AF7" s="913"/>
      <c r="AG7" s="914"/>
    </row>
    <row r="8" spans="1:33">
      <c r="A8" s="4390" t="s">
        <v>49</v>
      </c>
      <c r="B8" s="4390"/>
      <c r="C8" s="4390"/>
      <c r="D8" s="4383" t="s">
        <v>308</v>
      </c>
      <c r="E8" s="4384"/>
      <c r="F8" s="4385"/>
      <c r="G8" s="4386" t="s">
        <v>362</v>
      </c>
      <c r="H8" s="4387"/>
      <c r="I8" s="4387"/>
      <c r="J8" s="4387"/>
      <c r="K8" s="4387"/>
      <c r="L8" s="4387"/>
      <c r="M8" s="4387"/>
      <c r="N8" s="4387"/>
      <c r="O8" s="4387"/>
      <c r="P8" s="4387"/>
      <c r="Q8" s="4387"/>
      <c r="R8" s="4387"/>
      <c r="S8" s="4388"/>
      <c r="T8" s="361"/>
      <c r="U8" s="361"/>
      <c r="V8" s="361"/>
      <c r="W8" s="361"/>
      <c r="X8" s="361"/>
      <c r="Y8" s="361"/>
      <c r="Z8" s="361"/>
      <c r="AA8" s="427"/>
      <c r="AB8" s="712"/>
      <c r="AC8" s="361"/>
      <c r="AD8" s="361"/>
      <c r="AE8" s="361"/>
      <c r="AF8" s="361"/>
      <c r="AG8" s="1065"/>
    </row>
    <row r="9" spans="1:33">
      <c r="A9" s="4391" t="s">
        <v>225</v>
      </c>
      <c r="B9" s="4391"/>
      <c r="C9" s="4391"/>
      <c r="D9" s="1080"/>
      <c r="E9" s="675"/>
      <c r="F9" s="675"/>
      <c r="G9" s="430"/>
      <c r="H9" s="430"/>
      <c r="I9" s="430"/>
      <c r="J9" s="430"/>
      <c r="K9" s="430"/>
      <c r="L9" s="430"/>
      <c r="M9" s="710"/>
      <c r="N9" s="535"/>
      <c r="O9" s="380"/>
      <c r="P9" s="711"/>
      <c r="Q9" s="361"/>
      <c r="R9" s="361"/>
      <c r="S9" s="361"/>
      <c r="T9" s="361"/>
      <c r="U9" s="361"/>
      <c r="V9" s="361"/>
      <c r="W9" s="361"/>
      <c r="X9" s="361"/>
      <c r="Y9" s="361"/>
      <c r="Z9" s="361"/>
      <c r="AA9" s="361"/>
      <c r="AB9" s="710"/>
      <c r="AC9" s="371"/>
      <c r="AD9" s="536"/>
      <c r="AE9" s="711"/>
      <c r="AF9" s="430"/>
      <c r="AG9" s="1071"/>
    </row>
    <row r="10" spans="1:33">
      <c r="A10" s="4381" t="s">
        <v>272</v>
      </c>
      <c r="B10" s="4382"/>
      <c r="C10" s="4382"/>
      <c r="D10" s="1067"/>
      <c r="E10" s="430"/>
      <c r="F10" s="430"/>
      <c r="G10" s="430"/>
      <c r="H10" s="430"/>
      <c r="I10" s="430"/>
      <c r="J10" s="430"/>
      <c r="K10" s="430"/>
      <c r="L10" s="430"/>
      <c r="M10" s="430"/>
      <c r="N10" s="748"/>
      <c r="O10" s="748"/>
      <c r="P10" s="430"/>
      <c r="Q10" s="361"/>
      <c r="R10" s="361"/>
      <c r="S10" s="361"/>
      <c r="T10" s="361"/>
      <c r="U10" s="361"/>
      <c r="V10" s="749" t="s">
        <v>363</v>
      </c>
      <c r="W10" s="361"/>
      <c r="X10" s="361"/>
      <c r="Y10" s="361"/>
      <c r="Z10" s="361"/>
      <c r="AA10" s="750"/>
      <c r="AB10" s="710"/>
      <c r="AC10" s="371"/>
      <c r="AD10" s="536"/>
      <c r="AE10" s="711"/>
      <c r="AF10" s="430"/>
      <c r="AG10" s="1071"/>
    </row>
    <row r="11" spans="1:33">
      <c r="A11" s="4380" t="s">
        <v>265</v>
      </c>
      <c r="B11" s="4380"/>
      <c r="C11" s="4380"/>
      <c r="D11" s="1064"/>
      <c r="E11" s="361"/>
      <c r="F11" s="361"/>
      <c r="G11" s="361"/>
      <c r="H11" s="361"/>
      <c r="I11" s="361"/>
      <c r="J11" s="361"/>
      <c r="K11" s="361"/>
      <c r="L11" s="361"/>
      <c r="M11" s="361"/>
      <c r="N11" s="361"/>
      <c r="O11" s="361"/>
      <c r="P11" s="361"/>
      <c r="Q11" s="361"/>
      <c r="R11" s="361"/>
      <c r="S11" s="361"/>
      <c r="T11" s="361"/>
      <c r="U11" s="361"/>
      <c r="V11" s="283"/>
      <c r="W11" s="361"/>
      <c r="X11" s="361"/>
      <c r="Y11" s="361"/>
      <c r="Z11" s="361"/>
      <c r="AA11" s="750"/>
      <c r="AB11" s="427"/>
      <c r="AC11" s="912"/>
      <c r="AD11" s="363"/>
      <c r="AE11" s="428"/>
      <c r="AF11" s="361"/>
      <c r="AG11" s="1065"/>
    </row>
    <row r="12" spans="1:33">
      <c r="A12" s="4351" t="s">
        <v>60</v>
      </c>
      <c r="B12" s="4352"/>
      <c r="C12" s="4352"/>
      <c r="D12" s="1064"/>
      <c r="E12" s="361"/>
      <c r="F12" s="427"/>
      <c r="G12" s="427"/>
      <c r="H12" s="361"/>
      <c r="I12" s="361"/>
      <c r="J12" s="361"/>
      <c r="K12" s="361"/>
      <c r="L12" s="361"/>
      <c r="M12" s="427"/>
      <c r="N12" s="429"/>
      <c r="O12" s="429"/>
      <c r="P12" s="427"/>
      <c r="Q12" s="427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427"/>
      <c r="AC12" s="912"/>
      <c r="AD12" s="363"/>
      <c r="AE12" s="428"/>
      <c r="AF12" s="361"/>
      <c r="AG12" s="1065"/>
    </row>
    <row r="13" spans="1:33">
      <c r="A13" s="4353" t="s">
        <v>315</v>
      </c>
      <c r="B13" s="4353"/>
      <c r="C13" s="4353"/>
      <c r="D13" s="1064"/>
      <c r="E13" s="361"/>
      <c r="F13" s="427"/>
      <c r="G13" s="427"/>
      <c r="H13" s="361"/>
      <c r="I13" s="361"/>
      <c r="J13" s="361"/>
      <c r="K13" s="361"/>
      <c r="L13" s="361"/>
      <c r="M13" s="427"/>
      <c r="N13" s="4354" t="s">
        <v>364</v>
      </c>
      <c r="O13" s="4355"/>
      <c r="P13" s="427"/>
      <c r="Q13" s="427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427"/>
      <c r="AC13" s="363"/>
      <c r="AD13" s="363"/>
      <c r="AE13" s="363"/>
      <c r="AF13" s="361"/>
      <c r="AG13" s="1065"/>
    </row>
    <row r="14" spans="1:33">
      <c r="A14" s="4362" t="s">
        <v>54</v>
      </c>
      <c r="B14" s="4362"/>
      <c r="C14" s="4362"/>
      <c r="D14" s="1064"/>
      <c r="E14" s="361"/>
      <c r="F14" s="427"/>
      <c r="G14" s="427"/>
      <c r="H14" s="361"/>
      <c r="I14" s="361"/>
      <c r="J14" s="361"/>
      <c r="K14" s="361"/>
      <c r="L14" s="361"/>
      <c r="M14" s="427"/>
      <c r="N14" s="429"/>
      <c r="O14" s="429"/>
      <c r="P14" s="427"/>
      <c r="Q14" s="427"/>
      <c r="R14" s="361"/>
      <c r="S14" s="361"/>
      <c r="T14" s="361"/>
      <c r="U14" s="361"/>
      <c r="V14" s="361"/>
      <c r="W14" s="361"/>
      <c r="X14" s="361"/>
      <c r="Y14" s="361"/>
      <c r="Z14" s="361"/>
      <c r="AA14" s="361"/>
      <c r="AB14" s="910"/>
      <c r="AC14" s="370"/>
      <c r="AD14" s="361"/>
      <c r="AE14" s="428"/>
      <c r="AF14" s="361"/>
      <c r="AG14" s="1065"/>
    </row>
    <row r="15" spans="1:33">
      <c r="A15" s="4360" t="s">
        <v>365</v>
      </c>
      <c r="B15" s="4360"/>
      <c r="C15" s="4360"/>
      <c r="D15" s="1064"/>
      <c r="E15" s="361"/>
      <c r="F15" s="427"/>
      <c r="G15" s="427"/>
      <c r="H15" s="361"/>
      <c r="I15" s="361"/>
      <c r="J15" s="361"/>
      <c r="K15" s="361"/>
      <c r="L15" s="361"/>
      <c r="M15" s="427"/>
      <c r="N15" s="361"/>
      <c r="O15" s="361"/>
      <c r="P15" s="911"/>
      <c r="Q15" s="427"/>
      <c r="R15" s="361"/>
      <c r="S15" s="361"/>
      <c r="T15" s="750"/>
      <c r="U15" s="361"/>
      <c r="V15" s="361"/>
      <c r="W15" s="361"/>
      <c r="X15" s="361"/>
      <c r="Y15" s="361"/>
      <c r="Z15" s="361"/>
      <c r="AA15" s="361"/>
      <c r="AB15" s="374"/>
      <c r="AC15" s="374"/>
      <c r="AD15" s="402"/>
      <c r="AE15" s="428"/>
      <c r="AF15" s="361"/>
      <c r="AG15" s="1065"/>
    </row>
    <row r="16" spans="1:33" ht="15" customHeight="1">
      <c r="A16" s="4361" t="s">
        <v>366</v>
      </c>
      <c r="B16" s="4361"/>
      <c r="C16" s="4361"/>
      <c r="D16" s="1064"/>
      <c r="E16" s="361"/>
      <c r="F16" s="930"/>
      <c r="G16" s="930"/>
      <c r="H16" s="361"/>
      <c r="I16" s="361"/>
      <c r="J16" s="361"/>
      <c r="K16" s="361"/>
      <c r="L16" s="361"/>
      <c r="M16" s="427"/>
      <c r="N16" s="795"/>
      <c r="O16" s="795"/>
      <c r="P16" s="361"/>
      <c r="Q16" s="361"/>
      <c r="R16" s="361"/>
      <c r="S16" s="361"/>
      <c r="T16" s="4363" t="s">
        <v>367</v>
      </c>
      <c r="U16" s="4364"/>
      <c r="V16" s="361"/>
      <c r="W16" s="361"/>
      <c r="X16" s="361"/>
      <c r="Y16" s="361"/>
      <c r="Z16" s="361"/>
      <c r="AA16" s="361"/>
      <c r="AB16" s="710"/>
      <c r="AC16" s="371"/>
      <c r="AD16" s="363"/>
      <c r="AE16" s="428"/>
      <c r="AF16" s="361"/>
      <c r="AG16" s="1065"/>
    </row>
    <row r="17" spans="1:33">
      <c r="A17" s="4405" t="s">
        <v>179</v>
      </c>
      <c r="B17" s="4405"/>
      <c r="C17" s="4406"/>
      <c r="D17" s="1064"/>
      <c r="E17" s="361"/>
      <c r="F17" s="361"/>
      <c r="G17" s="361"/>
      <c r="H17" s="361"/>
      <c r="I17" s="4401" t="s">
        <v>368</v>
      </c>
      <c r="J17" s="4401"/>
      <c r="K17" s="427"/>
      <c r="L17" s="361"/>
      <c r="M17" s="374"/>
      <c r="N17" s="795"/>
      <c r="O17" s="795"/>
      <c r="P17" s="374"/>
      <c r="Q17" s="374"/>
      <c r="R17" s="374"/>
      <c r="S17" s="374"/>
      <c r="T17" s="4359" t="s">
        <v>369</v>
      </c>
      <c r="U17" s="4359"/>
      <c r="V17" s="4359"/>
      <c r="W17" s="4359"/>
      <c r="X17" s="4359"/>
      <c r="Y17" s="4359"/>
      <c r="Z17" s="4359"/>
      <c r="AA17" s="4359"/>
      <c r="AB17" s="4359"/>
      <c r="AC17" s="4359"/>
      <c r="AD17" s="4359"/>
      <c r="AE17" s="4359"/>
      <c r="AF17" s="361"/>
      <c r="AG17" s="1065"/>
    </row>
    <row r="18" spans="1:33">
      <c r="A18" s="4399" t="s">
        <v>26</v>
      </c>
      <c r="B18" s="4399"/>
      <c r="C18" s="4400"/>
      <c r="D18" s="1064"/>
      <c r="E18" s="361"/>
      <c r="F18" s="361"/>
      <c r="G18" s="361"/>
      <c r="H18" s="361"/>
      <c r="I18" s="361"/>
      <c r="J18" s="361"/>
      <c r="K18" s="361"/>
      <c r="L18" s="430"/>
      <c r="M18" s="430"/>
      <c r="N18" s="430"/>
      <c r="O18" s="430"/>
      <c r="P18" s="430"/>
      <c r="Q18" s="430"/>
      <c r="R18" s="430"/>
      <c r="S18" s="430"/>
      <c r="T18" s="430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  <c r="AE18" s="361"/>
      <c r="AF18" s="361"/>
      <c r="AG18" s="1065"/>
    </row>
    <row r="19" spans="1:33">
      <c r="A19" s="4408" t="s">
        <v>370</v>
      </c>
      <c r="B19" s="4408"/>
      <c r="C19" s="4408"/>
      <c r="D19" s="1066"/>
      <c r="E19" s="429"/>
      <c r="F19" s="429"/>
      <c r="G19" s="429"/>
      <c r="H19" s="429"/>
      <c r="I19" s="429"/>
      <c r="J19" s="429"/>
      <c r="K19" s="429"/>
      <c r="L19" s="429"/>
      <c r="M19" s="429"/>
      <c r="N19" s="429"/>
      <c r="O19" s="429"/>
      <c r="P19" s="429"/>
      <c r="Q19" s="429"/>
      <c r="R19" s="429"/>
      <c r="S19" s="429"/>
      <c r="T19" s="429"/>
      <c r="U19" s="429"/>
      <c r="V19" s="429"/>
      <c r="W19" s="429"/>
      <c r="X19" s="429"/>
      <c r="Y19" s="429"/>
      <c r="Z19" s="429"/>
      <c r="AA19" s="429"/>
      <c r="AB19" s="429"/>
      <c r="AC19" s="429"/>
      <c r="AD19" s="429"/>
      <c r="AE19" s="429"/>
      <c r="AF19" s="429"/>
      <c r="AG19" s="1068"/>
    </row>
    <row r="20" spans="1:33">
      <c r="A20" s="4356" t="s">
        <v>64</v>
      </c>
      <c r="B20" s="4356"/>
      <c r="C20" s="4357"/>
      <c r="D20" s="1069"/>
      <c r="E20" s="759"/>
      <c r="F20" s="759"/>
      <c r="G20" s="759"/>
      <c r="H20" s="759"/>
      <c r="I20" s="759"/>
      <c r="J20" s="759"/>
      <c r="K20" s="759"/>
      <c r="L20" s="759"/>
      <c r="M20" s="429"/>
      <c r="N20" s="429"/>
      <c r="O20" s="429"/>
      <c r="P20" s="429"/>
      <c r="Q20" s="759"/>
      <c r="R20" s="759"/>
      <c r="S20" s="759"/>
      <c r="T20" s="429"/>
      <c r="U20" s="42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1070"/>
    </row>
    <row r="21" spans="1:33" ht="15.75">
      <c r="A21" s="27" t="s">
        <v>66</v>
      </c>
      <c r="B21" s="28" t="s">
        <v>67</v>
      </c>
      <c r="C21" s="32" t="s">
        <v>68</v>
      </c>
      <c r="D21" s="1067"/>
      <c r="E21" s="430"/>
      <c r="F21" s="430"/>
      <c r="G21" s="430"/>
      <c r="H21" s="811" t="s">
        <v>55</v>
      </c>
      <c r="I21" s="4358" t="s">
        <v>368</v>
      </c>
      <c r="J21" s="4358"/>
      <c r="K21" s="811" t="s">
        <v>55</v>
      </c>
      <c r="L21" s="710"/>
      <c r="M21" s="1199" t="s">
        <v>55</v>
      </c>
      <c r="N21" s="4370" t="s">
        <v>364</v>
      </c>
      <c r="O21" s="4371"/>
      <c r="P21" s="1199" t="s">
        <v>55</v>
      </c>
      <c r="Q21" s="711"/>
      <c r="R21" s="430"/>
      <c r="S21" s="710"/>
      <c r="T21" s="4368" t="s">
        <v>367</v>
      </c>
      <c r="U21" s="4369"/>
      <c r="V21" s="711"/>
      <c r="W21" s="430"/>
      <c r="X21" s="430"/>
      <c r="Y21" s="430"/>
      <c r="Z21" s="430"/>
      <c r="AA21" s="430"/>
      <c r="AB21" s="430"/>
      <c r="AC21" s="430"/>
      <c r="AD21" s="430"/>
      <c r="AE21" s="430"/>
      <c r="AF21" s="430"/>
      <c r="AG21" s="1071"/>
    </row>
    <row r="22" spans="1:33" ht="15.75">
      <c r="A22" s="28" t="s">
        <v>73</v>
      </c>
      <c r="B22" s="28" t="s">
        <v>67</v>
      </c>
      <c r="C22" s="32" t="s">
        <v>74</v>
      </c>
      <c r="D22" s="1069"/>
      <c r="E22" s="1281"/>
      <c r="F22" s="1281"/>
      <c r="G22" s="1281"/>
      <c r="H22" s="1281"/>
      <c r="I22" s="1281"/>
      <c r="J22" s="1281"/>
      <c r="K22" s="1281"/>
      <c r="L22" s="759"/>
      <c r="M22" s="1072"/>
      <c r="N22" s="1072"/>
      <c r="O22" s="1072"/>
      <c r="P22" s="1072"/>
      <c r="Q22" s="759"/>
      <c r="R22" s="759"/>
      <c r="S22" s="811" t="s">
        <v>55</v>
      </c>
      <c r="T22" s="4367" t="s">
        <v>369</v>
      </c>
      <c r="U22" s="4367"/>
      <c r="V22" s="4367"/>
      <c r="W22" s="4367"/>
      <c r="X22" s="4367"/>
      <c r="Y22" s="4367"/>
      <c r="Z22" s="4367"/>
      <c r="AA22" s="4367"/>
      <c r="AB22" s="4367"/>
      <c r="AC22" s="4367"/>
      <c r="AD22" s="4367"/>
      <c r="AE22" s="4367"/>
      <c r="AF22" s="811" t="s">
        <v>55</v>
      </c>
      <c r="AG22" s="1070"/>
    </row>
    <row r="23" spans="1:33">
      <c r="A23" s="4409" t="s">
        <v>84</v>
      </c>
      <c r="B23" s="27" t="s">
        <v>85</v>
      </c>
      <c r="C23" s="31" t="s">
        <v>86</v>
      </c>
      <c r="D23" s="1067"/>
      <c r="E23" s="430"/>
      <c r="F23" s="430"/>
      <c r="G23" s="430"/>
      <c r="H23" s="430"/>
      <c r="I23" s="430"/>
      <c r="J23" s="430"/>
      <c r="K23" s="430"/>
      <c r="L23" s="430"/>
      <c r="M23" s="430"/>
      <c r="N23" s="430"/>
      <c r="O23" s="430"/>
      <c r="P23" s="430"/>
      <c r="Q23" s="430"/>
      <c r="R23" s="430"/>
      <c r="S23" s="430"/>
      <c r="T23" s="430"/>
      <c r="U23" s="430"/>
      <c r="V23" s="430"/>
      <c r="W23" s="430"/>
      <c r="X23" s="430"/>
      <c r="Y23" s="430"/>
      <c r="Z23" s="430"/>
      <c r="AA23" s="430"/>
      <c r="AB23" s="430"/>
      <c r="AC23" s="430"/>
      <c r="AD23" s="430"/>
      <c r="AE23" s="4372" t="s">
        <v>371</v>
      </c>
      <c r="AF23" s="4373"/>
      <c r="AG23" s="4374"/>
    </row>
    <row r="24" spans="1:33">
      <c r="A24" s="4409"/>
      <c r="B24" s="28" t="s">
        <v>87</v>
      </c>
      <c r="C24" s="32" t="s">
        <v>88</v>
      </c>
      <c r="D24" s="4412" t="s">
        <v>372</v>
      </c>
      <c r="E24" s="4413"/>
      <c r="F24" s="4414"/>
      <c r="G24" s="429"/>
      <c r="H24" s="429"/>
      <c r="I24" s="429"/>
      <c r="J24" s="429"/>
      <c r="K24" s="429"/>
      <c r="L24" s="429"/>
      <c r="M24" s="429"/>
      <c r="N24" s="429"/>
      <c r="O24" s="429"/>
      <c r="P24" s="429"/>
      <c r="Q24" s="361"/>
      <c r="R24" s="361"/>
      <c r="S24" s="361"/>
      <c r="T24" s="4365" t="s">
        <v>367</v>
      </c>
      <c r="U24" s="4366"/>
      <c r="V24" s="361"/>
      <c r="W24" s="361"/>
      <c r="X24" s="361"/>
      <c r="Y24" s="361"/>
      <c r="Z24" s="361"/>
      <c r="AA24" s="361"/>
      <c r="AB24" s="361"/>
      <c r="AC24" s="361"/>
      <c r="AD24" s="361"/>
      <c r="AE24" s="361"/>
      <c r="AF24" s="361"/>
      <c r="AG24" s="1065"/>
    </row>
    <row r="25" spans="1:33">
      <c r="A25" s="4409"/>
      <c r="B25" s="30" t="s">
        <v>90</v>
      </c>
      <c r="C25" s="33" t="s">
        <v>91</v>
      </c>
      <c r="D25" s="1075"/>
      <c r="E25" s="1076"/>
      <c r="F25" s="1076"/>
      <c r="G25" s="1076"/>
      <c r="H25" s="1076"/>
      <c r="I25" s="1076"/>
      <c r="J25" s="1076"/>
      <c r="K25" s="1076"/>
      <c r="L25" s="1076"/>
      <c r="M25" s="1076"/>
      <c r="N25" s="1076"/>
      <c r="O25" s="1076"/>
      <c r="P25" s="1076"/>
      <c r="Q25" s="1077"/>
      <c r="R25" s="759"/>
      <c r="S25" s="759"/>
      <c r="T25" s="759"/>
      <c r="U25" s="759"/>
      <c r="V25" s="759"/>
      <c r="W25" s="759"/>
      <c r="X25" s="759"/>
      <c r="Y25" s="759"/>
      <c r="Z25" s="759"/>
      <c r="AA25" s="759"/>
      <c r="AB25" s="759"/>
      <c r="AC25" s="759"/>
      <c r="AD25" s="759"/>
      <c r="AE25" s="759"/>
      <c r="AF25" s="759"/>
      <c r="AG25" s="1070"/>
    </row>
    <row r="26" spans="1:33">
      <c r="A26" s="4409" t="s">
        <v>92</v>
      </c>
      <c r="B26" s="426" t="s">
        <v>248</v>
      </c>
      <c r="C26" s="1051" t="s">
        <v>96</v>
      </c>
      <c r="D26" s="4417" t="s">
        <v>373</v>
      </c>
      <c r="E26" s="4418"/>
      <c r="F26" s="909"/>
      <c r="G26" s="429"/>
      <c r="H26" s="429"/>
      <c r="I26" s="429"/>
      <c r="J26" s="4419" t="s">
        <v>374</v>
      </c>
      <c r="K26" s="4420"/>
      <c r="L26" s="4420"/>
      <c r="M26" s="4418"/>
      <c r="N26" s="429"/>
      <c r="O26" s="429"/>
      <c r="P26" s="429"/>
      <c r="Q26" s="429"/>
      <c r="R26" s="429"/>
      <c r="S26" s="429"/>
      <c r="T26" s="4347" t="s">
        <v>367</v>
      </c>
      <c r="U26" s="4348"/>
      <c r="V26" s="429"/>
      <c r="W26" s="429"/>
      <c r="X26" s="429"/>
      <c r="Y26" s="429"/>
      <c r="Z26" s="429"/>
      <c r="AA26" s="780"/>
      <c r="AB26" s="429"/>
      <c r="AC26" s="429"/>
      <c r="AD26" s="429"/>
      <c r="AE26" s="1340"/>
      <c r="AF26" s="429"/>
      <c r="AG26" s="1068"/>
    </row>
    <row r="27" spans="1:33">
      <c r="A27" s="4409"/>
      <c r="B27" s="29" t="s">
        <v>326</v>
      </c>
      <c r="C27" s="39" t="s">
        <v>327</v>
      </c>
      <c r="D27" s="1339"/>
      <c r="E27" s="1339"/>
      <c r="F27" s="1339"/>
      <c r="G27" s="1339"/>
      <c r="H27" s="1339"/>
      <c r="I27" s="1339"/>
      <c r="J27" s="1339"/>
      <c r="K27" s="1339"/>
      <c r="L27" s="1339"/>
      <c r="M27" s="1339"/>
      <c r="N27" s="1339"/>
      <c r="O27" s="1339"/>
      <c r="P27" s="1339"/>
      <c r="Q27" s="361"/>
      <c r="R27" s="361"/>
      <c r="S27" s="361"/>
      <c r="T27" s="361"/>
      <c r="U27" s="361"/>
      <c r="V27" s="361"/>
      <c r="W27" s="361"/>
      <c r="X27" s="361"/>
      <c r="Y27" s="361"/>
      <c r="Z27" s="361"/>
      <c r="AA27" s="361"/>
      <c r="AB27" s="361"/>
      <c r="AC27" s="361"/>
      <c r="AD27" s="361"/>
      <c r="AE27" s="361"/>
      <c r="AF27" s="427"/>
      <c r="AG27" s="1068"/>
    </row>
    <row r="28" spans="1:33">
      <c r="A28" s="4409"/>
      <c r="B28" s="30" t="s">
        <v>97</v>
      </c>
      <c r="C28" s="33" t="s">
        <v>98</v>
      </c>
      <c r="D28" s="1076"/>
      <c r="E28" s="1076"/>
      <c r="F28" s="1076"/>
      <c r="G28" s="1076"/>
      <c r="H28" s="1076"/>
      <c r="I28" s="1076"/>
      <c r="J28" s="1076"/>
      <c r="K28" s="1076"/>
      <c r="L28" s="1076"/>
      <c r="M28" s="1302" t="s">
        <v>55</v>
      </c>
      <c r="N28" s="4462" t="s">
        <v>364</v>
      </c>
      <c r="O28" s="4462"/>
      <c r="P28" s="4443" t="s">
        <v>375</v>
      </c>
      <c r="Q28" s="4443"/>
      <c r="R28" s="4443"/>
      <c r="S28" s="4443"/>
      <c r="T28" s="4443"/>
      <c r="U28" s="4443"/>
      <c r="V28" s="4443"/>
      <c r="W28" s="759"/>
      <c r="X28" s="759"/>
      <c r="Y28" s="759"/>
      <c r="Z28" s="759"/>
      <c r="AA28" s="759"/>
      <c r="AB28" s="759"/>
      <c r="AC28" s="759"/>
      <c r="AD28" s="759"/>
      <c r="AE28" s="759"/>
      <c r="AF28" s="1337"/>
      <c r="AG28" s="1070"/>
    </row>
    <row r="29" spans="1:33">
      <c r="A29" s="4410" t="s">
        <v>99</v>
      </c>
      <c r="B29" s="36" t="s">
        <v>100</v>
      </c>
      <c r="C29" s="35" t="s">
        <v>101</v>
      </c>
      <c r="D29" s="1067"/>
      <c r="E29" s="430"/>
      <c r="F29" s="430"/>
      <c r="G29" s="1207"/>
      <c r="H29" s="430"/>
      <c r="I29" s="430"/>
      <c r="J29" s="664"/>
      <c r="K29" s="430"/>
      <c r="L29" s="430"/>
      <c r="M29" s="430"/>
      <c r="N29" s="430"/>
      <c r="O29" s="430"/>
      <c r="P29" s="430"/>
      <c r="Q29" s="430"/>
      <c r="R29" s="430"/>
      <c r="S29" s="1207"/>
      <c r="T29" s="1207"/>
      <c r="U29" s="1207"/>
      <c r="V29" s="1207"/>
      <c r="W29" s="1207"/>
      <c r="X29" s="1207"/>
      <c r="Y29" s="1207"/>
      <c r="Z29" s="1207"/>
      <c r="AA29" s="1207"/>
      <c r="AB29" s="1207"/>
      <c r="AC29" s="1207"/>
      <c r="AD29" s="1207"/>
      <c r="AE29" s="1207"/>
      <c r="AF29" s="1207"/>
      <c r="AG29" s="1071"/>
    </row>
    <row r="30" spans="1:33">
      <c r="A30" s="4410"/>
      <c r="B30" s="676" t="s">
        <v>77</v>
      </c>
      <c r="C30" s="32" t="s">
        <v>102</v>
      </c>
      <c r="D30" s="1064"/>
      <c r="E30" s="361"/>
      <c r="F30" s="361"/>
      <c r="G30" s="361"/>
      <c r="H30" s="361"/>
      <c r="I30" s="361"/>
      <c r="J30" s="429"/>
      <c r="K30" s="429"/>
      <c r="L30" s="429"/>
      <c r="M30" s="361"/>
      <c r="N30" s="4446" t="s">
        <v>376</v>
      </c>
      <c r="O30" s="4447"/>
      <c r="P30" s="4447"/>
      <c r="Q30" s="4447"/>
      <c r="R30" s="4447"/>
      <c r="S30" s="4447"/>
      <c r="T30" s="4447"/>
      <c r="U30" s="4447"/>
      <c r="V30" s="4447"/>
      <c r="W30" s="4447"/>
      <c r="X30" s="4447"/>
      <c r="Y30" s="4447"/>
      <c r="Z30" s="4447"/>
      <c r="AA30" s="4447"/>
      <c r="AB30" s="4447"/>
      <c r="AC30" s="4447"/>
      <c r="AD30" s="4447"/>
      <c r="AE30" s="4447"/>
      <c r="AF30" s="4447"/>
      <c r="AG30" s="4448"/>
    </row>
    <row r="31" spans="1:33" ht="15.75">
      <c r="A31" s="4410"/>
      <c r="B31" s="676" t="s">
        <v>95</v>
      </c>
      <c r="C31" s="32" t="s">
        <v>245</v>
      </c>
      <c r="D31" s="1064"/>
      <c r="E31" s="361"/>
      <c r="F31" s="361"/>
      <c r="G31" s="361"/>
      <c r="H31" s="361"/>
      <c r="I31" s="427"/>
      <c r="J31" s="374"/>
      <c r="K31" s="374"/>
      <c r="L31" s="374"/>
      <c r="M31" s="1351"/>
      <c r="N31" s="361"/>
      <c r="O31" s="361"/>
      <c r="P31" s="361"/>
      <c r="Q31" s="361"/>
      <c r="R31" s="427"/>
      <c r="S31" s="811" t="s">
        <v>55</v>
      </c>
      <c r="T31" s="4367" t="s">
        <v>369</v>
      </c>
      <c r="U31" s="4415"/>
      <c r="V31" s="4415"/>
      <c r="W31" s="4415"/>
      <c r="X31" s="4415"/>
      <c r="Y31" s="4415"/>
      <c r="Z31" s="4415"/>
      <c r="AA31" s="4415"/>
      <c r="AB31" s="4415"/>
      <c r="AC31" s="4415"/>
      <c r="AD31" s="4415"/>
      <c r="AE31" s="4439"/>
      <c r="AF31" s="811" t="s">
        <v>55</v>
      </c>
      <c r="AG31" s="1065"/>
    </row>
    <row r="32" spans="1:33" ht="15.75">
      <c r="A32" s="4410"/>
      <c r="B32" s="676" t="s">
        <v>95</v>
      </c>
      <c r="C32" s="32" t="s">
        <v>105</v>
      </c>
      <c r="D32" s="4416" t="s">
        <v>242</v>
      </c>
      <c r="E32" s="4411"/>
      <c r="F32" s="4411"/>
      <c r="G32" s="4411"/>
      <c r="H32" s="4334"/>
      <c r="I32" s="361"/>
      <c r="J32" s="430"/>
      <c r="K32" s="430"/>
      <c r="L32" s="430"/>
      <c r="M32" s="1205" t="s">
        <v>55</v>
      </c>
      <c r="N32" s="4427" t="s">
        <v>364</v>
      </c>
      <c r="O32" s="4428"/>
      <c r="P32" s="1205" t="s">
        <v>55</v>
      </c>
      <c r="Q32" s="361"/>
      <c r="R32" s="361"/>
      <c r="S32" s="811" t="s">
        <v>55</v>
      </c>
      <c r="T32" s="4367" t="s">
        <v>369</v>
      </c>
      <c r="U32" s="4415"/>
      <c r="V32" s="4415"/>
      <c r="W32" s="4415"/>
      <c r="X32" s="4415"/>
      <c r="Y32" s="4415"/>
      <c r="Z32" s="4415"/>
      <c r="AA32" s="4415"/>
      <c r="AB32" s="4415"/>
      <c r="AC32" s="4415"/>
      <c r="AD32" s="4415"/>
      <c r="AE32" s="4439"/>
      <c r="AF32" s="811" t="s">
        <v>55</v>
      </c>
      <c r="AG32" s="1065"/>
    </row>
    <row r="33" spans="1:33" ht="15.75">
      <c r="A33" s="4410"/>
      <c r="B33" s="676" t="s">
        <v>106</v>
      </c>
      <c r="C33" s="32" t="s">
        <v>107</v>
      </c>
      <c r="D33" s="4416" t="s">
        <v>70</v>
      </c>
      <c r="E33" s="4411"/>
      <c r="F33" s="4411"/>
      <c r="G33" s="4411"/>
      <c r="H33" s="4411"/>
      <c r="I33" s="4411"/>
      <c r="J33" s="4334"/>
      <c r="K33" s="361"/>
      <c r="L33" s="361"/>
      <c r="M33" s="361"/>
      <c r="N33" s="361"/>
      <c r="O33" s="361"/>
      <c r="P33" s="361"/>
      <c r="Q33" s="361"/>
      <c r="R33" s="361"/>
      <c r="S33" s="610" t="s">
        <v>55</v>
      </c>
      <c r="T33" s="4359" t="s">
        <v>369</v>
      </c>
      <c r="U33" s="4444"/>
      <c r="V33" s="4444"/>
      <c r="W33" s="4444"/>
      <c r="X33" s="4444"/>
      <c r="Y33" s="4444"/>
      <c r="Z33" s="4444"/>
      <c r="AA33" s="4444"/>
      <c r="AB33" s="4444"/>
      <c r="AC33" s="4444"/>
      <c r="AD33" s="4444"/>
      <c r="AE33" s="4445"/>
      <c r="AF33" s="610" t="s">
        <v>55</v>
      </c>
      <c r="AG33" s="1065"/>
    </row>
    <row r="34" spans="1:33" ht="15.75">
      <c r="A34" s="4410"/>
      <c r="B34" s="38" t="s">
        <v>108</v>
      </c>
      <c r="C34" s="33" t="s">
        <v>109</v>
      </c>
      <c r="D34" s="1069"/>
      <c r="E34" s="759"/>
      <c r="F34" s="759"/>
      <c r="G34" s="759"/>
      <c r="H34" s="759"/>
      <c r="I34" s="759"/>
      <c r="J34" s="759"/>
      <c r="K34" s="759"/>
      <c r="L34" s="759"/>
      <c r="M34" s="759"/>
      <c r="N34" s="759"/>
      <c r="O34" s="759"/>
      <c r="P34" s="759"/>
      <c r="Q34" s="759"/>
      <c r="R34" s="759"/>
      <c r="S34" s="611" t="s">
        <v>55</v>
      </c>
      <c r="T34" s="4456" t="s">
        <v>369</v>
      </c>
      <c r="U34" s="4457"/>
      <c r="V34" s="4457"/>
      <c r="W34" s="4457"/>
      <c r="X34" s="4457"/>
      <c r="Y34" s="4457"/>
      <c r="Z34" s="4457"/>
      <c r="AA34" s="4457"/>
      <c r="AB34" s="4457"/>
      <c r="AC34" s="4457"/>
      <c r="AD34" s="4457"/>
      <c r="AE34" s="4458"/>
      <c r="AF34" s="611" t="s">
        <v>55</v>
      </c>
      <c r="AG34" s="1070"/>
    </row>
    <row r="35" spans="1:33" ht="15.75">
      <c r="A35" s="4407" t="s">
        <v>110</v>
      </c>
      <c r="B35" s="213" t="s">
        <v>283</v>
      </c>
      <c r="C35" s="214" t="s">
        <v>201</v>
      </c>
      <c r="D35" s="1067"/>
      <c r="E35" s="430"/>
      <c r="F35" s="430"/>
      <c r="G35" s="1207"/>
      <c r="H35" s="1207"/>
      <c r="I35" s="1207"/>
      <c r="J35" s="1280"/>
      <c r="K35" s="1207"/>
      <c r="L35" s="430"/>
      <c r="M35" s="430"/>
      <c r="N35" s="430"/>
      <c r="O35" s="664"/>
      <c r="P35" s="430"/>
      <c r="Q35" s="430"/>
      <c r="R35" s="430"/>
      <c r="S35" s="430"/>
      <c r="T35" s="430"/>
      <c r="U35" s="430"/>
      <c r="V35" s="430"/>
      <c r="W35" s="710"/>
      <c r="X35" s="1074"/>
      <c r="Y35" s="1074"/>
      <c r="Z35" s="1074"/>
      <c r="AA35" s="1074"/>
      <c r="AB35" s="1074"/>
      <c r="AC35" s="1074"/>
      <c r="AD35" s="1074"/>
      <c r="AE35" s="4062" t="s">
        <v>377</v>
      </c>
      <c r="AF35" s="4062"/>
      <c r="AG35" s="4459"/>
    </row>
    <row r="36" spans="1:33" ht="15.75">
      <c r="A36" s="4407"/>
      <c r="B36" s="213" t="s">
        <v>95</v>
      </c>
      <c r="C36" s="441" t="s">
        <v>249</v>
      </c>
      <c r="D36" s="1064"/>
      <c r="E36" s="361"/>
      <c r="F36" s="361"/>
      <c r="G36" s="361"/>
      <c r="H36" s="4449" t="s">
        <v>378</v>
      </c>
      <c r="I36" s="4450"/>
      <c r="J36" s="4450"/>
      <c r="K36" s="4450"/>
      <c r="L36" s="4450"/>
      <c r="M36" s="4450"/>
      <c r="N36" s="4450"/>
      <c r="O36" s="4450"/>
      <c r="P36" s="4450"/>
      <c r="Q36" s="4450"/>
      <c r="R36" s="4450"/>
      <c r="S36" s="4450"/>
      <c r="T36" s="4450"/>
      <c r="U36" s="4450"/>
      <c r="V36" s="4450"/>
      <c r="W36" s="4450"/>
      <c r="X36" s="4450"/>
      <c r="Y36" s="4450"/>
      <c r="Z36" s="4450"/>
      <c r="AA36" s="4450"/>
      <c r="AB36" s="4450"/>
      <c r="AC36" s="4450"/>
      <c r="AD36" s="4450"/>
      <c r="AE36" s="4450"/>
      <c r="AF36" s="4450"/>
      <c r="AG36" s="4451"/>
    </row>
    <row r="37" spans="1:33" ht="15.75">
      <c r="A37" s="4407"/>
      <c r="B37" s="28" t="s">
        <v>113</v>
      </c>
      <c r="C37" s="306" t="s">
        <v>114</v>
      </c>
      <c r="D37" s="4327" t="s">
        <v>330</v>
      </c>
      <c r="E37" s="4328"/>
      <c r="F37" s="4328"/>
      <c r="G37" s="4328"/>
      <c r="H37" s="811" t="s">
        <v>55</v>
      </c>
      <c r="I37" s="361"/>
      <c r="J37" s="361"/>
      <c r="K37" s="361"/>
      <c r="L37" s="361"/>
      <c r="M37" s="361"/>
      <c r="N37" s="361"/>
      <c r="O37" s="4463" t="s">
        <v>379</v>
      </c>
      <c r="P37" s="4413"/>
      <c r="Q37" s="4413"/>
      <c r="R37" s="4413"/>
      <c r="S37" s="4413"/>
      <c r="T37" s="4413"/>
      <c r="U37" s="4413"/>
      <c r="V37" s="4413"/>
      <c r="W37" s="4413"/>
      <c r="X37" s="4413"/>
      <c r="Y37" s="4413"/>
      <c r="Z37" s="4413"/>
      <c r="AA37" s="4413"/>
      <c r="AB37" s="4413"/>
      <c r="AC37" s="4413"/>
      <c r="AD37" s="4413"/>
      <c r="AE37" s="4413"/>
      <c r="AF37" s="4413"/>
      <c r="AG37" s="4455"/>
    </row>
    <row r="38" spans="1:33">
      <c r="A38" s="4407"/>
      <c r="B38" s="28" t="s">
        <v>113</v>
      </c>
      <c r="C38" s="32" t="s">
        <v>116</v>
      </c>
      <c r="D38" s="1064"/>
      <c r="E38" s="429"/>
      <c r="F38" s="1289"/>
      <c r="G38" s="1289"/>
      <c r="H38" s="1289"/>
      <c r="I38" s="1289"/>
      <c r="J38" s="1289"/>
      <c r="K38" s="429"/>
      <c r="L38" s="429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61"/>
      <c r="AC38" s="361"/>
      <c r="AD38" s="361"/>
      <c r="AE38" s="361"/>
      <c r="AF38" s="361"/>
      <c r="AG38" s="1065"/>
    </row>
    <row r="39" spans="1:33">
      <c r="A39" s="4407"/>
      <c r="B39" s="28" t="s">
        <v>118</v>
      </c>
      <c r="C39" s="32" t="s">
        <v>119</v>
      </c>
      <c r="D39" s="1288"/>
      <c r="E39" s="797"/>
      <c r="F39" s="797"/>
      <c r="G39" s="3589" t="s">
        <v>251</v>
      </c>
      <c r="H39" s="4452" t="s">
        <v>380</v>
      </c>
      <c r="I39" s="4453"/>
      <c r="J39" s="4453"/>
      <c r="K39" s="4453"/>
      <c r="L39" s="4453"/>
      <c r="M39" s="4453"/>
      <c r="N39" s="4453"/>
      <c r="O39" s="4453"/>
      <c r="P39" s="4454"/>
      <c r="Q39" s="4389" t="s">
        <v>251</v>
      </c>
      <c r="R39" s="4350"/>
      <c r="S39" s="361"/>
      <c r="T39" s="361"/>
      <c r="U39" s="361"/>
      <c r="V39" s="361"/>
      <c r="W39" s="361"/>
      <c r="X39" s="361"/>
      <c r="Y39" s="361"/>
      <c r="Z39" s="361"/>
      <c r="AA39" s="361"/>
      <c r="AB39" s="361"/>
      <c r="AC39" s="361"/>
      <c r="AD39" s="1293" t="s">
        <v>251</v>
      </c>
      <c r="AE39" s="4440" t="s">
        <v>381</v>
      </c>
      <c r="AF39" s="4441"/>
      <c r="AG39" s="4464"/>
    </row>
    <row r="40" spans="1:33">
      <c r="A40" s="4407"/>
      <c r="B40" s="28" t="s">
        <v>120</v>
      </c>
      <c r="C40" s="32" t="s">
        <v>121</v>
      </c>
      <c r="D40" s="1288"/>
      <c r="E40" s="3589" t="s">
        <v>251</v>
      </c>
      <c r="F40" s="4350" t="s">
        <v>382</v>
      </c>
      <c r="G40" s="4286"/>
      <c r="H40" s="4286"/>
      <c r="I40" s="4286"/>
      <c r="J40" s="4389"/>
      <c r="K40" s="3589" t="s">
        <v>251</v>
      </c>
      <c r="L40" s="1290"/>
      <c r="M40" s="361"/>
      <c r="N40" s="361"/>
      <c r="O40" s="361"/>
      <c r="P40" s="361"/>
      <c r="Q40" s="361"/>
      <c r="R40" s="361"/>
      <c r="S40" s="361"/>
      <c r="T40" s="675"/>
      <c r="U40" s="675"/>
      <c r="V40" s="675"/>
      <c r="W40" s="675"/>
      <c r="X40" s="675"/>
      <c r="Y40" s="675"/>
      <c r="Z40" s="361"/>
      <c r="AA40" s="361"/>
      <c r="AB40" s="361"/>
      <c r="AC40" s="361"/>
      <c r="AD40" s="361"/>
      <c r="AE40" s="361"/>
      <c r="AF40" s="361"/>
      <c r="AG40" s="1065"/>
    </row>
    <row r="41" spans="1:33">
      <c r="A41" s="4407"/>
      <c r="B41" s="28" t="s">
        <v>122</v>
      </c>
      <c r="C41" s="32" t="s">
        <v>123</v>
      </c>
      <c r="D41" s="1064"/>
      <c r="E41" s="430"/>
      <c r="F41" s="430"/>
      <c r="G41" s="430"/>
      <c r="H41" s="430"/>
      <c r="I41" s="430"/>
      <c r="J41" s="430"/>
      <c r="K41" s="430"/>
      <c r="L41" s="429"/>
      <c r="M41" s="429"/>
      <c r="N41" s="429"/>
      <c r="O41" s="429"/>
      <c r="P41" s="429"/>
      <c r="Q41" s="361"/>
      <c r="R41" s="361"/>
      <c r="S41" s="361"/>
      <c r="T41" s="361"/>
      <c r="U41" s="361"/>
      <c r="V41" s="361"/>
      <c r="W41" s="361"/>
      <c r="X41" s="429"/>
      <c r="Y41" s="429"/>
      <c r="Z41" s="429"/>
      <c r="AA41" s="429"/>
      <c r="AB41" s="429"/>
      <c r="AC41" s="429"/>
      <c r="AD41" s="429"/>
      <c r="AE41" s="429"/>
      <c r="AF41" s="429"/>
      <c r="AG41" s="1068"/>
    </row>
    <row r="42" spans="1:33">
      <c r="A42" s="4407"/>
      <c r="B42" s="28" t="s">
        <v>124</v>
      </c>
      <c r="C42" s="32" t="s">
        <v>125</v>
      </c>
      <c r="D42" s="1064"/>
      <c r="E42" s="4389" t="s">
        <v>251</v>
      </c>
      <c r="F42" s="4350"/>
      <c r="G42" s="4440" t="s">
        <v>380</v>
      </c>
      <c r="H42" s="4441"/>
      <c r="I42" s="4441"/>
      <c r="J42" s="4441"/>
      <c r="K42" s="4441"/>
      <c r="L42" s="4441"/>
      <c r="M42" s="4441"/>
      <c r="N42" s="4441"/>
      <c r="O42" s="4441"/>
      <c r="P42" s="4441"/>
      <c r="Q42" s="4441"/>
      <c r="R42" s="4441"/>
      <c r="S42" s="4442"/>
      <c r="T42" s="4389" t="s">
        <v>251</v>
      </c>
      <c r="U42" s="4350"/>
      <c r="V42" s="361"/>
      <c r="W42" s="427"/>
      <c r="X42" s="903"/>
      <c r="Y42" s="903"/>
      <c r="Z42" s="903"/>
      <c r="AA42" s="903"/>
      <c r="AB42" s="903"/>
      <c r="AC42" s="903"/>
      <c r="AD42" s="1293" t="s">
        <v>251</v>
      </c>
      <c r="AE42" s="4440" t="s">
        <v>381</v>
      </c>
      <c r="AF42" s="4441"/>
      <c r="AG42" s="4464"/>
    </row>
    <row r="43" spans="1:33">
      <c r="A43" s="4407"/>
      <c r="B43" s="28" t="s">
        <v>124</v>
      </c>
      <c r="C43" s="32" t="s">
        <v>126</v>
      </c>
      <c r="D43" s="1064"/>
      <c r="E43" s="361"/>
      <c r="F43" s="361"/>
      <c r="G43" s="675"/>
      <c r="H43" s="675"/>
      <c r="I43" s="4389" t="s">
        <v>251</v>
      </c>
      <c r="J43" s="4350"/>
      <c r="K43" s="4396" t="s">
        <v>224</v>
      </c>
      <c r="L43" s="4394"/>
      <c r="M43" s="4394"/>
      <c r="N43" s="4394"/>
      <c r="O43" s="4394"/>
      <c r="P43" s="4394"/>
      <c r="Q43" s="4394"/>
      <c r="R43" s="4394"/>
      <c r="S43" s="4394"/>
      <c r="T43" s="4467"/>
      <c r="U43" s="4389" t="s">
        <v>251</v>
      </c>
      <c r="V43" s="4350"/>
      <c r="W43" s="427"/>
      <c r="X43" s="902"/>
      <c r="Y43" s="902"/>
      <c r="Z43" s="902"/>
      <c r="AA43" s="902"/>
      <c r="AB43" s="902"/>
      <c r="AC43" s="902"/>
      <c r="AD43" s="902"/>
      <c r="AE43" s="4062" t="s">
        <v>377</v>
      </c>
      <c r="AF43" s="4062"/>
      <c r="AG43" s="4459"/>
    </row>
    <row r="44" spans="1:33">
      <c r="A44" s="4407"/>
      <c r="B44" s="28" t="s">
        <v>127</v>
      </c>
      <c r="C44" s="32" t="s">
        <v>128</v>
      </c>
      <c r="D44" s="1064"/>
      <c r="E44" s="361"/>
      <c r="F44" s="361"/>
      <c r="G44" s="361"/>
      <c r="H44" s="361"/>
      <c r="I44" s="361"/>
      <c r="J44" s="361"/>
      <c r="K44" s="4333" t="s">
        <v>383</v>
      </c>
      <c r="L44" s="4468"/>
      <c r="M44" s="4468"/>
      <c r="N44" s="4468"/>
      <c r="O44" s="4468"/>
      <c r="P44" s="4468"/>
      <c r="Q44" s="4411"/>
      <c r="R44" s="4411"/>
      <c r="S44" s="4334"/>
      <c r="T44" s="4365" t="s">
        <v>367</v>
      </c>
      <c r="U44" s="4366"/>
      <c r="V44" s="361"/>
      <c r="W44" s="361"/>
      <c r="X44" s="430"/>
      <c r="Y44" s="283"/>
      <c r="Z44" s="430"/>
      <c r="AA44" s="1262"/>
      <c r="AB44" s="283"/>
      <c r="AC44" s="283"/>
      <c r="AD44" s="361"/>
      <c r="AE44" s="361"/>
      <c r="AF44" s="361"/>
      <c r="AG44" s="1065"/>
    </row>
    <row r="45" spans="1:33">
      <c r="A45" s="4407"/>
      <c r="B45" s="28" t="s">
        <v>129</v>
      </c>
      <c r="C45" s="32" t="s">
        <v>130</v>
      </c>
      <c r="D45" s="1064"/>
      <c r="E45" s="4460" t="s">
        <v>251</v>
      </c>
      <c r="F45" s="4461"/>
      <c r="G45" s="4470" t="s">
        <v>380</v>
      </c>
      <c r="H45" s="4471"/>
      <c r="I45" s="4471"/>
      <c r="J45" s="4471"/>
      <c r="K45" s="4471"/>
      <c r="L45" s="4441"/>
      <c r="M45" s="4441"/>
      <c r="N45" s="4441"/>
      <c r="O45" s="4441"/>
      <c r="P45" s="4441"/>
      <c r="Q45" s="4441"/>
      <c r="R45" s="4441"/>
      <c r="S45" s="4442"/>
      <c r="T45" s="4389" t="s">
        <v>251</v>
      </c>
      <c r="U45" s="4350"/>
      <c r="V45" s="361"/>
      <c r="W45" s="361"/>
      <c r="X45" s="361"/>
      <c r="Y45" s="361"/>
      <c r="Z45" s="361"/>
      <c r="AA45" s="361"/>
      <c r="AB45" s="361"/>
      <c r="AC45" s="361"/>
      <c r="AD45" s="361"/>
      <c r="AE45" s="361"/>
      <c r="AF45" s="361"/>
      <c r="AG45" s="1065"/>
    </row>
    <row r="46" spans="1:33">
      <c r="A46" s="4407"/>
      <c r="B46" s="28" t="s">
        <v>134</v>
      </c>
      <c r="C46" s="32" t="s">
        <v>135</v>
      </c>
      <c r="D46" s="1288"/>
      <c r="E46" s="3589" t="s">
        <v>251</v>
      </c>
      <c r="F46" s="4350" t="s">
        <v>382</v>
      </c>
      <c r="G46" s="4286"/>
      <c r="H46" s="4286"/>
      <c r="I46" s="4286"/>
      <c r="J46" s="4389"/>
      <c r="K46" s="4389" t="s">
        <v>251</v>
      </c>
      <c r="L46" s="4350"/>
      <c r="M46" s="4440" t="s">
        <v>384</v>
      </c>
      <c r="N46" s="4441"/>
      <c r="O46" s="4441"/>
      <c r="P46" s="4441"/>
      <c r="Q46" s="4442"/>
      <c r="R46" s="4389" t="s">
        <v>251</v>
      </c>
      <c r="S46" s="4350"/>
      <c r="T46" s="4333" t="s">
        <v>385</v>
      </c>
      <c r="U46" s="4413"/>
      <c r="V46" s="4413"/>
      <c r="W46" s="4413"/>
      <c r="X46" s="4413"/>
      <c r="Y46" s="4413"/>
      <c r="Z46" s="4413"/>
      <c r="AA46" s="4413"/>
      <c r="AB46" s="4413"/>
      <c r="AC46" s="4413"/>
      <c r="AD46" s="4413"/>
      <c r="AE46" s="4413"/>
      <c r="AF46" s="4413"/>
      <c r="AG46" s="4455"/>
    </row>
    <row r="47" spans="1:33">
      <c r="A47" s="4407"/>
      <c r="B47" s="28" t="s">
        <v>333</v>
      </c>
      <c r="C47" s="32" t="s">
        <v>334</v>
      </c>
      <c r="D47" s="1064"/>
      <c r="E47" s="430"/>
      <c r="F47" s="430"/>
      <c r="G47" s="430"/>
      <c r="H47" s="430"/>
      <c r="I47" s="430"/>
      <c r="J47" s="430"/>
      <c r="K47" s="430"/>
      <c r="L47" s="429"/>
      <c r="M47" s="429"/>
      <c r="N47" s="429"/>
      <c r="O47" s="429"/>
      <c r="P47" s="429"/>
      <c r="Q47" s="429"/>
      <c r="R47" s="429"/>
      <c r="S47" s="361"/>
      <c r="T47" s="361"/>
      <c r="U47" s="361"/>
      <c r="V47" s="361"/>
      <c r="W47" s="361"/>
      <c r="X47" s="361"/>
      <c r="Y47" s="361"/>
      <c r="Z47" s="361"/>
      <c r="AA47" s="361"/>
      <c r="AB47" s="361"/>
      <c r="AC47" s="361"/>
      <c r="AD47" s="361"/>
      <c r="AE47" s="361"/>
      <c r="AF47" s="361"/>
      <c r="AG47" s="1065"/>
    </row>
    <row r="48" spans="1:33">
      <c r="A48" s="4407"/>
      <c r="B48" s="29" t="s">
        <v>131</v>
      </c>
      <c r="C48" s="39" t="s">
        <v>132</v>
      </c>
      <c r="D48" s="1069"/>
      <c r="E48" s="759"/>
      <c r="F48" s="759"/>
      <c r="G48" s="1279"/>
      <c r="H48" s="1279"/>
      <c r="I48" s="4389" t="s">
        <v>251</v>
      </c>
      <c r="J48" s="4350"/>
      <c r="K48" s="4396" t="s">
        <v>224</v>
      </c>
      <c r="L48" s="4394"/>
      <c r="M48" s="4394"/>
      <c r="N48" s="4394"/>
      <c r="O48" s="4394"/>
      <c r="P48" s="4394"/>
      <c r="Q48" s="4394"/>
      <c r="R48" s="4394"/>
      <c r="S48" s="4394"/>
      <c r="T48" s="4467"/>
      <c r="U48" s="4389" t="s">
        <v>251</v>
      </c>
      <c r="V48" s="4350"/>
      <c r="W48" s="759"/>
      <c r="X48" s="759"/>
      <c r="Y48" s="759"/>
      <c r="Z48" s="759"/>
      <c r="AA48" s="759"/>
      <c r="AB48" s="759"/>
      <c r="AC48" s="759"/>
      <c r="AD48" s="759"/>
      <c r="AE48" s="4062" t="s">
        <v>377</v>
      </c>
      <c r="AF48" s="4062"/>
      <c r="AG48" s="4459"/>
    </row>
    <row r="49" spans="1:33" ht="15.75">
      <c r="A49" s="4402" t="s">
        <v>136</v>
      </c>
      <c r="B49" s="950" t="s">
        <v>77</v>
      </c>
      <c r="C49" s="812" t="s">
        <v>137</v>
      </c>
      <c r="D49" s="4397" t="s">
        <v>55</v>
      </c>
      <c r="E49" s="4398"/>
      <c r="F49" s="430"/>
      <c r="G49" s="430"/>
      <c r="H49" s="1207"/>
      <c r="I49" s="1207"/>
      <c r="J49" s="1207"/>
      <c r="K49" s="4472" t="s">
        <v>55</v>
      </c>
      <c r="L49" s="4473"/>
      <c r="M49" s="4367" t="s">
        <v>386</v>
      </c>
      <c r="N49" s="4415"/>
      <c r="O49" s="4415"/>
      <c r="P49" s="4415"/>
      <c r="Q49" s="4415"/>
      <c r="R49" s="4472" t="s">
        <v>55</v>
      </c>
      <c r="S49" s="4473"/>
      <c r="T49" s="4367" t="s">
        <v>369</v>
      </c>
      <c r="U49" s="4415"/>
      <c r="V49" s="4415"/>
      <c r="W49" s="4415"/>
      <c r="X49" s="4415"/>
      <c r="Y49" s="4415"/>
      <c r="Z49" s="4415"/>
      <c r="AA49" s="4415"/>
      <c r="AB49" s="4415"/>
      <c r="AC49" s="4415"/>
      <c r="AD49" s="4415"/>
      <c r="AE49" s="4439"/>
      <c r="AF49" s="811" t="s">
        <v>55</v>
      </c>
      <c r="AG49" s="1071"/>
    </row>
    <row r="50" spans="1:33" ht="15.75">
      <c r="A50" s="4403"/>
      <c r="B50" s="951" t="s">
        <v>95</v>
      </c>
      <c r="C50" s="1209" t="s">
        <v>139</v>
      </c>
      <c r="D50" s="428"/>
      <c r="E50" s="361"/>
      <c r="F50" s="361"/>
      <c r="G50" s="361"/>
      <c r="H50" s="361"/>
      <c r="I50" s="361"/>
      <c r="J50" s="4333" t="s">
        <v>387</v>
      </c>
      <c r="K50" s="4411"/>
      <c r="L50" s="4411"/>
      <c r="M50" s="4334"/>
      <c r="N50" s="374"/>
      <c r="O50" s="374"/>
      <c r="P50" s="374"/>
      <c r="Q50" s="374"/>
      <c r="R50" s="374"/>
      <c r="S50" s="610" t="s">
        <v>55</v>
      </c>
      <c r="T50" s="4359" t="s">
        <v>369</v>
      </c>
      <c r="U50" s="4444"/>
      <c r="V50" s="4444"/>
      <c r="W50" s="4444"/>
      <c r="X50" s="4444"/>
      <c r="Y50" s="4444"/>
      <c r="Z50" s="4444"/>
      <c r="AA50" s="4444"/>
      <c r="AB50" s="4444"/>
      <c r="AC50" s="4444"/>
      <c r="AD50" s="4444"/>
      <c r="AE50" s="4445"/>
      <c r="AF50" s="610" t="s">
        <v>55</v>
      </c>
      <c r="AG50" s="1065"/>
    </row>
    <row r="51" spans="1:33" ht="15.75">
      <c r="A51" s="4404"/>
      <c r="B51" s="956" t="s">
        <v>142</v>
      </c>
      <c r="C51" s="814" t="s">
        <v>143</v>
      </c>
      <c r="D51" s="1077"/>
      <c r="E51" s="759"/>
      <c r="F51" s="759"/>
      <c r="G51" s="759"/>
      <c r="H51" s="759"/>
      <c r="I51" s="759"/>
      <c r="J51" s="759"/>
      <c r="K51" s="759"/>
      <c r="L51" s="1072"/>
      <c r="M51" s="1072"/>
      <c r="N51" s="1072"/>
      <c r="O51" s="4423" t="s">
        <v>388</v>
      </c>
      <c r="P51" s="4469"/>
      <c r="Q51" s="1072"/>
      <c r="R51" s="1072"/>
      <c r="S51" s="611" t="s">
        <v>55</v>
      </c>
      <c r="T51" s="4456" t="s">
        <v>369</v>
      </c>
      <c r="U51" s="4457"/>
      <c r="V51" s="4457"/>
      <c r="W51" s="4457"/>
      <c r="X51" s="4457"/>
      <c r="Y51" s="4457"/>
      <c r="Z51" s="4457"/>
      <c r="AA51" s="4457"/>
      <c r="AB51" s="4457"/>
      <c r="AC51" s="4457"/>
      <c r="AD51" s="4457"/>
      <c r="AE51" s="4458"/>
      <c r="AF51" s="611" t="s">
        <v>55</v>
      </c>
      <c r="AG51" s="1070"/>
    </row>
    <row r="52" spans="1:33">
      <c r="A52" s="4425" t="s">
        <v>144</v>
      </c>
      <c r="B52" s="35" t="s">
        <v>145</v>
      </c>
      <c r="C52" s="954" t="s">
        <v>146</v>
      </c>
      <c r="D52" s="1067"/>
      <c r="E52" s="430"/>
      <c r="F52" s="4436" t="s">
        <v>389</v>
      </c>
      <c r="G52" s="4437"/>
      <c r="H52" s="4437"/>
      <c r="I52" s="4437"/>
      <c r="J52" s="4438"/>
      <c r="K52" s="430"/>
      <c r="L52" s="430"/>
      <c r="M52" s="430"/>
      <c r="N52" s="430"/>
      <c r="O52" s="430"/>
      <c r="P52" s="430"/>
      <c r="Q52" s="430"/>
      <c r="R52" s="430"/>
      <c r="S52" s="430"/>
      <c r="T52" s="430"/>
      <c r="U52" s="430"/>
      <c r="V52" s="430"/>
      <c r="W52" s="430"/>
      <c r="X52" s="430"/>
      <c r="Y52" s="430"/>
      <c r="Z52" s="430"/>
      <c r="AA52" s="430"/>
      <c r="AB52" s="430"/>
      <c r="AC52" s="430"/>
      <c r="AD52" s="430"/>
      <c r="AE52" s="430"/>
      <c r="AF52" s="430"/>
      <c r="AG52" s="1071"/>
    </row>
    <row r="53" spans="1:33">
      <c r="A53" s="4425"/>
      <c r="B53" s="32" t="s">
        <v>145</v>
      </c>
      <c r="C53" s="990" t="s">
        <v>148</v>
      </c>
      <c r="D53" s="1064"/>
      <c r="E53" s="361"/>
      <c r="F53" s="361"/>
      <c r="G53" s="361"/>
      <c r="H53" s="361"/>
      <c r="I53" s="361"/>
      <c r="J53" s="361"/>
      <c r="K53" s="361"/>
      <c r="L53" s="361"/>
      <c r="M53" s="1205" t="s">
        <v>55</v>
      </c>
      <c r="N53" s="4427" t="s">
        <v>364</v>
      </c>
      <c r="O53" s="4428"/>
      <c r="P53" s="1205" t="s">
        <v>55</v>
      </c>
      <c r="Q53" s="361"/>
      <c r="R53" s="361"/>
      <c r="S53" s="361"/>
      <c r="T53" s="4365" t="s">
        <v>367</v>
      </c>
      <c r="U53" s="4366"/>
      <c r="V53" s="361"/>
      <c r="W53" s="361"/>
      <c r="X53" s="361"/>
      <c r="Y53" s="361"/>
      <c r="Z53" s="361"/>
      <c r="AA53" s="4333" t="s">
        <v>390</v>
      </c>
      <c r="AB53" s="4413"/>
      <c r="AC53" s="4413"/>
      <c r="AD53" s="4413"/>
      <c r="AE53" s="4413"/>
      <c r="AF53" s="4413"/>
      <c r="AG53" s="4455"/>
    </row>
    <row r="54" spans="1:33">
      <c r="A54" s="4425"/>
      <c r="B54" s="32" t="s">
        <v>149</v>
      </c>
      <c r="C54" s="1034" t="s">
        <v>150</v>
      </c>
      <c r="D54" s="1064"/>
      <c r="E54" s="361"/>
      <c r="F54" s="361"/>
      <c r="G54" s="361"/>
      <c r="H54" s="361"/>
      <c r="I54" s="361"/>
      <c r="J54" s="429"/>
      <c r="K54" s="429"/>
      <c r="L54" s="429"/>
      <c r="M54" s="361"/>
      <c r="N54" s="361"/>
      <c r="O54" s="361"/>
      <c r="P54" s="361"/>
      <c r="Q54" s="361"/>
      <c r="R54" s="361"/>
      <c r="S54" s="361"/>
      <c r="T54" s="361"/>
      <c r="U54" s="361"/>
      <c r="V54" s="361"/>
      <c r="W54" s="361"/>
      <c r="X54" s="361"/>
      <c r="Y54" s="361"/>
      <c r="Z54" s="361"/>
      <c r="AA54" s="429"/>
      <c r="AB54" s="361"/>
      <c r="AC54" s="361"/>
      <c r="AD54" s="361"/>
      <c r="AE54" s="361"/>
      <c r="AF54" s="361"/>
      <c r="AG54" s="1065"/>
    </row>
    <row r="55" spans="1:33">
      <c r="A55" s="4426"/>
      <c r="B55" s="33" t="s">
        <v>149</v>
      </c>
      <c r="C55" s="1054" t="s">
        <v>151</v>
      </c>
      <c r="D55" s="1069"/>
      <c r="E55" s="759"/>
      <c r="F55" s="759"/>
      <c r="G55" s="1279"/>
      <c r="H55" s="1279"/>
      <c r="I55" s="1303"/>
      <c r="J55" s="1060"/>
      <c r="K55" s="759"/>
      <c r="L55" s="759"/>
      <c r="M55" s="1077"/>
      <c r="N55" s="759"/>
      <c r="O55" s="4423" t="s">
        <v>391</v>
      </c>
      <c r="P55" s="4424"/>
      <c r="Q55" s="4424"/>
      <c r="R55" s="4424"/>
      <c r="S55" s="4424"/>
      <c r="T55" s="4424"/>
      <c r="U55" s="4424"/>
      <c r="V55" s="4424"/>
      <c r="W55" s="759"/>
      <c r="X55" s="759"/>
      <c r="Y55" s="759"/>
      <c r="Z55" s="759"/>
      <c r="AA55" s="1338"/>
      <c r="AB55" s="759"/>
      <c r="AC55" s="759"/>
      <c r="AD55" s="759"/>
      <c r="AE55" s="759"/>
      <c r="AF55" s="759"/>
      <c r="AG55" s="1070"/>
    </row>
    <row r="56" spans="1:33">
      <c r="A56" s="4421" t="s">
        <v>13</v>
      </c>
      <c r="B56" s="34" t="s">
        <v>77</v>
      </c>
      <c r="C56" s="35" t="s">
        <v>153</v>
      </c>
      <c r="D56" s="1067"/>
      <c r="E56" s="430"/>
      <c r="F56" s="430"/>
      <c r="G56" s="430"/>
      <c r="H56" s="430"/>
      <c r="I56" s="430"/>
      <c r="J56" s="430"/>
      <c r="K56" s="430"/>
      <c r="L56" s="430"/>
      <c r="M56" s="1205" t="s">
        <v>55</v>
      </c>
      <c r="N56" s="4427" t="s">
        <v>364</v>
      </c>
      <c r="O56" s="4428"/>
      <c r="P56" s="1205" t="s">
        <v>55</v>
      </c>
      <c r="Q56" s="430"/>
      <c r="R56" s="430"/>
      <c r="S56" s="430"/>
      <c r="T56" s="4365" t="s">
        <v>367</v>
      </c>
      <c r="U56" s="4366"/>
      <c r="V56" s="430"/>
      <c r="W56" s="430"/>
      <c r="X56" s="430"/>
      <c r="Y56" s="283"/>
      <c r="Z56" s="430"/>
      <c r="AA56" s="1262"/>
      <c r="AB56" s="430"/>
      <c r="AC56" s="664"/>
      <c r="AD56" s="430"/>
      <c r="AE56" s="430"/>
      <c r="AF56" s="430"/>
      <c r="AG56" s="1071"/>
    </row>
    <row r="57" spans="1:33">
      <c r="A57" s="4407"/>
      <c r="B57" s="29" t="s">
        <v>392</v>
      </c>
      <c r="C57" s="39" t="s">
        <v>78</v>
      </c>
      <c r="D57" s="4429" t="s">
        <v>393</v>
      </c>
      <c r="E57" s="4430"/>
      <c r="F57" s="4431"/>
      <c r="G57" s="361"/>
      <c r="H57" s="361"/>
      <c r="I57" s="361"/>
      <c r="J57" s="361"/>
      <c r="K57" s="361"/>
      <c r="L57" s="361"/>
      <c r="M57" s="1205" t="s">
        <v>55</v>
      </c>
      <c r="N57" s="4427" t="s">
        <v>364</v>
      </c>
      <c r="O57" s="4428"/>
      <c r="P57" s="1205" t="s">
        <v>55</v>
      </c>
      <c r="Q57" s="361"/>
      <c r="R57" s="361"/>
      <c r="S57" s="361"/>
      <c r="T57" s="4365" t="s">
        <v>367</v>
      </c>
      <c r="U57" s="4366"/>
      <c r="V57" s="361"/>
      <c r="W57" s="361"/>
      <c r="X57" s="361"/>
      <c r="Y57" s="361"/>
      <c r="Z57" s="361"/>
      <c r="AA57" s="361"/>
      <c r="AB57" s="427"/>
      <c r="AC57" s="2"/>
      <c r="AD57" s="361"/>
      <c r="AE57" s="361"/>
      <c r="AF57" s="361"/>
      <c r="AG57" s="1065"/>
    </row>
    <row r="58" spans="1:33">
      <c r="A58" s="4407"/>
      <c r="B58" s="29" t="s">
        <v>248</v>
      </c>
      <c r="C58" s="39" t="s">
        <v>86</v>
      </c>
      <c r="D58" s="1064"/>
      <c r="E58" s="428"/>
      <c r="F58" s="428"/>
      <c r="G58" s="361"/>
      <c r="H58" s="361"/>
      <c r="I58" s="361"/>
      <c r="J58" s="361"/>
      <c r="K58" s="361"/>
      <c r="L58" s="361"/>
      <c r="M58" s="429"/>
      <c r="N58" s="429"/>
      <c r="O58" s="429"/>
      <c r="P58" s="429"/>
      <c r="Q58" s="361"/>
      <c r="R58" s="361"/>
      <c r="S58" s="361"/>
      <c r="T58" s="4365" t="s">
        <v>367</v>
      </c>
      <c r="U58" s="4366"/>
      <c r="V58" s="361"/>
      <c r="W58" s="361"/>
      <c r="X58" s="361"/>
      <c r="Y58" s="361"/>
      <c r="Z58" s="361"/>
      <c r="AA58" s="361"/>
      <c r="AB58" s="427"/>
      <c r="AC58" s="2"/>
      <c r="AD58" s="361"/>
      <c r="AE58" s="361"/>
      <c r="AF58" s="361"/>
      <c r="AG58" s="1065"/>
    </row>
    <row r="59" spans="1:33">
      <c r="A59" s="4407"/>
      <c r="B59" s="29" t="s">
        <v>95</v>
      </c>
      <c r="C59" s="39" t="s">
        <v>82</v>
      </c>
      <c r="D59" s="1064"/>
      <c r="E59" s="428"/>
      <c r="F59" s="428"/>
      <c r="G59" s="361"/>
      <c r="H59" s="361"/>
      <c r="I59" s="361"/>
      <c r="J59" s="361"/>
      <c r="K59" s="361"/>
      <c r="L59" s="361"/>
      <c r="M59" s="1205" t="s">
        <v>55</v>
      </c>
      <c r="N59" s="4427" t="s">
        <v>364</v>
      </c>
      <c r="O59" s="4428"/>
      <c r="P59" s="1205" t="s">
        <v>55</v>
      </c>
      <c r="Q59" s="361"/>
      <c r="R59" s="361"/>
      <c r="S59" s="361"/>
      <c r="T59" s="4365" t="s">
        <v>367</v>
      </c>
      <c r="U59" s="4366"/>
      <c r="V59" s="361"/>
      <c r="W59" s="361"/>
      <c r="X59" s="361"/>
      <c r="Y59" s="4465" t="s">
        <v>394</v>
      </c>
      <c r="Z59" s="4466"/>
      <c r="AA59" s="361"/>
      <c r="AB59" s="427"/>
      <c r="AC59" s="361"/>
      <c r="AD59" s="361"/>
      <c r="AE59" s="361"/>
      <c r="AF59" s="361"/>
      <c r="AG59" s="1065"/>
    </row>
    <row r="60" spans="1:33">
      <c r="A60" s="4407"/>
      <c r="B60" s="29" t="s">
        <v>395</v>
      </c>
      <c r="C60" s="1341" t="s">
        <v>396</v>
      </c>
      <c r="D60" s="1211"/>
      <c r="E60" s="1211"/>
      <c r="F60" s="1212"/>
      <c r="G60" s="1212"/>
      <c r="H60" s="432"/>
      <c r="I60" s="534"/>
      <c r="J60" s="534"/>
      <c r="K60" s="534"/>
      <c r="L60" s="534"/>
      <c r="M60" s="1213"/>
      <c r="N60" s="1214"/>
      <c r="O60" s="1215"/>
      <c r="P60" s="1213"/>
      <c r="Q60" s="534"/>
      <c r="R60" s="534"/>
      <c r="S60" s="534"/>
      <c r="T60" s="534"/>
      <c r="U60" s="1216"/>
      <c r="V60" s="1216"/>
      <c r="W60" s="534"/>
      <c r="X60" s="1233" t="s">
        <v>397</v>
      </c>
      <c r="Y60" s="429"/>
      <c r="Z60" s="429"/>
      <c r="AA60" s="1224" t="s">
        <v>398</v>
      </c>
      <c r="AB60" s="910"/>
      <c r="AC60" s="429"/>
      <c r="AD60" s="428"/>
      <c r="AE60" s="361"/>
      <c r="AF60" s="361"/>
      <c r="AG60" s="1068"/>
    </row>
    <row r="61" spans="1:33">
      <c r="A61" s="4422"/>
      <c r="B61" s="1204" t="s">
        <v>155</v>
      </c>
      <c r="C61" s="1336" t="s">
        <v>156</v>
      </c>
      <c r="D61" s="4434" t="s">
        <v>399</v>
      </c>
      <c r="E61" s="4435"/>
      <c r="F61" s="4435"/>
      <c r="G61" s="4435"/>
      <c r="H61" s="759"/>
      <c r="I61" s="759"/>
      <c r="J61" s="759"/>
      <c r="K61" s="759"/>
      <c r="L61" s="759"/>
      <c r="M61" s="1302" t="s">
        <v>55</v>
      </c>
      <c r="N61" s="4432" t="s">
        <v>364</v>
      </c>
      <c r="O61" s="4433"/>
      <c r="P61" s="1302" t="s">
        <v>55</v>
      </c>
      <c r="Q61" s="759"/>
      <c r="R61" s="759"/>
      <c r="S61" s="759"/>
      <c r="T61" s="759"/>
      <c r="U61" s="759"/>
      <c r="V61" s="759"/>
      <c r="W61" s="759"/>
      <c r="X61" s="759"/>
      <c r="Y61" s="759"/>
      <c r="Z61" s="759"/>
      <c r="AA61" s="759"/>
      <c r="AB61" s="1337"/>
      <c r="AC61" s="321"/>
      <c r="AD61" s="1077"/>
      <c r="AE61" s="759"/>
      <c r="AF61" s="759"/>
      <c r="AG61" s="1070"/>
    </row>
  </sheetData>
  <mergeCells count="115">
    <mergeCell ref="AE42:AG42"/>
    <mergeCell ref="Y59:Z59"/>
    <mergeCell ref="AA53:AG53"/>
    <mergeCell ref="T50:AE50"/>
    <mergeCell ref="T51:AE51"/>
    <mergeCell ref="T49:AE49"/>
    <mergeCell ref="AE43:AG43"/>
    <mergeCell ref="AE48:AG48"/>
    <mergeCell ref="K43:T43"/>
    <mergeCell ref="T45:U45"/>
    <mergeCell ref="U43:V43"/>
    <mergeCell ref="K44:S44"/>
    <mergeCell ref="K48:T48"/>
    <mergeCell ref="T44:U44"/>
    <mergeCell ref="U48:V48"/>
    <mergeCell ref="O51:P51"/>
    <mergeCell ref="G45:S45"/>
    <mergeCell ref="K46:L46"/>
    <mergeCell ref="M46:Q46"/>
    <mergeCell ref="R46:S46"/>
    <mergeCell ref="R49:S49"/>
    <mergeCell ref="K49:L49"/>
    <mergeCell ref="T31:AE31"/>
    <mergeCell ref="T32:AE32"/>
    <mergeCell ref="G42:S42"/>
    <mergeCell ref="E42:F42"/>
    <mergeCell ref="F46:J46"/>
    <mergeCell ref="P28:V28"/>
    <mergeCell ref="T33:AE33"/>
    <mergeCell ref="N30:AG30"/>
    <mergeCell ref="H36:AG36"/>
    <mergeCell ref="H39:P39"/>
    <mergeCell ref="Q39:R39"/>
    <mergeCell ref="T46:AG46"/>
    <mergeCell ref="F40:J40"/>
    <mergeCell ref="D33:J33"/>
    <mergeCell ref="D37:G37"/>
    <mergeCell ref="I43:J43"/>
    <mergeCell ref="T34:AE34"/>
    <mergeCell ref="N32:O32"/>
    <mergeCell ref="AE35:AG35"/>
    <mergeCell ref="T42:U42"/>
    <mergeCell ref="E45:F45"/>
    <mergeCell ref="N28:O28"/>
    <mergeCell ref="O37:AG37"/>
    <mergeCell ref="AE39:AG39"/>
    <mergeCell ref="A56:A61"/>
    <mergeCell ref="O55:V55"/>
    <mergeCell ref="A52:A55"/>
    <mergeCell ref="N59:O59"/>
    <mergeCell ref="N53:O53"/>
    <mergeCell ref="D57:F57"/>
    <mergeCell ref="T59:U59"/>
    <mergeCell ref="N56:O56"/>
    <mergeCell ref="N61:O61"/>
    <mergeCell ref="T53:U53"/>
    <mergeCell ref="T57:U57"/>
    <mergeCell ref="T58:U58"/>
    <mergeCell ref="D61:G61"/>
    <mergeCell ref="N57:O57"/>
    <mergeCell ref="F52:J52"/>
    <mergeCell ref="T56:U56"/>
    <mergeCell ref="D49:E49"/>
    <mergeCell ref="A18:C18"/>
    <mergeCell ref="I17:J17"/>
    <mergeCell ref="A49:A51"/>
    <mergeCell ref="A17:C17"/>
    <mergeCell ref="A35:A48"/>
    <mergeCell ref="A19:C19"/>
    <mergeCell ref="A23:A25"/>
    <mergeCell ref="A29:A34"/>
    <mergeCell ref="A26:A28"/>
    <mergeCell ref="J50:M50"/>
    <mergeCell ref="D24:F24"/>
    <mergeCell ref="I48:J48"/>
    <mergeCell ref="M49:Q49"/>
    <mergeCell ref="D32:H32"/>
    <mergeCell ref="D26:E26"/>
    <mergeCell ref="J26:M26"/>
    <mergeCell ref="A1:C1"/>
    <mergeCell ref="D1:AG1"/>
    <mergeCell ref="A2:C2"/>
    <mergeCell ref="A3:C3"/>
    <mergeCell ref="A4:C4"/>
    <mergeCell ref="J4:L4"/>
    <mergeCell ref="A11:C11"/>
    <mergeCell ref="A7:C7"/>
    <mergeCell ref="A10:C10"/>
    <mergeCell ref="D8:F8"/>
    <mergeCell ref="G8:S8"/>
    <mergeCell ref="A5:C5"/>
    <mergeCell ref="A6:C6"/>
    <mergeCell ref="A8:C8"/>
    <mergeCell ref="A9:C9"/>
    <mergeCell ref="D5:E5"/>
    <mergeCell ref="M5:AG5"/>
    <mergeCell ref="AE6:AG6"/>
    <mergeCell ref="K6:T6"/>
    <mergeCell ref="T26:U26"/>
    <mergeCell ref="F5:L5"/>
    <mergeCell ref="A12:C12"/>
    <mergeCell ref="A13:C13"/>
    <mergeCell ref="N13:O13"/>
    <mergeCell ref="A20:C20"/>
    <mergeCell ref="I21:J21"/>
    <mergeCell ref="T17:AE17"/>
    <mergeCell ref="A15:C15"/>
    <mergeCell ref="A16:C16"/>
    <mergeCell ref="A14:C14"/>
    <mergeCell ref="T16:U16"/>
    <mergeCell ref="T24:U24"/>
    <mergeCell ref="T22:AE22"/>
    <mergeCell ref="T21:U21"/>
    <mergeCell ref="N21:O21"/>
    <mergeCell ref="AE23:AG23"/>
  </mergeCells>
  <pageMargins left="0.25" right="0.25" top="0.75" bottom="0.75" header="0.3" footer="0.3"/>
  <pageSetup scale="4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0359E-3AED-41A5-8381-56E751ECF82B}">
  <sheetPr>
    <pageSetUpPr fitToPage="1"/>
  </sheetPr>
  <dimension ref="A1:AI74"/>
  <sheetViews>
    <sheetView workbookViewId="0">
      <pane xSplit="3" ySplit="3" topLeftCell="J31" activePane="bottomRight" state="frozen"/>
      <selection pane="bottomRight" activeCell="J31" sqref="J31"/>
      <selection pane="bottomLeft"/>
      <selection pane="topRight"/>
    </sheetView>
  </sheetViews>
  <sheetFormatPr defaultRowHeight="15"/>
  <cols>
    <col min="1" max="1" width="10.5703125" customWidth="1"/>
    <col min="3" max="3" width="11.5703125" bestFit="1" customWidth="1"/>
    <col min="5" max="5" width="12" bestFit="1" customWidth="1"/>
    <col min="22" max="22" width="12.85546875" customWidth="1"/>
    <col min="34" max="34" width="10" customWidth="1"/>
  </cols>
  <sheetData>
    <row r="1" spans="1:34">
      <c r="A1" s="4375" t="s">
        <v>29</v>
      </c>
      <c r="B1" s="4375"/>
      <c r="C1" s="4375"/>
      <c r="D1" s="4376" t="s">
        <v>400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525"/>
    </row>
    <row r="2" spans="1:34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4378" t="s">
        <v>32</v>
      </c>
      <c r="B3" s="4378"/>
      <c r="C3" s="4378"/>
      <c r="D3" s="3703" t="s">
        <v>37</v>
      </c>
      <c r="E3" s="3703" t="s">
        <v>33</v>
      </c>
      <c r="F3" s="3703" t="s">
        <v>34</v>
      </c>
      <c r="G3" s="3703" t="s">
        <v>33</v>
      </c>
      <c r="H3" s="3703" t="s">
        <v>35</v>
      </c>
      <c r="I3" s="19" t="s">
        <v>36</v>
      </c>
      <c r="J3" s="19" t="s">
        <v>36</v>
      </c>
      <c r="K3" s="3703" t="s">
        <v>37</v>
      </c>
      <c r="L3" s="3703" t="s">
        <v>33</v>
      </c>
      <c r="M3" s="3703" t="s">
        <v>34</v>
      </c>
      <c r="N3" s="3703" t="s">
        <v>33</v>
      </c>
      <c r="O3" s="3703" t="s">
        <v>35</v>
      </c>
      <c r="P3" s="19" t="s">
        <v>36</v>
      </c>
      <c r="Q3" s="19" t="s">
        <v>36</v>
      </c>
      <c r="R3" s="3703" t="s">
        <v>37</v>
      </c>
      <c r="S3" s="3703" t="s">
        <v>33</v>
      </c>
      <c r="T3" s="3703" t="s">
        <v>34</v>
      </c>
      <c r="U3" s="40" t="s">
        <v>33</v>
      </c>
      <c r="V3" s="3703" t="s">
        <v>35</v>
      </c>
      <c r="W3" s="19" t="s">
        <v>36</v>
      </c>
      <c r="X3" s="19" t="s">
        <v>36</v>
      </c>
      <c r="Y3" s="3703" t="s">
        <v>37</v>
      </c>
      <c r="Z3" s="41" t="s">
        <v>33</v>
      </c>
      <c r="AA3" s="41" t="s">
        <v>34</v>
      </c>
      <c r="AB3" s="41" t="s">
        <v>33</v>
      </c>
      <c r="AC3" s="3703" t="s">
        <v>35</v>
      </c>
      <c r="AD3" s="19" t="s">
        <v>36</v>
      </c>
      <c r="AE3" s="19" t="s">
        <v>36</v>
      </c>
      <c r="AF3" s="3703" t="s">
        <v>37</v>
      </c>
      <c r="AG3" s="41" t="s">
        <v>33</v>
      </c>
      <c r="AH3" s="41" t="s">
        <v>34</v>
      </c>
    </row>
    <row r="4" spans="1:34" ht="15.75">
      <c r="A4" s="4526" t="s">
        <v>38</v>
      </c>
      <c r="B4" s="4527"/>
      <c r="C4" s="4527"/>
      <c r="D4" s="668"/>
      <c r="E4" s="48"/>
      <c r="F4" s="24"/>
      <c r="G4" s="24"/>
      <c r="H4" s="24"/>
      <c r="I4" s="24"/>
      <c r="J4" s="24"/>
      <c r="K4" s="24"/>
      <c r="L4" s="24"/>
      <c r="M4" s="24"/>
      <c r="N4" s="668"/>
      <c r="O4" s="668"/>
      <c r="P4" s="668"/>
      <c r="Q4" s="48"/>
      <c r="R4" s="48"/>
      <c r="S4" s="48"/>
      <c r="T4" s="24"/>
      <c r="U4" s="48"/>
      <c r="V4" s="48"/>
      <c r="W4" s="48"/>
      <c r="X4" s="48"/>
      <c r="Y4" s="48"/>
      <c r="Z4" s="24"/>
      <c r="AA4" s="1383" t="s">
        <v>401</v>
      </c>
      <c r="AB4" s="249"/>
      <c r="AC4" s="4528" t="s">
        <v>402</v>
      </c>
      <c r="AD4" s="4528"/>
      <c r="AE4" s="4528"/>
      <c r="AF4" s="4528"/>
      <c r="AG4" s="26"/>
      <c r="AH4" s="24"/>
    </row>
    <row r="5" spans="1:34" ht="15.75">
      <c r="A5" s="4476" t="s">
        <v>403</v>
      </c>
      <c r="B5" s="4477"/>
      <c r="C5" s="4477"/>
      <c r="D5" s="668"/>
      <c r="E5" s="668"/>
      <c r="F5" s="668"/>
      <c r="G5" s="668"/>
      <c r="H5" s="668"/>
      <c r="I5" s="668"/>
      <c r="J5" s="668"/>
      <c r="K5" s="668"/>
      <c r="L5" s="668"/>
      <c r="M5" s="668"/>
      <c r="N5" s="668"/>
      <c r="O5" s="668"/>
      <c r="P5" s="668"/>
      <c r="Q5" s="668"/>
      <c r="R5" s="668"/>
      <c r="S5" s="668"/>
      <c r="T5" s="668"/>
      <c r="U5" s="668"/>
      <c r="V5" s="668"/>
      <c r="W5" s="668"/>
      <c r="X5" s="668"/>
      <c r="Y5" s="668"/>
      <c r="Z5" s="668"/>
      <c r="AA5" s="1385"/>
      <c r="AB5" s="1386"/>
      <c r="AC5" s="204"/>
      <c r="AD5" s="204"/>
      <c r="AE5" s="204"/>
      <c r="AF5" s="204"/>
      <c r="AG5" s="1268" t="s">
        <v>404</v>
      </c>
      <c r="AH5" s="1256"/>
    </row>
    <row r="6" spans="1:34">
      <c r="A6" s="4286" t="s">
        <v>42</v>
      </c>
      <c r="B6" s="4286"/>
      <c r="C6" s="4389"/>
      <c r="D6" s="1326"/>
      <c r="E6" s="677"/>
      <c r="F6" s="365"/>
      <c r="G6" s="365"/>
      <c r="H6" s="365"/>
      <c r="I6" s="677"/>
      <c r="J6" s="677"/>
      <c r="K6" s="677"/>
      <c r="L6" s="1291"/>
      <c r="M6" s="795"/>
      <c r="N6" s="776"/>
      <c r="O6" s="795"/>
      <c r="P6" s="1384"/>
      <c r="Q6" s="1381"/>
      <c r="R6" s="1381"/>
      <c r="S6" s="1381"/>
      <c r="T6" s="1382"/>
      <c r="U6" s="4495" t="s">
        <v>221</v>
      </c>
      <c r="V6" s="4496"/>
      <c r="W6" s="4496"/>
      <c r="X6" s="4496"/>
      <c r="Y6" s="4496"/>
      <c r="Z6" s="4496"/>
      <c r="AA6" s="4496"/>
      <c r="AB6" s="776"/>
      <c r="AC6" s="776"/>
      <c r="AD6" s="776"/>
      <c r="AE6" s="776"/>
      <c r="AF6" s="365"/>
      <c r="AG6" s="365"/>
      <c r="AH6" s="1061"/>
    </row>
    <row r="7" spans="1:34" s="567" customFormat="1">
      <c r="A7" s="4061" t="s">
        <v>165</v>
      </c>
      <c r="B7" s="4062"/>
      <c r="C7" s="4062"/>
      <c r="D7" s="4522" t="s">
        <v>164</v>
      </c>
      <c r="E7" s="4467"/>
      <c r="F7" s="4494" t="s">
        <v>405</v>
      </c>
      <c r="G7" s="4494"/>
      <c r="H7" s="4494"/>
      <c r="I7" s="4392" t="s">
        <v>308</v>
      </c>
      <c r="J7" s="4384"/>
      <c r="K7" s="4384"/>
      <c r="L7" s="4384"/>
      <c r="M7" s="4490"/>
      <c r="N7" s="4490"/>
      <c r="O7" s="4384"/>
      <c r="P7" s="4384"/>
      <c r="Q7" s="4490"/>
      <c r="R7" s="4490"/>
      <c r="S7" s="4490"/>
      <c r="T7" s="4490"/>
      <c r="U7" s="4490"/>
      <c r="V7" s="4490"/>
      <c r="W7" s="4490"/>
      <c r="X7" s="4490"/>
      <c r="Y7" s="4490"/>
      <c r="Z7" s="4490"/>
      <c r="AA7" s="4491"/>
      <c r="AB7" s="4061" t="s">
        <v>406</v>
      </c>
      <c r="AC7" s="4062"/>
      <c r="AD7" s="4062"/>
      <c r="AE7" s="4062"/>
      <c r="AF7" s="4062"/>
      <c r="AG7" s="4062"/>
      <c r="AH7" s="4395"/>
    </row>
    <row r="8" spans="1:34">
      <c r="A8" s="4265" t="s">
        <v>407</v>
      </c>
      <c r="B8" s="4266"/>
      <c r="C8" s="4266"/>
      <c r="D8" s="1062"/>
      <c r="E8" s="544"/>
      <c r="F8" s="544"/>
      <c r="G8" s="544"/>
      <c r="H8" s="544"/>
      <c r="I8" s="436"/>
      <c r="J8" s="436"/>
      <c r="K8" s="669"/>
      <c r="L8" s="669"/>
      <c r="M8" s="669"/>
      <c r="N8" s="436"/>
      <c r="O8" s="436"/>
      <c r="P8" s="436"/>
      <c r="Q8" s="436"/>
      <c r="R8" s="436"/>
      <c r="S8" s="669"/>
      <c r="T8" s="669"/>
      <c r="U8" s="669"/>
      <c r="V8" s="669"/>
      <c r="W8" s="669"/>
      <c r="X8" s="660"/>
      <c r="Y8" s="669"/>
      <c r="Z8" s="669"/>
      <c r="AA8" s="669"/>
      <c r="AB8" s="670"/>
      <c r="AC8" s="670"/>
      <c r="AD8" s="670"/>
      <c r="AE8" s="670"/>
      <c r="AF8" s="670"/>
      <c r="AG8" s="670"/>
      <c r="AH8" s="1063"/>
    </row>
    <row r="9" spans="1:34">
      <c r="A9" s="4533" t="s">
        <v>262</v>
      </c>
      <c r="B9" s="4533"/>
      <c r="C9" s="4533"/>
      <c r="D9" s="860"/>
      <c r="E9" s="363"/>
      <c r="F9" s="363"/>
      <c r="G9" s="363"/>
      <c r="H9" s="363"/>
      <c r="I9" s="709"/>
      <c r="J9" s="365"/>
      <c r="K9" s="365"/>
      <c r="L9" s="365"/>
      <c r="M9" s="365"/>
      <c r="N9" s="365"/>
      <c r="O9" s="365"/>
      <c r="P9" s="365"/>
      <c r="Q9" s="365"/>
      <c r="R9" s="361"/>
      <c r="S9" s="361"/>
      <c r="T9" s="361"/>
      <c r="U9" s="283"/>
      <c r="V9" s="283"/>
      <c r="W9" s="433"/>
      <c r="X9" s="363"/>
      <c r="Y9" s="434"/>
      <c r="Z9" s="375"/>
      <c r="AA9" s="375"/>
      <c r="AB9" s="362"/>
      <c r="AC9" s="362"/>
      <c r="AD9" s="362"/>
      <c r="AE9" s="362"/>
      <c r="AF9" s="362"/>
      <c r="AG9" s="362"/>
      <c r="AH9" s="1026"/>
    </row>
    <row r="10" spans="1:34">
      <c r="A10" s="4391" t="s">
        <v>225</v>
      </c>
      <c r="B10" s="4391"/>
      <c r="C10" s="4391"/>
      <c r="D10" s="1036"/>
      <c r="E10" s="365"/>
      <c r="F10" s="365"/>
      <c r="G10" s="365"/>
      <c r="H10" s="365"/>
      <c r="I10" s="362"/>
      <c r="J10" s="362"/>
      <c r="K10" s="4517" t="s">
        <v>225</v>
      </c>
      <c r="L10" s="4518"/>
      <c r="M10" s="4518"/>
      <c r="N10" s="4518"/>
      <c r="O10" s="4518"/>
      <c r="P10" s="4518"/>
      <c r="Q10" s="4518"/>
      <c r="R10" s="4518"/>
      <c r="S10" s="4519"/>
      <c r="T10" s="675"/>
      <c r="U10" s="362"/>
      <c r="V10" s="375"/>
      <c r="W10" s="375"/>
      <c r="X10" s="365"/>
      <c r="Y10" s="362"/>
      <c r="Z10" s="362"/>
      <c r="AA10" s="4497"/>
      <c r="AB10" s="4498"/>
      <c r="AC10" s="362"/>
      <c r="AD10" s="362"/>
      <c r="AE10" s="362"/>
      <c r="AF10" s="362"/>
      <c r="AG10" s="362"/>
      <c r="AH10" s="1059"/>
    </row>
    <row r="11" spans="1:34" ht="15" customHeight="1">
      <c r="A11" s="4492" t="s">
        <v>272</v>
      </c>
      <c r="B11" s="4493"/>
      <c r="C11" s="4493"/>
      <c r="D11" s="1043"/>
      <c r="E11" s="365"/>
      <c r="F11" s="365"/>
      <c r="G11" s="365"/>
      <c r="H11" s="751"/>
      <c r="I11" s="362"/>
      <c r="J11" s="362"/>
      <c r="K11" s="362"/>
      <c r="L11" s="362"/>
      <c r="M11" s="362"/>
      <c r="N11" s="362"/>
      <c r="O11" s="429"/>
      <c r="P11" s="362"/>
      <c r="Q11" s="362"/>
      <c r="R11" s="377"/>
      <c r="S11" s="375"/>
      <c r="T11" s="375"/>
      <c r="U11" s="1297" t="s">
        <v>408</v>
      </c>
      <c r="V11" s="380"/>
      <c r="W11" s="380"/>
      <c r="X11" s="751"/>
      <c r="Y11" s="362"/>
      <c r="Z11" s="375"/>
      <c r="AA11" s="752"/>
      <c r="AB11" s="3604"/>
      <c r="AC11" s="362"/>
      <c r="AD11" s="362"/>
      <c r="AE11" s="362"/>
      <c r="AF11" s="362"/>
      <c r="AG11" s="362"/>
      <c r="AH11" s="1026"/>
    </row>
    <row r="12" spans="1:34" ht="15" customHeight="1">
      <c r="A12" s="4380" t="s">
        <v>265</v>
      </c>
      <c r="B12" s="4532"/>
      <c r="C12" s="4532"/>
      <c r="D12" s="1043"/>
      <c r="E12" s="365"/>
      <c r="F12" s="365"/>
      <c r="G12" s="1349"/>
      <c r="H12" s="362"/>
      <c r="I12" s="362"/>
      <c r="J12" s="362"/>
      <c r="K12" s="362"/>
      <c r="L12" s="362"/>
      <c r="M12" s="362"/>
      <c r="N12" s="362"/>
      <c r="O12" s="362"/>
      <c r="P12" s="362"/>
      <c r="Q12" s="362"/>
      <c r="R12" s="362"/>
      <c r="S12" s="362"/>
      <c r="T12" s="362"/>
      <c r="U12" s="362"/>
      <c r="V12" s="365"/>
      <c r="W12" s="365"/>
      <c r="X12" s="362"/>
      <c r="Y12" s="362"/>
      <c r="Z12" s="375"/>
      <c r="AA12" s="375"/>
      <c r="AB12" s="362"/>
      <c r="AC12" s="362"/>
      <c r="AD12" s="362"/>
      <c r="AE12" s="362"/>
      <c r="AF12" s="362"/>
      <c r="AG12" s="362"/>
      <c r="AH12" s="1026"/>
    </row>
    <row r="13" spans="1:34">
      <c r="A13" s="4488" t="s">
        <v>60</v>
      </c>
      <c r="B13" s="4489"/>
      <c r="C13" s="4489"/>
      <c r="D13" s="1064"/>
      <c r="E13" s="361"/>
      <c r="F13" s="427"/>
      <c r="G13" s="365"/>
      <c r="H13" s="751"/>
      <c r="I13" s="362"/>
      <c r="J13" s="361"/>
      <c r="K13" s="361"/>
      <c r="L13" s="361"/>
      <c r="M13" s="910"/>
      <c r="N13" s="429"/>
      <c r="O13" s="429"/>
      <c r="P13" s="427"/>
      <c r="Q13" s="427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427"/>
      <c r="AC13" s="363"/>
      <c r="AD13" s="363"/>
      <c r="AE13" s="428"/>
      <c r="AF13" s="361"/>
      <c r="AG13" s="361"/>
      <c r="AH13" s="1026"/>
    </row>
    <row r="14" spans="1:34">
      <c r="A14" s="4313" t="s">
        <v>63</v>
      </c>
      <c r="B14" s="4313"/>
      <c r="C14" s="4487"/>
      <c r="D14" s="923"/>
      <c r="E14" s="536"/>
      <c r="F14" s="536"/>
      <c r="G14" s="362"/>
      <c r="H14" s="362"/>
      <c r="I14" s="362"/>
      <c r="J14" s="362"/>
      <c r="K14" s="364"/>
      <c r="L14" s="364"/>
      <c r="M14" s="364"/>
      <c r="N14" s="909"/>
      <c r="O14" s="429"/>
      <c r="P14" s="362"/>
      <c r="Q14" s="362"/>
      <c r="R14" s="377"/>
      <c r="S14" s="375"/>
      <c r="T14" s="375"/>
      <c r="U14" s="375"/>
      <c r="V14" s="375"/>
      <c r="W14" s="375"/>
      <c r="X14" s="375"/>
      <c r="Y14" s="376"/>
      <c r="Z14" s="361"/>
      <c r="AA14" s="361"/>
      <c r="AB14" s="283"/>
      <c r="AC14" s="375"/>
      <c r="AD14" s="362"/>
      <c r="AE14" s="362"/>
      <c r="AF14" s="362"/>
      <c r="AG14" s="362"/>
      <c r="AH14" s="1026"/>
    </row>
    <row r="15" spans="1:34" ht="15.75">
      <c r="A15" s="4535" t="s">
        <v>54</v>
      </c>
      <c r="B15" s="4535"/>
      <c r="C15" s="4535"/>
      <c r="D15" s="923"/>
      <c r="E15" s="362"/>
      <c r="F15" s="362"/>
      <c r="G15" s="362"/>
      <c r="H15" s="362"/>
      <c r="I15" s="362"/>
      <c r="J15" s="362"/>
      <c r="K15" s="362"/>
      <c r="L15" s="362"/>
      <c r="M15" s="364"/>
      <c r="N15" s="919"/>
      <c r="O15" s="920"/>
      <c r="P15" s="364"/>
      <c r="Q15" s="373"/>
      <c r="R15" s="380"/>
      <c r="S15" s="380"/>
      <c r="T15" s="380"/>
      <c r="U15" s="380"/>
      <c r="V15" s="380"/>
      <c r="W15" s="380"/>
      <c r="X15" s="380"/>
      <c r="Y15" s="380"/>
      <c r="Z15" s="536"/>
      <c r="AA15" s="380"/>
      <c r="AB15" s="380"/>
      <c r="AC15" s="380"/>
      <c r="AD15" s="364"/>
      <c r="AE15" s="362"/>
      <c r="AF15" s="362"/>
      <c r="AG15" s="362"/>
      <c r="AH15" s="1026"/>
    </row>
    <row r="16" spans="1:34" ht="25.5">
      <c r="A16" s="4360" t="s">
        <v>365</v>
      </c>
      <c r="B16" s="4360"/>
      <c r="C16" s="4360"/>
      <c r="D16" s="923"/>
      <c r="E16" s="1343" t="s">
        <v>409</v>
      </c>
      <c r="F16" s="362"/>
      <c r="G16" s="362"/>
      <c r="H16" s="362"/>
      <c r="I16" s="362"/>
      <c r="J16" s="362"/>
      <c r="K16" s="362"/>
      <c r="L16" s="362"/>
      <c r="M16" s="375"/>
      <c r="N16" s="375"/>
      <c r="O16" s="365"/>
      <c r="P16" s="362"/>
      <c r="Q16" s="362"/>
      <c r="R16" s="365"/>
      <c r="S16" s="365"/>
      <c r="T16" s="365"/>
      <c r="U16" s="1263"/>
      <c r="V16" s="380"/>
      <c r="W16" s="365"/>
      <c r="X16" s="365"/>
      <c r="Y16" s="365"/>
      <c r="Z16" s="365"/>
      <c r="AA16" s="365"/>
      <c r="AB16" s="365"/>
      <c r="AC16" s="365"/>
      <c r="AD16" s="362"/>
      <c r="AE16" s="362"/>
      <c r="AF16" s="362"/>
      <c r="AG16" s="362"/>
      <c r="AH16" s="1026"/>
    </row>
    <row r="17" spans="1:34" ht="15.75">
      <c r="A17" s="4361" t="s">
        <v>366</v>
      </c>
      <c r="B17" s="4361"/>
      <c r="C17" s="4361"/>
      <c r="D17" s="923"/>
      <c r="E17" s="362"/>
      <c r="F17" s="362"/>
      <c r="G17" s="362"/>
      <c r="H17" s="362"/>
      <c r="I17" s="362"/>
      <c r="J17" s="362"/>
      <c r="K17" s="362"/>
      <c r="L17" s="677"/>
      <c r="M17" s="380"/>
      <c r="N17" s="380"/>
      <c r="O17" s="364"/>
      <c r="P17" s="362"/>
      <c r="Q17" s="362"/>
      <c r="R17" s="362"/>
      <c r="S17" s="362"/>
      <c r="T17" s="362"/>
      <c r="U17" s="537"/>
      <c r="V17" s="362"/>
      <c r="W17" s="362"/>
      <c r="X17" s="362"/>
      <c r="Y17" s="373"/>
      <c r="Z17" s="4339" t="s">
        <v>410</v>
      </c>
      <c r="AA17" s="4339"/>
      <c r="AB17" s="751"/>
      <c r="AC17" s="362"/>
      <c r="AD17" s="362"/>
      <c r="AE17" s="362"/>
      <c r="AF17" s="362"/>
      <c r="AG17" s="362"/>
      <c r="AH17" s="1026"/>
    </row>
    <row r="18" spans="1:34" ht="24">
      <c r="A18" s="4534" t="s">
        <v>411</v>
      </c>
      <c r="B18" s="4534"/>
      <c r="C18" s="4534"/>
      <c r="D18" s="923"/>
      <c r="E18" s="362"/>
      <c r="F18" s="362"/>
      <c r="G18" s="362"/>
      <c r="H18" s="362"/>
      <c r="I18" s="362"/>
      <c r="J18" s="362"/>
      <c r="K18" s="362"/>
      <c r="L18" s="373"/>
      <c r="M18" s="380"/>
      <c r="N18" s="380"/>
      <c r="O18" s="364"/>
      <c r="P18" s="362"/>
      <c r="Q18" s="362"/>
      <c r="R18" s="362"/>
      <c r="S18" s="365"/>
      <c r="T18" s="365"/>
      <c r="U18" s="362"/>
      <c r="V18" s="362"/>
      <c r="W18" s="362"/>
      <c r="X18" s="362"/>
      <c r="Y18" s="362"/>
      <c r="Z18" s="365"/>
      <c r="AA18" s="365"/>
      <c r="AB18" s="362"/>
      <c r="AC18" s="362"/>
      <c r="AD18" s="362"/>
      <c r="AE18" s="362"/>
      <c r="AF18" s="375"/>
      <c r="AG18" s="362"/>
      <c r="AH18" s="1353" t="s">
        <v>412</v>
      </c>
    </row>
    <row r="19" spans="1:34">
      <c r="A19" s="4405" t="s">
        <v>179</v>
      </c>
      <c r="B19" s="4529"/>
      <c r="C19" s="4530"/>
      <c r="D19" s="923"/>
      <c r="E19" s="362"/>
      <c r="F19" s="362"/>
      <c r="G19" s="362"/>
      <c r="H19" s="362"/>
      <c r="I19" s="362"/>
      <c r="J19" s="362"/>
      <c r="K19" s="362"/>
      <c r="L19" s="373"/>
      <c r="M19" s="537"/>
      <c r="N19" s="537"/>
      <c r="O19" s="364"/>
      <c r="P19" s="362"/>
      <c r="Q19" s="362"/>
      <c r="R19" s="362"/>
      <c r="S19" s="365"/>
      <c r="T19" s="365"/>
      <c r="U19" s="362"/>
      <c r="V19" s="362"/>
      <c r="W19" s="362"/>
      <c r="X19" s="362"/>
      <c r="Y19" s="362"/>
      <c r="Z19" s="362"/>
      <c r="AA19" s="362"/>
      <c r="AB19" s="362"/>
      <c r="AC19" s="362"/>
      <c r="AD19" s="362"/>
      <c r="AE19" s="373"/>
      <c r="AF19" s="1197"/>
      <c r="AG19" s="377"/>
      <c r="AH19" s="1044"/>
    </row>
    <row r="20" spans="1:34">
      <c r="A20" s="4399" t="s">
        <v>26</v>
      </c>
      <c r="B20" s="4316"/>
      <c r="C20" s="4531"/>
      <c r="D20" s="923"/>
      <c r="E20" s="362"/>
      <c r="F20" s="362"/>
      <c r="G20" s="362"/>
      <c r="H20" s="362"/>
      <c r="I20" s="362"/>
      <c r="J20" s="362"/>
      <c r="K20" s="362"/>
      <c r="L20" s="373"/>
      <c r="M20" s="537"/>
      <c r="N20" s="537"/>
      <c r="O20" s="364"/>
      <c r="P20" s="362"/>
      <c r="Q20" s="362"/>
      <c r="R20" s="362"/>
      <c r="S20" s="362"/>
      <c r="T20" s="362"/>
      <c r="U20" s="362"/>
      <c r="V20" s="362"/>
      <c r="W20" s="362"/>
      <c r="X20" s="362"/>
      <c r="Y20" s="362"/>
      <c r="Z20" s="362"/>
      <c r="AA20" s="362"/>
      <c r="AB20" s="362"/>
      <c r="AC20" s="362"/>
      <c r="AD20" s="362"/>
      <c r="AE20" s="373"/>
      <c r="AF20" s="365"/>
      <c r="AG20" s="2"/>
      <c r="AH20" s="1026"/>
    </row>
    <row r="21" spans="1:34">
      <c r="A21" s="4408" t="s">
        <v>322</v>
      </c>
      <c r="B21" s="4536"/>
      <c r="C21" s="4536"/>
      <c r="D21" s="923"/>
      <c r="E21" s="362"/>
      <c r="F21" s="362"/>
      <c r="G21" s="362"/>
      <c r="H21" s="362"/>
      <c r="I21" s="362"/>
      <c r="J21" s="362"/>
      <c r="K21" s="362"/>
      <c r="L21" s="373"/>
      <c r="M21" s="537"/>
      <c r="N21" s="537"/>
      <c r="O21" s="364"/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/>
      <c r="AC21" s="362"/>
      <c r="AD21" s="362"/>
      <c r="AE21" s="373"/>
      <c r="AF21" s="362"/>
      <c r="AG21" s="2"/>
      <c r="AH21" s="1026"/>
    </row>
    <row r="22" spans="1:34">
      <c r="A22" s="4537" t="s">
        <v>64</v>
      </c>
      <c r="B22" s="4538"/>
      <c r="C22" s="4539"/>
      <c r="D22" s="1050"/>
      <c r="E22" s="1201"/>
      <c r="F22" s="1201"/>
      <c r="G22" s="375"/>
      <c r="H22" s="375"/>
      <c r="I22" s="375"/>
      <c r="J22" s="375"/>
      <c r="K22" s="375"/>
      <c r="L22" s="376"/>
      <c r="M22" s="939"/>
      <c r="N22" s="939"/>
      <c r="O22" s="377"/>
      <c r="P22" s="375"/>
      <c r="Q22" s="375"/>
      <c r="R22" s="375"/>
      <c r="S22" s="375"/>
      <c r="T22" s="375"/>
      <c r="U22" s="375"/>
      <c r="V22" s="375"/>
      <c r="W22" s="375"/>
      <c r="X22" s="375"/>
      <c r="Y22" s="375"/>
      <c r="Z22" s="375"/>
      <c r="AA22" s="375"/>
      <c r="AB22" s="375"/>
      <c r="AC22" s="375"/>
      <c r="AD22" s="375"/>
      <c r="AE22" s="376"/>
      <c r="AF22" s="375"/>
      <c r="AG22" s="323"/>
      <c r="AH22" s="1044"/>
    </row>
    <row r="23" spans="1:34">
      <c r="A23" s="27" t="s">
        <v>66</v>
      </c>
      <c r="B23" s="28" t="s">
        <v>67</v>
      </c>
      <c r="C23" s="32" t="s">
        <v>68</v>
      </c>
      <c r="D23" s="1198"/>
      <c r="E23" s="1021"/>
      <c r="F23" s="1021"/>
      <c r="G23" s="1021"/>
      <c r="H23" s="1021"/>
      <c r="I23" s="1021"/>
      <c r="J23" s="1357"/>
      <c r="K23" s="1358"/>
      <c r="L23" s="1358"/>
      <c r="M23" s="1359"/>
      <c r="N23" s="425"/>
      <c r="O23" s="1318" t="s">
        <v>413</v>
      </c>
      <c r="P23" s="1200"/>
      <c r="Q23" s="1045"/>
      <c r="R23" s="1045"/>
      <c r="S23" s="1045"/>
      <c r="T23" s="1045"/>
      <c r="U23" s="1045"/>
      <c r="V23" s="1389"/>
      <c r="W23" s="1389"/>
      <c r="X23" s="1045"/>
      <c r="Y23" s="1045"/>
      <c r="Z23" s="1045"/>
      <c r="AA23" s="1045"/>
      <c r="AB23" s="1045"/>
      <c r="AC23" s="1045"/>
      <c r="AD23" s="1021"/>
      <c r="AE23" s="1024"/>
      <c r="AF23" s="1021"/>
      <c r="AG23" s="362"/>
      <c r="AH23" s="1059"/>
    </row>
    <row r="24" spans="1:34" ht="15.75">
      <c r="A24" s="28" t="s">
        <v>73</v>
      </c>
      <c r="B24" s="28" t="s">
        <v>67</v>
      </c>
      <c r="C24" s="39" t="s">
        <v>74</v>
      </c>
      <c r="D24" s="1043"/>
      <c r="E24" s="365"/>
      <c r="F24" s="365"/>
      <c r="G24" s="375"/>
      <c r="H24" s="375"/>
      <c r="I24" s="376"/>
      <c r="J24" s="611" t="s">
        <v>55</v>
      </c>
      <c r="K24" s="4543" t="s">
        <v>414</v>
      </c>
      <c r="L24" s="4544"/>
      <c r="M24" s="4544"/>
      <c r="N24" s="611" t="s">
        <v>55</v>
      </c>
      <c r="O24" s="377"/>
      <c r="P24" s="1355"/>
      <c r="Q24" s="1497"/>
      <c r="R24" s="4474" t="s">
        <v>385</v>
      </c>
      <c r="S24" s="4475"/>
      <c r="T24" s="4475"/>
      <c r="U24" s="4475"/>
      <c r="V24" s="4475"/>
      <c r="W24" s="904"/>
      <c r="X24" s="904"/>
      <c r="Y24" s="904"/>
      <c r="Z24" s="904"/>
      <c r="AA24" s="904"/>
      <c r="AB24" s="904"/>
      <c r="AC24" s="904"/>
      <c r="AD24" s="377"/>
      <c r="AE24" s="376"/>
      <c r="AF24" s="376"/>
      <c r="AG24" s="375"/>
      <c r="AH24" s="1044"/>
    </row>
    <row r="25" spans="1:34">
      <c r="A25" s="4540" t="s">
        <v>84</v>
      </c>
      <c r="B25" s="31" t="s">
        <v>85</v>
      </c>
      <c r="C25" s="950" t="s">
        <v>86</v>
      </c>
      <c r="D25" s="1354" t="s">
        <v>415</v>
      </c>
      <c r="E25" s="1021"/>
      <c r="F25" s="1021"/>
      <c r="G25" s="1021"/>
      <c r="H25" s="1021"/>
      <c r="I25" s="1021"/>
      <c r="J25" s="365"/>
      <c r="K25" s="1021"/>
      <c r="L25" s="1021"/>
      <c r="M25" s="1021"/>
      <c r="N25" s="1202"/>
      <c r="O25" s="1202"/>
      <c r="P25" s="1021"/>
      <c r="Q25" s="283"/>
      <c r="R25" s="283"/>
      <c r="S25" s="1390" t="s">
        <v>416</v>
      </c>
      <c r="T25" s="283"/>
      <c r="U25" s="283"/>
      <c r="V25" s="365"/>
      <c r="W25" s="365"/>
      <c r="X25" s="365"/>
      <c r="Y25" s="365"/>
      <c r="Z25" s="365"/>
      <c r="AA25" s="4550" t="s">
        <v>417</v>
      </c>
      <c r="AB25" s="4551"/>
      <c r="AC25" s="4551"/>
      <c r="AD25" s="4502"/>
      <c r="AE25" s="4502"/>
      <c r="AF25" s="4502"/>
      <c r="AG25" s="4502"/>
      <c r="AH25" s="4552"/>
    </row>
    <row r="26" spans="1:34">
      <c r="A26" s="4541"/>
      <c r="B26" s="32" t="s">
        <v>87</v>
      </c>
      <c r="C26" s="951" t="s">
        <v>88</v>
      </c>
      <c r="D26" s="923"/>
      <c r="E26" s="362"/>
      <c r="F26" s="4333" t="s">
        <v>418</v>
      </c>
      <c r="G26" s="4411"/>
      <c r="H26" s="4411"/>
      <c r="I26" s="4468"/>
      <c r="J26" s="4468"/>
      <c r="K26" s="4468"/>
      <c r="L26" s="4468"/>
      <c r="M26" s="4468"/>
      <c r="N26" s="4468"/>
      <c r="O26" s="4468"/>
      <c r="P26" s="4468"/>
      <c r="Q26" s="4468"/>
      <c r="R26" s="4468"/>
      <c r="S26" s="4468"/>
      <c r="T26" s="4468"/>
      <c r="U26" s="4468"/>
      <c r="V26" s="4468"/>
      <c r="W26" s="4468"/>
      <c r="X26" s="4515"/>
      <c r="Y26" s="375"/>
      <c r="Z26" s="375"/>
      <c r="AA26" s="375"/>
      <c r="AB26" s="375"/>
      <c r="AC26" s="362"/>
      <c r="AD26" s="362"/>
      <c r="AE26" s="373"/>
      <c r="AF26" s="362"/>
      <c r="AG26" s="776"/>
      <c r="AH26" s="1039"/>
    </row>
    <row r="27" spans="1:34">
      <c r="A27" s="4542"/>
      <c r="B27" s="33" t="s">
        <v>90</v>
      </c>
      <c r="C27" s="956" t="s">
        <v>91</v>
      </c>
      <c r="D27" s="1027"/>
      <c r="E27" s="1029"/>
      <c r="F27" s="1029"/>
      <c r="G27" s="1029"/>
      <c r="H27" s="1031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763" t="s">
        <v>416</v>
      </c>
      <c r="T27" s="1060"/>
      <c r="U27" s="1060"/>
      <c r="V27" s="1060"/>
      <c r="W27" s="1060"/>
      <c r="X27" s="1060"/>
      <c r="Y27" s="1060"/>
      <c r="Z27" s="1060"/>
      <c r="AA27" s="1060"/>
      <c r="AB27" s="1060"/>
      <c r="AC27" s="1028"/>
      <c r="AD27" s="1029"/>
      <c r="AE27" s="1031"/>
      <c r="AF27" s="1029"/>
      <c r="AG27" s="321"/>
      <c r="AH27" s="1032"/>
    </row>
    <row r="28" spans="1:34" ht="15.75">
      <c r="A28" s="4540" t="s">
        <v>92</v>
      </c>
      <c r="B28" s="245" t="s">
        <v>95</v>
      </c>
      <c r="C28" s="1322" t="s">
        <v>243</v>
      </c>
      <c r="D28" s="1323"/>
      <c r="E28" s="677"/>
      <c r="F28" s="677"/>
      <c r="G28" s="677"/>
      <c r="H28" s="677"/>
      <c r="I28" s="677"/>
      <c r="J28" s="1380" t="s">
        <v>55</v>
      </c>
      <c r="K28" s="4547" t="s">
        <v>225</v>
      </c>
      <c r="L28" s="4548"/>
      <c r="M28" s="4548"/>
      <c r="N28" s="4548"/>
      <c r="O28" s="4548"/>
      <c r="P28" s="4548"/>
      <c r="Q28" s="4548"/>
      <c r="R28" s="4549"/>
      <c r="S28" s="4419" t="s">
        <v>419</v>
      </c>
      <c r="T28" s="4468"/>
      <c r="U28" s="4468"/>
      <c r="V28" s="4468"/>
      <c r="W28" s="677"/>
      <c r="X28" s="365"/>
      <c r="Y28" s="365"/>
      <c r="Z28" s="4505" t="s">
        <v>410</v>
      </c>
      <c r="AA28" s="4505"/>
      <c r="AB28" s="365"/>
      <c r="AC28" s="4436" t="s">
        <v>420</v>
      </c>
      <c r="AD28" s="4523"/>
      <c r="AE28" s="4524"/>
      <c r="AF28" s="365"/>
      <c r="AG28" s="776"/>
      <c r="AH28" s="1061"/>
    </row>
    <row r="29" spans="1:34" ht="15.75">
      <c r="A29" s="4541"/>
      <c r="B29" s="245" t="s">
        <v>326</v>
      </c>
      <c r="C29" s="173" t="s">
        <v>327</v>
      </c>
      <c r="D29" s="364"/>
      <c r="E29" s="362"/>
      <c r="F29" s="362"/>
      <c r="G29" s="362"/>
      <c r="H29" s="362"/>
      <c r="I29" s="362"/>
      <c r="J29" s="362"/>
      <c r="K29" s="362"/>
      <c r="L29" s="362"/>
      <c r="M29" s="362"/>
      <c r="N29" s="362"/>
      <c r="O29" s="362"/>
      <c r="P29" s="362"/>
      <c r="Q29" s="362"/>
      <c r="R29" s="362"/>
      <c r="S29" s="2"/>
      <c r="T29" s="362"/>
      <c r="U29" s="362"/>
      <c r="V29" s="362"/>
      <c r="W29" s="362"/>
      <c r="X29" s="364"/>
      <c r="Y29" s="362"/>
      <c r="Z29" s="362"/>
      <c r="AA29" s="362"/>
      <c r="AB29" s="362"/>
      <c r="AC29" s="677"/>
      <c r="AD29" s="4563" t="s">
        <v>421</v>
      </c>
      <c r="AE29" s="4564"/>
      <c r="AF29" s="4564"/>
      <c r="AG29" s="4564"/>
      <c r="AH29" s="4565"/>
    </row>
    <row r="30" spans="1:34" ht="15.75">
      <c r="A30" s="4553"/>
      <c r="B30" s="245" t="s">
        <v>97</v>
      </c>
      <c r="C30" s="1056" t="s">
        <v>98</v>
      </c>
      <c r="D30" s="1326"/>
      <c r="E30" s="677"/>
      <c r="F30" s="677"/>
      <c r="G30" s="677"/>
      <c r="H30" s="677"/>
      <c r="I30" s="677"/>
      <c r="J30" s="677"/>
      <c r="K30" s="677"/>
      <c r="L30" s="677"/>
      <c r="M30" s="677"/>
      <c r="N30" s="677"/>
      <c r="O30" s="677"/>
      <c r="P30" s="677"/>
      <c r="Q30" s="677"/>
      <c r="R30" s="677"/>
      <c r="S30" s="677"/>
      <c r="T30" s="677"/>
      <c r="U30" s="677"/>
      <c r="V30" s="677"/>
      <c r="W30" s="677"/>
      <c r="X30" s="375"/>
      <c r="Y30" s="1029"/>
      <c r="Z30" s="1031"/>
      <c r="AA30" s="1029"/>
      <c r="AB30" s="1031"/>
      <c r="AC30" s="1029"/>
      <c r="AD30" s="323"/>
      <c r="AE30" s="376"/>
      <c r="AF30" s="375"/>
      <c r="AG30" s="323"/>
      <c r="AH30" s="1044"/>
    </row>
    <row r="31" spans="1:34">
      <c r="A31" s="4554" t="s">
        <v>99</v>
      </c>
      <c r="B31" s="31" t="s">
        <v>100</v>
      </c>
      <c r="C31" s="35" t="s">
        <v>101</v>
      </c>
      <c r="D31" s="1334"/>
      <c r="E31" s="1335"/>
      <c r="F31" s="1335"/>
      <c r="G31" s="1335"/>
      <c r="H31" s="1335"/>
      <c r="I31" s="1021"/>
      <c r="J31" s="1021"/>
      <c r="K31" s="1021"/>
      <c r="L31" s="1021"/>
      <c r="M31" s="1021"/>
      <c r="N31" s="1021"/>
      <c r="O31" s="1350" t="s">
        <v>422</v>
      </c>
      <c r="P31" s="1021"/>
      <c r="Q31" s="1021"/>
      <c r="R31" s="1021"/>
      <c r="S31" s="1021"/>
      <c r="T31" s="1021"/>
      <c r="U31" s="1021"/>
      <c r="V31" s="1021"/>
      <c r="W31" s="1021"/>
      <c r="X31" s="1021"/>
      <c r="Y31" s="778"/>
      <c r="Z31" s="778"/>
      <c r="AA31" s="778"/>
      <c r="AB31" s="778"/>
      <c r="AC31" s="778"/>
      <c r="AD31" s="1021"/>
      <c r="AE31" s="1024"/>
      <c r="AF31" s="1021"/>
      <c r="AG31" s="461"/>
      <c r="AH31" s="1025"/>
    </row>
    <row r="32" spans="1:34">
      <c r="A32" s="4555"/>
      <c r="B32" s="32" t="s">
        <v>77</v>
      </c>
      <c r="C32" s="32" t="s">
        <v>245</v>
      </c>
      <c r="D32" s="923"/>
      <c r="E32" s="362"/>
      <c r="F32" s="362"/>
      <c r="G32" s="4357" t="s">
        <v>413</v>
      </c>
      <c r="H32" s="4509"/>
      <c r="I32" s="362"/>
      <c r="J32" s="824"/>
      <c r="K32" s="824"/>
      <c r="L32" s="824"/>
      <c r="M32" s="824"/>
      <c r="N32" s="668"/>
      <c r="O32" s="1325" t="s">
        <v>413</v>
      </c>
      <c r="P32" s="668"/>
      <c r="Q32" s="824"/>
      <c r="R32" s="824"/>
      <c r="S32" s="824"/>
      <c r="T32" s="362"/>
      <c r="U32" s="362"/>
      <c r="V32" s="362"/>
      <c r="W32" s="362"/>
      <c r="X32" s="362"/>
      <c r="Y32" s="362"/>
      <c r="Z32" s="362"/>
      <c r="AA32" s="362"/>
      <c r="AB32" s="362"/>
      <c r="AC32" s="362"/>
      <c r="AD32" s="4333" t="s">
        <v>423</v>
      </c>
      <c r="AE32" s="4520"/>
      <c r="AF32" s="4520"/>
      <c r="AG32" s="4520"/>
      <c r="AH32" s="4521"/>
    </row>
    <row r="33" spans="1:34" ht="15.75">
      <c r="A33" s="4555"/>
      <c r="B33" s="32" t="s">
        <v>95</v>
      </c>
      <c r="C33" s="32" t="s">
        <v>105</v>
      </c>
      <c r="D33" s="923"/>
      <c r="E33" s="362"/>
      <c r="F33" s="362"/>
      <c r="G33" s="4510" t="s">
        <v>413</v>
      </c>
      <c r="H33" s="4511"/>
      <c r="I33" s="362"/>
      <c r="J33" s="362"/>
      <c r="K33" s="362"/>
      <c r="L33" s="362"/>
      <c r="M33" s="365"/>
      <c r="N33" s="919"/>
      <c r="O33" s="1325" t="s">
        <v>413</v>
      </c>
      <c r="P33" s="364"/>
      <c r="Q33" s="375"/>
      <c r="R33" s="375"/>
      <c r="S33" s="375"/>
      <c r="T33" s="375"/>
      <c r="U33" s="375"/>
      <c r="V33" s="375"/>
      <c r="W33" s="375"/>
      <c r="X33" s="611" t="s">
        <v>55</v>
      </c>
      <c r="Y33" s="4560" t="s">
        <v>424</v>
      </c>
      <c r="Z33" s="4561"/>
      <c r="AA33" s="4562"/>
      <c r="AB33" s="611" t="s">
        <v>55</v>
      </c>
      <c r="AC33" s="611" t="s">
        <v>55</v>
      </c>
      <c r="AD33" s="611" t="s">
        <v>55</v>
      </c>
      <c r="AE33" s="373"/>
      <c r="AF33" s="362"/>
      <c r="AG33" s="375"/>
      <c r="AH33" s="1044"/>
    </row>
    <row r="34" spans="1:34">
      <c r="A34" s="4555"/>
      <c r="B34" s="32" t="s">
        <v>106</v>
      </c>
      <c r="C34" s="32" t="s">
        <v>107</v>
      </c>
      <c r="D34" s="923"/>
      <c r="E34" s="362"/>
      <c r="F34" s="362"/>
      <c r="G34" s="4510" t="s">
        <v>413</v>
      </c>
      <c r="H34" s="4511"/>
      <c r="I34" s="362"/>
      <c r="J34" s="362"/>
      <c r="K34" s="362"/>
      <c r="L34" s="362"/>
      <c r="M34" s="362"/>
      <c r="N34" s="905"/>
      <c r="O34" s="1325" t="s">
        <v>413</v>
      </c>
      <c r="P34" s="1255"/>
      <c r="Q34" s="2"/>
      <c r="R34" s="2"/>
      <c r="S34" s="1763" t="s">
        <v>416</v>
      </c>
      <c r="T34" s="2"/>
      <c r="U34" s="2"/>
      <c r="V34" s="323"/>
      <c r="W34" s="323"/>
      <c r="X34" s="364"/>
      <c r="Y34" s="4504" t="s">
        <v>425</v>
      </c>
      <c r="Z34" s="4504"/>
      <c r="AA34" s="4504"/>
      <c r="AB34" s="4504"/>
      <c r="AC34" s="362"/>
      <c r="AD34" s="362"/>
      <c r="AE34" s="373"/>
      <c r="AF34" s="373"/>
      <c r="AG34" s="362"/>
      <c r="AH34" s="1059"/>
    </row>
    <row r="35" spans="1:34">
      <c r="A35" s="4556"/>
      <c r="B35" s="33" t="s">
        <v>108</v>
      </c>
      <c r="C35" s="33" t="s">
        <v>109</v>
      </c>
      <c r="D35" s="1323"/>
      <c r="E35" s="677"/>
      <c r="F35" s="677"/>
      <c r="G35" s="4512" t="s">
        <v>413</v>
      </c>
      <c r="H35" s="4513"/>
      <c r="I35" s="375"/>
      <c r="J35" s="375"/>
      <c r="K35" s="375"/>
      <c r="L35" s="375"/>
      <c r="M35" s="375"/>
      <c r="N35" s="1328"/>
      <c r="O35" s="1363" t="s">
        <v>413</v>
      </c>
      <c r="P35" s="1328"/>
      <c r="Q35" s="1364"/>
      <c r="R35" s="1364"/>
      <c r="S35" s="1364"/>
      <c r="T35" s="375"/>
      <c r="U35" s="375"/>
      <c r="V35" s="323"/>
      <c r="W35" s="323"/>
      <c r="X35" s="377"/>
      <c r="Y35" s="375"/>
      <c r="Z35" s="375"/>
      <c r="AA35" s="375"/>
      <c r="AB35" s="375"/>
      <c r="AC35" s="375"/>
      <c r="AD35" s="375"/>
      <c r="AE35" s="376"/>
      <c r="AF35" s="375"/>
      <c r="AG35" s="1324"/>
      <c r="AH35" s="1365"/>
    </row>
    <row r="36" spans="1:34" ht="15.75">
      <c r="A36" s="4540" t="s">
        <v>426</v>
      </c>
      <c r="B36" s="34" t="s">
        <v>77</v>
      </c>
      <c r="C36" s="892" t="s">
        <v>201</v>
      </c>
      <c r="D36" s="4507" t="s">
        <v>377</v>
      </c>
      <c r="E36" s="4508"/>
      <c r="F36" s="4508"/>
      <c r="G36" s="973"/>
      <c r="H36" s="973"/>
      <c r="I36" s="1021"/>
      <c r="J36" s="1021"/>
      <c r="K36" s="1021"/>
      <c r="L36" s="1021"/>
      <c r="M36" s="1021"/>
      <c r="N36" s="1202"/>
      <c r="O36" s="1202"/>
      <c r="P36" s="1202"/>
      <c r="Q36" s="1199" t="s">
        <v>55</v>
      </c>
      <c r="R36" s="4516" t="s">
        <v>427</v>
      </c>
      <c r="S36" s="4516"/>
      <c r="T36" s="4516"/>
      <c r="U36" s="4516"/>
      <c r="V36" s="4516"/>
      <c r="W36" s="1199" t="s">
        <v>55</v>
      </c>
      <c r="X36" s="1021"/>
      <c r="Y36" s="1021"/>
      <c r="Z36" s="1021"/>
      <c r="AA36" s="1021"/>
      <c r="AB36" s="1021"/>
      <c r="AC36" s="1021"/>
      <c r="AD36" s="1021"/>
      <c r="AE36" s="1021"/>
      <c r="AF36" s="1021"/>
      <c r="AG36" s="1021"/>
      <c r="AH36" s="1368"/>
    </row>
    <row r="37" spans="1:34">
      <c r="A37" s="4541"/>
      <c r="B37" s="894" t="s">
        <v>95</v>
      </c>
      <c r="C37" s="1360" t="s">
        <v>249</v>
      </c>
      <c r="D37" s="4514" t="s">
        <v>428</v>
      </c>
      <c r="E37" s="4475"/>
      <c r="F37" s="4475"/>
      <c r="G37" s="4475"/>
      <c r="H37" s="4475"/>
      <c r="I37" s="4475"/>
      <c r="J37" s="4475"/>
      <c r="K37" s="4475"/>
      <c r="L37" s="4475"/>
      <c r="M37" s="4475"/>
      <c r="N37" s="4475"/>
      <c r="O37" s="4475"/>
      <c r="P37" s="4475"/>
      <c r="Q37" s="4475"/>
      <c r="R37" s="4475"/>
      <c r="S37" s="4475"/>
      <c r="T37" s="4475"/>
      <c r="U37" s="4475"/>
      <c r="V37" s="4475"/>
      <c r="W37" s="4475"/>
      <c r="X37" s="4475"/>
      <c r="Y37" s="4475"/>
      <c r="Z37" s="4475"/>
      <c r="AA37" s="4475"/>
      <c r="AB37" s="4475"/>
      <c r="AC37" s="4475"/>
      <c r="AD37" s="4475"/>
      <c r="AE37" s="4475"/>
      <c r="AF37" s="4475"/>
      <c r="AG37" s="4475"/>
      <c r="AH37" s="4506"/>
    </row>
    <row r="38" spans="1:34" ht="15.75">
      <c r="A38" s="4541"/>
      <c r="B38" s="28" t="s">
        <v>113</v>
      </c>
      <c r="C38" s="306" t="s">
        <v>114</v>
      </c>
      <c r="D38" s="4416" t="s">
        <v>429</v>
      </c>
      <c r="E38" s="4411"/>
      <c r="F38" s="4411"/>
      <c r="G38" s="4411"/>
      <c r="H38" s="4411"/>
      <c r="I38" s="4411"/>
      <c r="J38" s="4411"/>
      <c r="K38" s="4411"/>
      <c r="L38" s="4411"/>
      <c r="M38" s="4411"/>
      <c r="N38" s="4411"/>
      <c r="O38" s="4334"/>
      <c r="P38" s="905"/>
      <c r="Q38" s="362"/>
      <c r="R38" s="362"/>
      <c r="S38" s="362"/>
      <c r="T38" s="362"/>
      <c r="U38" s="362"/>
      <c r="V38" s="362"/>
      <c r="W38" s="362"/>
      <c r="X38" s="362"/>
      <c r="Y38" s="362"/>
      <c r="Z38" s="362"/>
      <c r="AA38" s="362"/>
      <c r="AB38" s="4475" t="s">
        <v>430</v>
      </c>
      <c r="AC38" s="4475"/>
      <c r="AD38" s="4475"/>
      <c r="AE38" s="4475"/>
      <c r="AF38" s="4475"/>
      <c r="AG38" s="4475"/>
      <c r="AH38" s="4506"/>
    </row>
    <row r="39" spans="1:34" ht="15.75">
      <c r="A39" s="4541"/>
      <c r="B39" s="28" t="s">
        <v>113</v>
      </c>
      <c r="C39" s="32" t="s">
        <v>116</v>
      </c>
      <c r="D39" s="923"/>
      <c r="E39" s="362"/>
      <c r="F39" s="362"/>
      <c r="G39" s="362"/>
      <c r="H39" s="362"/>
      <c r="I39" s="362"/>
      <c r="J39" s="362"/>
      <c r="K39" s="362"/>
      <c r="L39" s="362"/>
      <c r="M39" s="362"/>
      <c r="N39" s="905"/>
      <c r="O39" s="905"/>
      <c r="P39" s="610" t="s">
        <v>55</v>
      </c>
      <c r="Q39" s="4563" t="s">
        <v>427</v>
      </c>
      <c r="R39" s="4566"/>
      <c r="S39" s="4566"/>
      <c r="T39" s="4566"/>
      <c r="U39" s="4566"/>
      <c r="V39" s="4567"/>
      <c r="W39" s="610" t="s">
        <v>55</v>
      </c>
      <c r="X39" s="362"/>
      <c r="Y39" s="4504" t="s">
        <v>425</v>
      </c>
      <c r="Z39" s="4504"/>
      <c r="AA39" s="4504"/>
      <c r="AB39" s="4504"/>
      <c r="AC39" s="374"/>
      <c r="AD39" s="374"/>
      <c r="AE39" s="374"/>
      <c r="AF39" s="362"/>
      <c r="AG39" s="2"/>
      <c r="AH39" s="1026"/>
    </row>
    <row r="40" spans="1:34">
      <c r="A40" s="4541"/>
      <c r="B40" s="28" t="s">
        <v>118</v>
      </c>
      <c r="C40" s="32" t="s">
        <v>119</v>
      </c>
      <c r="D40" s="4557" t="s">
        <v>381</v>
      </c>
      <c r="E40" s="4558"/>
      <c r="F40" s="4558"/>
      <c r="G40" s="4558"/>
      <c r="H40" s="4558"/>
      <c r="I40" s="4558"/>
      <c r="J40" s="362"/>
      <c r="K40" s="2"/>
      <c r="L40" s="4475" t="s">
        <v>431</v>
      </c>
      <c r="M40" s="4475"/>
      <c r="N40" s="4475"/>
      <c r="O40" s="4475"/>
      <c r="P40" s="4475"/>
      <c r="Q40" s="4475"/>
      <c r="R40" s="4475"/>
      <c r="S40" s="4475"/>
      <c r="T40" s="4475"/>
      <c r="U40" s="4475"/>
      <c r="V40" s="2"/>
      <c r="W40" s="2"/>
      <c r="X40" s="824"/>
      <c r="Y40" s="1292" t="s">
        <v>55</v>
      </c>
      <c r="Z40" s="4568" t="s">
        <v>432</v>
      </c>
      <c r="AA40" s="4568"/>
      <c r="AB40" s="4568"/>
      <c r="AC40" s="4475" t="s">
        <v>433</v>
      </c>
      <c r="AD40" s="4475"/>
      <c r="AE40" s="4475"/>
      <c r="AF40" s="4475"/>
      <c r="AG40" s="2"/>
      <c r="AH40" s="1026"/>
    </row>
    <row r="41" spans="1:34">
      <c r="A41" s="4541"/>
      <c r="B41" s="28" t="s">
        <v>120</v>
      </c>
      <c r="C41" s="32" t="s">
        <v>121</v>
      </c>
      <c r="D41" s="923"/>
      <c r="E41" s="362"/>
      <c r="F41" s="362"/>
      <c r="G41" s="362"/>
      <c r="H41" s="362"/>
      <c r="I41" s="362"/>
      <c r="J41" s="362"/>
      <c r="K41" s="362"/>
      <c r="L41" s="362"/>
      <c r="M41" s="362"/>
      <c r="N41" s="905"/>
      <c r="O41" s="905"/>
      <c r="P41" s="905"/>
      <c r="Q41" s="374"/>
      <c r="R41" s="374"/>
      <c r="S41" s="374"/>
      <c r="T41" s="2463" t="s">
        <v>416</v>
      </c>
      <c r="U41" s="4286" t="s">
        <v>434</v>
      </c>
      <c r="V41" s="4286"/>
      <c r="W41" s="4286"/>
      <c r="X41" s="4286"/>
      <c r="Y41" s="4504" t="s">
        <v>425</v>
      </c>
      <c r="Z41" s="4504"/>
      <c r="AA41" s="4504"/>
      <c r="AB41" s="4504"/>
      <c r="AC41" s="4333" t="s">
        <v>435</v>
      </c>
      <c r="AD41" s="4411"/>
      <c r="AE41" s="4411"/>
      <c r="AF41" s="4411"/>
      <c r="AG41" s="4411"/>
      <c r="AH41" s="4559"/>
    </row>
    <row r="42" spans="1:34">
      <c r="A42" s="4541"/>
      <c r="B42" s="28" t="s">
        <v>122</v>
      </c>
      <c r="C42" s="32" t="s">
        <v>123</v>
      </c>
      <c r="D42" s="923"/>
      <c r="E42" s="362"/>
      <c r="F42" s="362"/>
      <c r="G42" s="362"/>
      <c r="H42" s="362"/>
      <c r="I42" s="362"/>
      <c r="J42" s="362"/>
      <c r="K42" s="362"/>
      <c r="L42" s="362"/>
      <c r="M42" s="362"/>
      <c r="N42" s="905"/>
      <c r="O42" s="905"/>
      <c r="P42" s="905"/>
      <c r="Q42" s="362"/>
      <c r="R42" s="362"/>
      <c r="S42" s="362"/>
      <c r="T42" s="362"/>
      <c r="U42" s="4286" t="s">
        <v>434</v>
      </c>
      <c r="V42" s="4286"/>
      <c r="W42" s="4286"/>
      <c r="X42" s="4286"/>
      <c r="Y42" s="4504" t="s">
        <v>425</v>
      </c>
      <c r="Z42" s="4504"/>
      <c r="AA42" s="4504"/>
      <c r="AB42" s="4504"/>
      <c r="AC42" s="4475" t="s">
        <v>436</v>
      </c>
      <c r="AD42" s="4475"/>
      <c r="AE42" s="4475"/>
      <c r="AF42" s="4475"/>
      <c r="AG42" s="903"/>
      <c r="AH42" s="1073"/>
    </row>
    <row r="43" spans="1:34">
      <c r="A43" s="4541"/>
      <c r="B43" s="28" t="s">
        <v>124</v>
      </c>
      <c r="C43" s="32" t="s">
        <v>125</v>
      </c>
      <c r="D43" s="4557" t="s">
        <v>381</v>
      </c>
      <c r="E43" s="4558"/>
      <c r="F43" s="4558"/>
      <c r="G43" s="4558"/>
      <c r="H43" s="4558"/>
      <c r="I43" s="4558"/>
      <c r="J43" s="4558"/>
      <c r="K43" s="4558"/>
      <c r="L43" s="4558"/>
      <c r="M43" s="4558"/>
      <c r="N43" s="4558"/>
      <c r="O43" s="4558"/>
      <c r="P43" s="4558"/>
      <c r="Q43" s="4558"/>
      <c r="R43" s="4558"/>
      <c r="S43" s="363"/>
      <c r="T43" s="362"/>
      <c r="U43" s="362"/>
      <c r="V43" s="1362"/>
      <c r="W43" s="2"/>
      <c r="X43" s="362"/>
      <c r="Y43" s="4504" t="s">
        <v>425</v>
      </c>
      <c r="Z43" s="4504"/>
      <c r="AA43" s="4504"/>
      <c r="AB43" s="4504"/>
      <c r="AC43" s="380"/>
      <c r="AD43" s="380"/>
      <c r="AE43" s="380"/>
      <c r="AF43" s="380"/>
      <c r="AG43" s="380"/>
      <c r="AH43" s="696"/>
    </row>
    <row r="44" spans="1:34">
      <c r="A44" s="4541"/>
      <c r="B44" s="28" t="s">
        <v>293</v>
      </c>
      <c r="C44" s="32" t="s">
        <v>126</v>
      </c>
      <c r="D44" s="4569" t="s">
        <v>377</v>
      </c>
      <c r="E44" s="4310"/>
      <c r="F44" s="4310"/>
      <c r="G44" s="380"/>
      <c r="H44" s="380"/>
      <c r="I44" s="362"/>
      <c r="J44" s="362"/>
      <c r="K44" s="362"/>
      <c r="L44" s="362"/>
      <c r="M44" s="362"/>
      <c r="N44" s="905"/>
      <c r="O44" s="905"/>
      <c r="P44" s="905"/>
      <c r="Q44" s="362"/>
      <c r="R44" s="362"/>
      <c r="S44" s="362"/>
      <c r="T44" s="362"/>
      <c r="U44" s="2"/>
      <c r="V44" s="362"/>
      <c r="W44" s="362"/>
      <c r="X44" s="362"/>
      <c r="Y44" s="4504" t="s">
        <v>425</v>
      </c>
      <c r="Z44" s="4504"/>
      <c r="AA44" s="4504"/>
      <c r="AB44" s="4504"/>
      <c r="AC44" s="374"/>
      <c r="AD44" s="374"/>
      <c r="AE44" s="374"/>
      <c r="AF44" s="374"/>
      <c r="AG44" s="374"/>
      <c r="AH44" s="976"/>
    </row>
    <row r="45" spans="1:34">
      <c r="A45" s="4541"/>
      <c r="B45" s="28" t="s">
        <v>127</v>
      </c>
      <c r="C45" s="32" t="s">
        <v>128</v>
      </c>
      <c r="D45" s="923"/>
      <c r="E45" s="362"/>
      <c r="F45" s="362"/>
      <c r="G45" s="362"/>
      <c r="H45" s="362"/>
      <c r="I45" s="362"/>
      <c r="J45" s="362"/>
      <c r="K45" s="824"/>
      <c r="L45" s="824"/>
      <c r="M45" s="362"/>
      <c r="N45" s="4475" t="s">
        <v>437</v>
      </c>
      <c r="O45" s="4475"/>
      <c r="P45" s="4475"/>
      <c r="Q45" s="4475"/>
      <c r="R45" s="4475"/>
      <c r="S45" s="4475"/>
      <c r="T45" s="4475"/>
      <c r="U45" s="4475"/>
      <c r="V45" s="4475"/>
      <c r="W45" s="4475"/>
      <c r="X45" s="4475"/>
      <c r="Y45" s="4475"/>
      <c r="Z45" s="4475"/>
      <c r="AA45" s="4475"/>
      <c r="AB45" s="4475"/>
      <c r="AC45" s="4475"/>
      <c r="AD45" s="4475"/>
      <c r="AE45" s="4475"/>
      <c r="AF45" s="4475"/>
      <c r="AG45" s="4475"/>
      <c r="AH45" s="4506"/>
    </row>
    <row r="46" spans="1:34">
      <c r="A46" s="4541"/>
      <c r="B46" s="28" t="s">
        <v>129</v>
      </c>
      <c r="C46" s="32" t="s">
        <v>130</v>
      </c>
      <c r="D46" s="923"/>
      <c r="E46" s="362"/>
      <c r="F46" s="362"/>
      <c r="G46" s="362"/>
      <c r="H46" s="362"/>
      <c r="I46" s="362"/>
      <c r="J46" s="362"/>
      <c r="K46" s="362"/>
      <c r="L46" s="362"/>
      <c r="M46" s="362"/>
      <c r="N46" s="362"/>
      <c r="O46" s="362"/>
      <c r="P46" s="362"/>
      <c r="Q46" s="362"/>
      <c r="R46" s="362"/>
      <c r="S46" s="362"/>
      <c r="T46" s="824"/>
      <c r="U46" s="824"/>
      <c r="V46" s="824"/>
      <c r="W46" s="362"/>
      <c r="X46" s="362"/>
      <c r="Y46" s="362"/>
      <c r="Z46" s="380"/>
      <c r="AA46" s="380"/>
      <c r="AB46" s="380"/>
      <c r="AC46" s="380"/>
      <c r="AD46" s="380"/>
      <c r="AE46" s="380"/>
      <c r="AF46" s="380"/>
      <c r="AG46" s="380"/>
      <c r="AH46" s="803"/>
    </row>
    <row r="47" spans="1:34">
      <c r="A47" s="4541"/>
      <c r="B47" s="28" t="s">
        <v>134</v>
      </c>
      <c r="C47" s="32" t="s">
        <v>135</v>
      </c>
      <c r="D47" s="923"/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/>
      <c r="Q47" s="380"/>
      <c r="R47" s="380"/>
      <c r="S47" s="2463" t="s">
        <v>416</v>
      </c>
      <c r="T47" s="380"/>
      <c r="U47" s="4286" t="s">
        <v>434</v>
      </c>
      <c r="V47" s="4286"/>
      <c r="W47" s="4286"/>
      <c r="X47" s="4286"/>
      <c r="Y47" s="4286"/>
      <c r="Z47" s="4286"/>
      <c r="AA47" s="374"/>
      <c r="AB47" s="374"/>
      <c r="AC47" s="374"/>
      <c r="AD47" s="374"/>
      <c r="AE47" s="374"/>
      <c r="AF47" s="362"/>
      <c r="AG47" s="362"/>
      <c r="AH47" s="1059"/>
    </row>
    <row r="48" spans="1:34">
      <c r="A48" s="4541"/>
      <c r="B48" s="28" t="s">
        <v>333</v>
      </c>
      <c r="C48" s="32" t="s">
        <v>334</v>
      </c>
      <c r="D48" s="923"/>
      <c r="E48" s="362"/>
      <c r="F48" s="362"/>
      <c r="G48" s="362"/>
      <c r="H48" s="362"/>
      <c r="I48" s="362"/>
      <c r="J48" s="362"/>
      <c r="K48" s="362"/>
      <c r="L48" s="362"/>
      <c r="M48" s="362"/>
      <c r="N48" s="362"/>
      <c r="O48" s="362"/>
      <c r="P48" s="362"/>
      <c r="Q48" s="362"/>
      <c r="R48" s="362"/>
      <c r="S48" s="2"/>
      <c r="T48" s="2"/>
      <c r="U48" s="2"/>
      <c r="V48" s="2"/>
      <c r="W48" s="2"/>
      <c r="X48" s="362"/>
      <c r="Y48" s="374"/>
      <c r="Z48" s="374"/>
      <c r="AA48" s="374"/>
      <c r="AB48" s="374"/>
      <c r="AC48" s="374"/>
      <c r="AD48" s="374"/>
      <c r="AE48" s="374"/>
      <c r="AF48" s="362"/>
      <c r="AG48" s="362"/>
      <c r="AH48" s="1026"/>
    </row>
    <row r="49" spans="1:35" ht="15.75">
      <c r="A49" s="4541"/>
      <c r="B49" s="28" t="s">
        <v>131</v>
      </c>
      <c r="C49" s="32" t="s">
        <v>132</v>
      </c>
      <c r="D49" s="4545" t="s">
        <v>377</v>
      </c>
      <c r="E49" s="4546"/>
      <c r="F49" s="4546"/>
      <c r="G49" s="967"/>
      <c r="H49" s="967"/>
      <c r="I49" s="1029"/>
      <c r="J49" s="1029"/>
      <c r="K49" s="1029"/>
      <c r="L49" s="1029"/>
      <c r="M49" s="1029"/>
      <c r="N49" s="989"/>
      <c r="O49" s="989"/>
      <c r="P49" s="1029"/>
      <c r="Q49" s="1029"/>
      <c r="R49" s="1029"/>
      <c r="S49" s="1029"/>
      <c r="T49" s="1029"/>
      <c r="U49" s="1369" t="s">
        <v>398</v>
      </c>
      <c r="V49" s="1029"/>
      <c r="W49" s="1186"/>
      <c r="X49" s="1186"/>
      <c r="Y49" s="1186"/>
      <c r="Z49" s="1342"/>
      <c r="AA49" s="968"/>
      <c r="AB49" s="968"/>
      <c r="AC49" s="968"/>
      <c r="AD49" s="968"/>
      <c r="AE49" s="968"/>
      <c r="AF49" s="968"/>
      <c r="AG49" s="968"/>
      <c r="AH49" s="1361"/>
    </row>
    <row r="50" spans="1:35">
      <c r="A50" s="4540" t="s">
        <v>136</v>
      </c>
      <c r="B50" s="27" t="s">
        <v>77</v>
      </c>
      <c r="C50" s="31" t="s">
        <v>137</v>
      </c>
      <c r="D50" s="1036"/>
      <c r="E50" s="365"/>
      <c r="F50" s="365"/>
      <c r="G50" s="4570" t="s">
        <v>413</v>
      </c>
      <c r="H50" s="4571"/>
      <c r="I50" s="365"/>
      <c r="J50" s="365"/>
      <c r="K50" s="365"/>
      <c r="L50" s="365"/>
      <c r="M50" s="365"/>
      <c r="N50" s="365"/>
      <c r="O50" s="1366" t="s">
        <v>413</v>
      </c>
      <c r="P50" s="365"/>
      <c r="Q50" s="1367"/>
      <c r="R50" s="1367"/>
      <c r="S50" s="1367"/>
      <c r="T50" s="365"/>
      <c r="U50" s="365"/>
      <c r="V50" s="776"/>
      <c r="W50" s="283"/>
      <c r="X50" s="365"/>
      <c r="Y50" s="673"/>
      <c r="Z50" s="365"/>
      <c r="AA50" s="365"/>
      <c r="AB50" s="365"/>
      <c r="AC50" s="365"/>
      <c r="AD50" s="365"/>
      <c r="AE50" s="365"/>
      <c r="AF50" s="365"/>
      <c r="AG50" s="365"/>
      <c r="AH50" s="1039"/>
    </row>
    <row r="51" spans="1:35" ht="15.75">
      <c r="A51" s="4541"/>
      <c r="B51" s="28" t="s">
        <v>95</v>
      </c>
      <c r="C51" s="39" t="s">
        <v>139</v>
      </c>
      <c r="D51" s="923"/>
      <c r="E51" s="362"/>
      <c r="F51" s="283"/>
      <c r="G51" s="1319"/>
      <c r="H51" s="1319"/>
      <c r="I51" s="283"/>
      <c r="J51" s="811" t="s">
        <v>55</v>
      </c>
      <c r="K51" s="4478" t="s">
        <v>225</v>
      </c>
      <c r="L51" s="4479"/>
      <c r="M51" s="4479"/>
      <c r="N51" s="4479"/>
      <c r="O51" s="4479"/>
      <c r="P51" s="4479"/>
      <c r="Q51" s="4479"/>
      <c r="R51" s="4480"/>
      <c r="S51" s="811" t="s">
        <v>55</v>
      </c>
      <c r="T51" s="1021"/>
      <c r="U51" s="365"/>
      <c r="V51" s="365"/>
      <c r="W51" s="362"/>
      <c r="X51" s="362"/>
      <c r="Y51" s="362"/>
      <c r="Z51" s="365"/>
      <c r="AA51" s="365"/>
      <c r="AB51" s="4333" t="s">
        <v>438</v>
      </c>
      <c r="AC51" s="4411"/>
      <c r="AD51" s="4411"/>
      <c r="AE51" s="4411"/>
      <c r="AF51" s="4411"/>
      <c r="AG51" s="4411"/>
      <c r="AH51" s="4334"/>
    </row>
    <row r="52" spans="1:35">
      <c r="A52" s="4542"/>
      <c r="B52" s="29" t="s">
        <v>142</v>
      </c>
      <c r="C52" s="39" t="s">
        <v>143</v>
      </c>
      <c r="D52" s="1027"/>
      <c r="E52" s="1029"/>
      <c r="F52" s="1029"/>
      <c r="G52" s="4357" t="s">
        <v>413</v>
      </c>
      <c r="H52" s="4509"/>
      <c r="I52" s="1237"/>
      <c r="J52" s="1237"/>
      <c r="K52" s="1237"/>
      <c r="L52" s="1237"/>
      <c r="M52" s="1237"/>
      <c r="N52" s="1237"/>
      <c r="O52" s="1325" t="s">
        <v>413</v>
      </c>
      <c r="P52" s="1237"/>
      <c r="Q52" s="1237"/>
      <c r="R52" s="1237"/>
      <c r="S52" s="1237"/>
      <c r="T52" s="1237"/>
      <c r="U52" s="1029"/>
      <c r="V52" s="1029"/>
      <c r="W52" s="1029"/>
      <c r="X52" s="1029"/>
      <c r="Y52" s="4499" t="s">
        <v>425</v>
      </c>
      <c r="Z52" s="4500"/>
      <c r="AA52" s="4500"/>
      <c r="AB52" s="4501"/>
      <c r="AC52" s="1029"/>
      <c r="AD52" s="1029"/>
      <c r="AE52" s="1029"/>
      <c r="AF52" s="1029"/>
      <c r="AG52" s="1029"/>
      <c r="AH52" s="1032"/>
    </row>
    <row r="53" spans="1:35">
      <c r="A53" s="4554" t="s">
        <v>144</v>
      </c>
      <c r="B53" s="31" t="s">
        <v>145</v>
      </c>
      <c r="C53" s="950" t="s">
        <v>146</v>
      </c>
      <c r="D53" s="1036"/>
      <c r="E53" s="365"/>
      <c r="F53" s="365"/>
      <c r="G53" s="365"/>
      <c r="H53" s="365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763" t="s">
        <v>416</v>
      </c>
      <c r="T53" s="1238"/>
      <c r="U53" s="365"/>
      <c r="V53" s="365"/>
      <c r="W53" s="365"/>
      <c r="X53" s="365"/>
      <c r="Y53" s="365"/>
      <c r="Z53" s="4436" t="s">
        <v>389</v>
      </c>
      <c r="AA53" s="4502"/>
      <c r="AB53" s="4502"/>
      <c r="AC53" s="4502"/>
      <c r="AD53" s="4503"/>
      <c r="AE53" s="365"/>
      <c r="AF53" s="365"/>
      <c r="AG53" s="365"/>
      <c r="AH53" s="1039"/>
    </row>
    <row r="54" spans="1:35">
      <c r="A54" s="4555"/>
      <c r="B54" s="32" t="s">
        <v>145</v>
      </c>
      <c r="C54" s="990" t="s">
        <v>148</v>
      </c>
      <c r="D54" s="4416" t="s">
        <v>439</v>
      </c>
      <c r="E54" s="4411"/>
      <c r="F54" s="4411"/>
      <c r="G54" s="4411"/>
      <c r="H54" s="4334"/>
      <c r="I54" s="1239"/>
      <c r="J54" s="1239"/>
      <c r="K54" s="1239"/>
      <c r="L54" s="1239"/>
      <c r="M54" s="1239"/>
      <c r="N54" s="1239"/>
      <c r="O54" s="1325" t="s">
        <v>413</v>
      </c>
      <c r="P54" s="1239"/>
      <c r="Q54" s="1239"/>
      <c r="R54" s="1239"/>
      <c r="S54" s="1239"/>
      <c r="T54" s="1239"/>
      <c r="U54" s="362"/>
      <c r="V54" s="362"/>
      <c r="W54" s="362"/>
      <c r="X54" s="362"/>
      <c r="Y54" s="4499" t="s">
        <v>425</v>
      </c>
      <c r="Z54" s="4500"/>
      <c r="AA54" s="4500"/>
      <c r="AB54" s="4501"/>
      <c r="AC54" s="362"/>
      <c r="AD54" s="362"/>
      <c r="AE54" s="362"/>
      <c r="AF54" s="362"/>
      <c r="AG54" s="362"/>
      <c r="AH54" s="1026"/>
    </row>
    <row r="55" spans="1:35" ht="15.75">
      <c r="A55" s="4555"/>
      <c r="B55" s="32" t="s">
        <v>149</v>
      </c>
      <c r="C55" s="1034" t="s">
        <v>150</v>
      </c>
      <c r="D55" s="923"/>
      <c r="E55" s="362"/>
      <c r="F55" s="365"/>
      <c r="G55" s="365"/>
      <c r="H55" s="365"/>
      <c r="I55" s="365"/>
      <c r="J55" s="811" t="s">
        <v>55</v>
      </c>
      <c r="K55" s="4478" t="s">
        <v>225</v>
      </c>
      <c r="L55" s="4479"/>
      <c r="M55" s="4479"/>
      <c r="N55" s="4479"/>
      <c r="O55" s="4479"/>
      <c r="P55" s="4479"/>
      <c r="Q55" s="4479"/>
      <c r="R55" s="4480"/>
      <c r="S55" s="811" t="s">
        <v>55</v>
      </c>
      <c r="T55" s="1021"/>
      <c r="U55" s="362"/>
      <c r="V55" s="375"/>
      <c r="W55" s="362"/>
      <c r="X55" s="362"/>
      <c r="Y55" s="362"/>
      <c r="Z55" s="362"/>
      <c r="AA55" s="362"/>
      <c r="AB55" s="362"/>
      <c r="AC55" s="362"/>
      <c r="AD55" s="362"/>
      <c r="AE55" s="362"/>
      <c r="AF55" s="362"/>
      <c r="AG55" s="824"/>
      <c r="AH55" s="1059"/>
    </row>
    <row r="56" spans="1:35">
      <c r="A56" s="4555"/>
      <c r="B56" s="39" t="s">
        <v>149</v>
      </c>
      <c r="C56" s="990" t="s">
        <v>151</v>
      </c>
      <c r="D56" s="1050"/>
      <c r="E56" s="375"/>
      <c r="F56" s="375"/>
      <c r="G56" s="4357" t="s">
        <v>413</v>
      </c>
      <c r="H56" s="4509"/>
      <c r="I56" s="1240"/>
      <c r="J56" s="1240"/>
      <c r="K56" s="1240"/>
      <c r="L56" s="1240"/>
      <c r="M56" s="1240"/>
      <c r="N56" s="1240"/>
      <c r="O56" s="1325" t="s">
        <v>413</v>
      </c>
      <c r="P56" s="1240"/>
      <c r="Q56" s="824"/>
      <c r="R56" s="824"/>
      <c r="S56" s="824"/>
      <c r="T56" s="362"/>
      <c r="U56" s="1298" t="s">
        <v>398</v>
      </c>
      <c r="V56" s="1029"/>
      <c r="W56" s="1029"/>
      <c r="X56" s="1029"/>
      <c r="Y56" s="375"/>
      <c r="Z56" s="375"/>
      <c r="AA56" s="375"/>
      <c r="AB56" s="375"/>
      <c r="AC56" s="375"/>
      <c r="AD56" s="375"/>
      <c r="AE56" s="375"/>
      <c r="AF56" s="375"/>
      <c r="AG56" s="375"/>
      <c r="AH56" s="1044"/>
    </row>
    <row r="57" spans="1:35" ht="15.75">
      <c r="A57" s="1345" t="s">
        <v>13</v>
      </c>
      <c r="B57" s="1033" t="s">
        <v>77</v>
      </c>
      <c r="C57" s="1033" t="s">
        <v>153</v>
      </c>
      <c r="D57" s="1019"/>
      <c r="E57" s="1348" t="s">
        <v>409</v>
      </c>
      <c r="F57" s="1021"/>
      <c r="G57" s="1021"/>
      <c r="H57" s="1021"/>
      <c r="I57" s="1021"/>
      <c r="J57" s="1371" t="s">
        <v>55</v>
      </c>
      <c r="K57" s="4485" t="s">
        <v>414</v>
      </c>
      <c r="L57" s="4486"/>
      <c r="M57" s="4486"/>
      <c r="N57" s="1371" t="s">
        <v>55</v>
      </c>
      <c r="O57" s="1021"/>
      <c r="P57" s="1021"/>
      <c r="Q57" s="1021"/>
      <c r="R57" s="1021"/>
      <c r="S57" s="1021"/>
      <c r="T57" s="1021"/>
      <c r="U57" s="1021"/>
      <c r="V57" s="1021"/>
      <c r="W57" s="1021"/>
      <c r="X57" s="1021"/>
      <c r="Y57" s="1021"/>
      <c r="Z57" s="1021"/>
      <c r="AA57" s="1021"/>
      <c r="AB57" s="1021"/>
      <c r="AC57" s="1021"/>
      <c r="AD57" s="1021"/>
      <c r="AE57" s="1021"/>
      <c r="AF57" s="1021"/>
      <c r="AG57" s="1021"/>
      <c r="AH57" s="1025"/>
    </row>
    <row r="58" spans="1:35" ht="15.75">
      <c r="B58" s="1034" t="s">
        <v>100</v>
      </c>
      <c r="C58" s="1034" t="s">
        <v>78</v>
      </c>
      <c r="D58" s="923"/>
      <c r="E58" s="1348" t="s">
        <v>409</v>
      </c>
      <c r="F58" s="362"/>
      <c r="G58" s="362"/>
      <c r="H58" s="362"/>
      <c r="I58" s="4483" t="s">
        <v>440</v>
      </c>
      <c r="J58" s="4484"/>
      <c r="K58" s="4478" t="s">
        <v>225</v>
      </c>
      <c r="L58" s="4479"/>
      <c r="M58" s="4479"/>
      <c r="N58" s="4479"/>
      <c r="O58" s="4479"/>
      <c r="P58" s="4479"/>
      <c r="Q58" s="4479"/>
      <c r="R58" s="4480"/>
      <c r="S58" s="811" t="s">
        <v>55</v>
      </c>
      <c r="T58" s="1301"/>
      <c r="U58" s="1299" t="s">
        <v>398</v>
      </c>
      <c r="V58" s="362"/>
      <c r="W58" s="362"/>
      <c r="X58" s="362"/>
      <c r="Y58" s="362"/>
      <c r="Z58" s="4294" t="s">
        <v>410</v>
      </c>
      <c r="AA58" s="4294"/>
      <c r="AB58" s="362"/>
      <c r="AC58" s="362"/>
      <c r="AD58" s="362"/>
      <c r="AE58" s="362"/>
      <c r="AF58" s="362"/>
      <c r="AG58" s="362"/>
      <c r="AH58" s="1352" t="s">
        <v>441</v>
      </c>
    </row>
    <row r="59" spans="1:35" ht="15.75" customHeight="1">
      <c r="A59" s="1346"/>
      <c r="B59" s="1034" t="s">
        <v>248</v>
      </c>
      <c r="C59" s="1034" t="s">
        <v>86</v>
      </c>
      <c r="D59" s="923"/>
      <c r="F59" s="4481" t="s">
        <v>405</v>
      </c>
      <c r="G59" s="4481"/>
      <c r="H59" s="4482"/>
      <c r="I59" s="1239"/>
      <c r="J59" s="1241"/>
      <c r="K59" s="1240"/>
      <c r="L59" s="1240"/>
      <c r="M59" s="1242"/>
      <c r="N59" s="1243"/>
      <c r="O59" s="1240"/>
      <c r="P59" s="1240"/>
      <c r="Q59" s="1240"/>
      <c r="R59" s="1240"/>
      <c r="S59" s="1240"/>
      <c r="T59" s="1301"/>
      <c r="U59" s="1299" t="s">
        <v>398</v>
      </c>
      <c r="V59" s="362"/>
      <c r="W59" s="362"/>
      <c r="X59" s="362"/>
      <c r="Y59" s="362"/>
      <c r="Z59" s="4294" t="s">
        <v>410</v>
      </c>
      <c r="AA59" s="4294"/>
      <c r="AB59" s="362"/>
      <c r="AC59" s="362"/>
      <c r="AD59" s="362"/>
      <c r="AE59" s="362"/>
      <c r="AF59" s="362"/>
      <c r="AG59" s="362"/>
      <c r="AH59" s="1352" t="s">
        <v>441</v>
      </c>
    </row>
    <row r="60" spans="1:35">
      <c r="A60" s="1346"/>
      <c r="B60" s="1034" t="s">
        <v>95</v>
      </c>
      <c r="C60" s="1034" t="s">
        <v>82</v>
      </c>
      <c r="D60" s="923"/>
      <c r="E60" s="362"/>
      <c r="F60" s="362"/>
      <c r="G60" s="1233" t="s">
        <v>442</v>
      </c>
      <c r="H60" s="1211"/>
      <c r="I60" s="1211"/>
      <c r="J60" s="1212"/>
      <c r="K60" s="1212"/>
      <c r="L60" s="432"/>
      <c r="M60" s="534"/>
      <c r="N60" s="534"/>
      <c r="O60" s="534"/>
      <c r="P60" s="534"/>
      <c r="Q60" s="1213"/>
      <c r="R60" s="1214"/>
      <c r="S60" s="1215"/>
      <c r="T60" s="1213"/>
      <c r="U60" s="534"/>
      <c r="V60" s="534"/>
      <c r="W60" s="534"/>
      <c r="X60" s="534"/>
      <c r="Y60" s="1216"/>
      <c r="Z60" s="1216"/>
      <c r="AA60" s="534"/>
      <c r="AB60" s="1211"/>
      <c r="AC60" s="1211"/>
      <c r="AD60" s="1212"/>
      <c r="AE60" s="1212"/>
      <c r="AF60" s="432"/>
      <c r="AG60" s="534"/>
      <c r="AH60" s="534"/>
    </row>
    <row r="61" spans="1:35">
      <c r="A61" s="1346"/>
      <c r="B61" s="1210" t="s">
        <v>443</v>
      </c>
      <c r="C61" s="1034" t="s">
        <v>396</v>
      </c>
      <c r="D61" s="64"/>
      <c r="E61" s="1348" t="s">
        <v>409</v>
      </c>
      <c r="F61" s="362"/>
      <c r="G61" s="362"/>
      <c r="H61" s="362"/>
      <c r="I61" s="1239"/>
      <c r="J61" s="1239"/>
      <c r="K61" s="1239"/>
      <c r="L61" s="1239"/>
      <c r="M61" s="1238"/>
      <c r="O61" s="1239"/>
      <c r="P61" s="1239"/>
      <c r="Q61" s="1239"/>
      <c r="R61" s="1239"/>
      <c r="S61" s="1239"/>
      <c r="T61" s="1301"/>
      <c r="U61" s="1299" t="s">
        <v>398</v>
      </c>
      <c r="V61" s="362"/>
      <c r="W61" s="362"/>
      <c r="X61" s="362"/>
      <c r="Y61" s="362"/>
      <c r="Z61" s="4294" t="s">
        <v>410</v>
      </c>
      <c r="AA61" s="4294"/>
      <c r="AB61" s="362"/>
      <c r="AC61" s="362"/>
      <c r="AD61" s="362"/>
      <c r="AE61" s="362"/>
      <c r="AF61" s="362"/>
      <c r="AG61" s="362"/>
      <c r="AH61" s="1352" t="s">
        <v>441</v>
      </c>
      <c r="AI61" s="1236"/>
    </row>
    <row r="62" spans="1:35">
      <c r="A62" s="1346"/>
      <c r="B62" s="1034" t="s">
        <v>81</v>
      </c>
      <c r="C62" s="1034" t="s">
        <v>303</v>
      </c>
      <c r="D62" s="923"/>
      <c r="E62" s="362"/>
      <c r="F62" s="362"/>
      <c r="G62" s="362"/>
      <c r="H62" s="362"/>
      <c r="I62" s="1239"/>
      <c r="J62" s="1239"/>
      <c r="K62" s="1239"/>
      <c r="L62" s="1239"/>
      <c r="M62" s="1244"/>
      <c r="N62" s="1244"/>
      <c r="O62" s="1244"/>
      <c r="P62" s="1244"/>
      <c r="Q62" s="1239"/>
      <c r="R62" s="1239"/>
      <c r="S62" s="1239"/>
      <c r="T62" s="1301"/>
      <c r="U62" s="1299" t="s">
        <v>398</v>
      </c>
      <c r="V62" s="362"/>
      <c r="W62" s="362"/>
      <c r="X62" s="362"/>
      <c r="Y62" s="362"/>
      <c r="Z62" s="362"/>
      <c r="AA62" s="362"/>
      <c r="AB62" s="362"/>
      <c r="AC62" s="362"/>
      <c r="AD62" s="362"/>
      <c r="AE62" s="362"/>
      <c r="AF62" s="362"/>
      <c r="AG62" s="362"/>
      <c r="AH62" s="1026"/>
    </row>
    <row r="63" spans="1:35" ht="15.75">
      <c r="A63" s="1347"/>
      <c r="B63" s="1035" t="s">
        <v>155</v>
      </c>
      <c r="C63" s="1035" t="s">
        <v>156</v>
      </c>
      <c r="D63" s="1027"/>
      <c r="E63" s="1029"/>
      <c r="F63" s="1029"/>
      <c r="G63" s="1029"/>
      <c r="H63" s="1029"/>
      <c r="I63" s="1029"/>
      <c r="J63" s="811" t="s">
        <v>55</v>
      </c>
      <c r="K63" s="4478" t="s">
        <v>225</v>
      </c>
      <c r="L63" s="4479"/>
      <c r="M63" s="4479"/>
      <c r="N63" s="4479"/>
      <c r="O63" s="4479"/>
      <c r="P63" s="4479"/>
      <c r="Q63" s="4479"/>
      <c r="R63" s="4480"/>
      <c r="S63" s="811" t="s">
        <v>55</v>
      </c>
      <c r="T63" s="1301"/>
      <c r="U63" s="1300" t="s">
        <v>398</v>
      </c>
      <c r="V63" s="1029"/>
      <c r="W63" s="1029"/>
      <c r="X63" s="1029"/>
      <c r="Y63" s="4499" t="s">
        <v>425</v>
      </c>
      <c r="Z63" s="4500"/>
      <c r="AA63" s="4500"/>
      <c r="AB63" s="4501"/>
      <c r="AC63" s="1029"/>
      <c r="AD63" s="1029"/>
      <c r="AE63" s="1029"/>
      <c r="AF63" s="1029"/>
      <c r="AG63" s="1029"/>
      <c r="AH63" s="1032"/>
    </row>
    <row r="64" spans="1:35">
      <c r="A64" s="1344"/>
    </row>
    <row r="69" spans="7:9">
      <c r="G69" s="916"/>
    </row>
    <row r="74" spans="7:9">
      <c r="I74" s="917"/>
    </row>
  </sheetData>
  <mergeCells count="97">
    <mergeCell ref="K51:R51"/>
    <mergeCell ref="G50:H50"/>
    <mergeCell ref="Y44:AB44"/>
    <mergeCell ref="N45:AH45"/>
    <mergeCell ref="AB51:AH51"/>
    <mergeCell ref="A53:A56"/>
    <mergeCell ref="D44:F44"/>
    <mergeCell ref="G56:H56"/>
    <mergeCell ref="D54:H54"/>
    <mergeCell ref="A50:A52"/>
    <mergeCell ref="G52:H52"/>
    <mergeCell ref="D43:R43"/>
    <mergeCell ref="AC41:AH41"/>
    <mergeCell ref="Y39:AB39"/>
    <mergeCell ref="D40:I40"/>
    <mergeCell ref="S28:V28"/>
    <mergeCell ref="Y33:AA33"/>
    <mergeCell ref="AD29:AH29"/>
    <mergeCell ref="Q39:V39"/>
    <mergeCell ref="Z40:AB40"/>
    <mergeCell ref="A21:C21"/>
    <mergeCell ref="A22:C22"/>
    <mergeCell ref="A36:A49"/>
    <mergeCell ref="A25:A27"/>
    <mergeCell ref="K24:M24"/>
    <mergeCell ref="D49:F49"/>
    <mergeCell ref="K28:R28"/>
    <mergeCell ref="L40:U40"/>
    <mergeCell ref="U47:Z47"/>
    <mergeCell ref="U41:X41"/>
    <mergeCell ref="Y41:AB41"/>
    <mergeCell ref="U42:X42"/>
    <mergeCell ref="Y42:AB42"/>
    <mergeCell ref="AA25:AH25"/>
    <mergeCell ref="A28:A30"/>
    <mergeCell ref="A31:A35"/>
    <mergeCell ref="A19:C19"/>
    <mergeCell ref="A20:C20"/>
    <mergeCell ref="A12:C12"/>
    <mergeCell ref="A8:C8"/>
    <mergeCell ref="A9:C9"/>
    <mergeCell ref="A10:C10"/>
    <mergeCell ref="A16:C16"/>
    <mergeCell ref="A17:C17"/>
    <mergeCell ref="A18:C18"/>
    <mergeCell ref="A15:C15"/>
    <mergeCell ref="A1:C1"/>
    <mergeCell ref="D1:AH1"/>
    <mergeCell ref="A2:C2"/>
    <mergeCell ref="A3:C3"/>
    <mergeCell ref="A4:C4"/>
    <mergeCell ref="AC4:AF4"/>
    <mergeCell ref="AB7:AH7"/>
    <mergeCell ref="AB38:AH38"/>
    <mergeCell ref="D36:F36"/>
    <mergeCell ref="G32:H32"/>
    <mergeCell ref="G33:H33"/>
    <mergeCell ref="G34:H34"/>
    <mergeCell ref="G35:H35"/>
    <mergeCell ref="D37:AH37"/>
    <mergeCell ref="F26:X26"/>
    <mergeCell ref="R36:V36"/>
    <mergeCell ref="K10:S10"/>
    <mergeCell ref="Y34:AB34"/>
    <mergeCell ref="D38:O38"/>
    <mergeCell ref="AD32:AH32"/>
    <mergeCell ref="D7:E7"/>
    <mergeCell ref="AC28:AE28"/>
    <mergeCell ref="AA10:AB10"/>
    <mergeCell ref="Y63:AB63"/>
    <mergeCell ref="Y54:AB54"/>
    <mergeCell ref="Y52:AB52"/>
    <mergeCell ref="Z59:AA59"/>
    <mergeCell ref="Z58:AA58"/>
    <mergeCell ref="Z61:AA61"/>
    <mergeCell ref="Z53:AD53"/>
    <mergeCell ref="Z17:AA17"/>
    <mergeCell ref="Y43:AB43"/>
    <mergeCell ref="AC42:AF42"/>
    <mergeCell ref="Z28:AA28"/>
    <mergeCell ref="AC40:AF40"/>
    <mergeCell ref="R24:V24"/>
    <mergeCell ref="A5:C5"/>
    <mergeCell ref="K58:R58"/>
    <mergeCell ref="K63:R63"/>
    <mergeCell ref="K55:R55"/>
    <mergeCell ref="F59:H59"/>
    <mergeCell ref="I58:J58"/>
    <mergeCell ref="K57:M57"/>
    <mergeCell ref="A6:C6"/>
    <mergeCell ref="A7:C7"/>
    <mergeCell ref="A14:C14"/>
    <mergeCell ref="A13:C13"/>
    <mergeCell ref="I7:AA7"/>
    <mergeCell ref="A11:C11"/>
    <mergeCell ref="F7:H7"/>
    <mergeCell ref="U6:AA6"/>
  </mergeCells>
  <pageMargins left="0.7" right="0.7" top="0.75" bottom="0.75" header="0.3" footer="0.3"/>
  <pageSetup scale="3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9091-35BA-4B13-A3D7-E0E3F1260B44}">
  <sheetPr>
    <pageSetUpPr fitToPage="1"/>
  </sheetPr>
  <dimension ref="A1:AG71"/>
  <sheetViews>
    <sheetView workbookViewId="0">
      <pane xSplit="3" ySplit="4" topLeftCell="AK41" activePane="bottomRight" state="frozen"/>
      <selection pane="bottomRight" activeCell="AK42" sqref="AK42"/>
      <selection pane="bottomLeft"/>
      <selection pane="topRight"/>
    </sheetView>
  </sheetViews>
  <sheetFormatPr defaultRowHeight="15"/>
  <cols>
    <col min="3" max="3" width="11.42578125" bestFit="1" customWidth="1"/>
    <col min="4" max="4" width="10.42578125" customWidth="1"/>
    <col min="31" max="31" width="9.42578125" customWidth="1"/>
  </cols>
  <sheetData>
    <row r="1" spans="1:33">
      <c r="A1" s="4375" t="s">
        <v>29</v>
      </c>
      <c r="B1" s="4375"/>
      <c r="C1" s="4375"/>
      <c r="D1" s="4376" t="s">
        <v>444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608"/>
    </row>
    <row r="2" spans="1:33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4378" t="s">
        <v>32</v>
      </c>
      <c r="B3" s="4378"/>
      <c r="C3" s="4378"/>
      <c r="D3" s="3703" t="s">
        <v>33</v>
      </c>
      <c r="E3" s="3703" t="s">
        <v>35</v>
      </c>
      <c r="F3" s="19" t="s">
        <v>36</v>
      </c>
      <c r="G3" s="19" t="s">
        <v>36</v>
      </c>
      <c r="H3" s="3703" t="s">
        <v>37</v>
      </c>
      <c r="I3" s="3703" t="s">
        <v>33</v>
      </c>
      <c r="J3" s="3703" t="s">
        <v>34</v>
      </c>
      <c r="K3" s="3703" t="s">
        <v>33</v>
      </c>
      <c r="L3" s="3703" t="s">
        <v>35</v>
      </c>
      <c r="M3" s="19" t="s">
        <v>36</v>
      </c>
      <c r="N3" s="19" t="s">
        <v>36</v>
      </c>
      <c r="O3" s="3703" t="s">
        <v>37</v>
      </c>
      <c r="P3" s="3703" t="s">
        <v>33</v>
      </c>
      <c r="Q3" s="3703" t="s">
        <v>34</v>
      </c>
      <c r="R3" s="3703" t="s">
        <v>33</v>
      </c>
      <c r="S3" s="3703" t="s">
        <v>35</v>
      </c>
      <c r="T3" s="19" t="s">
        <v>36</v>
      </c>
      <c r="U3" s="19" t="s">
        <v>36</v>
      </c>
      <c r="V3" s="3703" t="s">
        <v>37</v>
      </c>
      <c r="W3" s="3703" t="s">
        <v>33</v>
      </c>
      <c r="X3" s="3703" t="s">
        <v>34</v>
      </c>
      <c r="Y3" s="40" t="s">
        <v>33</v>
      </c>
      <c r="Z3" s="3703" t="s">
        <v>35</v>
      </c>
      <c r="AA3" s="19" t="s">
        <v>36</v>
      </c>
      <c r="AB3" s="19" t="s">
        <v>36</v>
      </c>
      <c r="AC3" s="3703" t="s">
        <v>37</v>
      </c>
      <c r="AD3" s="41" t="s">
        <v>33</v>
      </c>
      <c r="AE3" s="41" t="s">
        <v>34</v>
      </c>
      <c r="AF3" s="41" t="s">
        <v>33</v>
      </c>
      <c r="AG3" s="41" t="s">
        <v>35</v>
      </c>
    </row>
    <row r="4" spans="1:33" ht="15.75">
      <c r="A4" s="4609" t="s">
        <v>38</v>
      </c>
      <c r="B4" s="4610"/>
      <c r="C4" s="4610"/>
      <c r="D4" s="1003"/>
      <c r="E4" s="1003"/>
      <c r="F4" s="1003"/>
      <c r="G4" s="1003"/>
      <c r="H4" s="1003"/>
      <c r="I4" s="1003"/>
      <c r="J4" s="1003"/>
      <c r="K4" s="1003"/>
      <c r="L4" s="1003"/>
      <c r="M4" s="1003"/>
      <c r="N4" s="1003"/>
      <c r="O4" s="1003"/>
      <c r="P4" s="1003"/>
      <c r="Q4" s="1003"/>
      <c r="R4" s="1003"/>
      <c r="S4" s="1003"/>
      <c r="T4" s="4249" t="s">
        <v>445</v>
      </c>
      <c r="U4" s="4250"/>
      <c r="V4" s="4250"/>
      <c r="W4" s="4611"/>
      <c r="X4" s="1003"/>
      <c r="Y4" s="1003"/>
      <c r="Z4" s="1003"/>
      <c r="AA4" s="1003"/>
      <c r="AB4" s="1003"/>
      <c r="AC4" s="1003"/>
      <c r="AD4" s="1003"/>
      <c r="AE4" s="1003"/>
      <c r="AF4" s="1003"/>
      <c r="AG4" s="1011"/>
    </row>
    <row r="5" spans="1:33">
      <c r="A5" s="4616" t="s">
        <v>42</v>
      </c>
      <c r="B5" s="4617"/>
      <c r="C5" s="4617"/>
      <c r="D5" s="1202"/>
      <c r="E5" s="1202"/>
      <c r="F5" s="425"/>
      <c r="G5" s="1002"/>
      <c r="H5" s="1003"/>
      <c r="I5" s="1003"/>
      <c r="J5" s="1003"/>
      <c r="K5" s="1003"/>
      <c r="L5" s="1003"/>
      <c r="M5" s="4612" t="s">
        <v>446</v>
      </c>
      <c r="N5" s="4613"/>
      <c r="O5" s="4613"/>
      <c r="P5" s="4613"/>
      <c r="Q5" s="4613"/>
      <c r="R5" s="4614"/>
      <c r="S5" s="4614"/>
      <c r="T5" s="4614"/>
      <c r="U5" s="4614"/>
      <c r="V5" s="4614"/>
      <c r="W5" s="4613"/>
      <c r="X5" s="4613"/>
      <c r="Y5" s="4613"/>
      <c r="Z5" s="4613"/>
      <c r="AA5" s="4613"/>
      <c r="AB5" s="4613"/>
      <c r="AC5" s="4613"/>
      <c r="AD5" s="4613"/>
      <c r="AE5" s="4613"/>
      <c r="AF5" s="4613"/>
      <c r="AG5" s="4615"/>
    </row>
    <row r="6" spans="1:33">
      <c r="A6" s="4569" t="s">
        <v>165</v>
      </c>
      <c r="B6" s="4310"/>
      <c r="C6" s="4310"/>
      <c r="D6" s="363"/>
      <c r="E6" s="363"/>
      <c r="F6" s="363"/>
      <c r="G6" s="437"/>
      <c r="H6" s="4396" t="s">
        <v>447</v>
      </c>
      <c r="I6" s="4394"/>
      <c r="J6" s="4394"/>
      <c r="K6" s="4394"/>
      <c r="L6" s="4394"/>
      <c r="M6" s="4394"/>
      <c r="N6" s="4394"/>
      <c r="O6" s="4394"/>
      <c r="P6" s="4394"/>
      <c r="Q6" s="4467"/>
      <c r="R6" s="402"/>
      <c r="S6" s="363"/>
      <c r="T6" s="380"/>
      <c r="U6" s="380"/>
      <c r="V6" s="363"/>
      <c r="W6" s="4392" t="s">
        <v>308</v>
      </c>
      <c r="X6" s="4384"/>
      <c r="Y6" s="4384"/>
      <c r="Z6" s="4384"/>
      <c r="AA6" s="4384"/>
      <c r="AB6" s="4385"/>
      <c r="AC6" s="4394" t="s">
        <v>164</v>
      </c>
      <c r="AD6" s="4394"/>
      <c r="AE6" s="4394"/>
      <c r="AF6" s="4394"/>
      <c r="AG6" s="4395"/>
    </row>
    <row r="7" spans="1:33">
      <c r="A7" s="4618" t="s">
        <v>407</v>
      </c>
      <c r="B7" s="4307"/>
      <c r="C7" s="4307"/>
      <c r="D7" s="363"/>
      <c r="E7" s="363"/>
      <c r="F7" s="363"/>
      <c r="G7" s="363"/>
      <c r="H7" s="3623"/>
      <c r="I7" s="371"/>
      <c r="J7" s="371"/>
      <c r="K7" s="371"/>
      <c r="L7" s="371"/>
      <c r="M7" s="371"/>
      <c r="N7" s="371"/>
      <c r="O7" s="371"/>
      <c r="P7" s="371"/>
      <c r="Q7" s="371"/>
      <c r="R7" s="363"/>
      <c r="S7" s="363"/>
      <c r="T7" s="363"/>
      <c r="U7" s="363"/>
      <c r="V7" s="363"/>
      <c r="W7" s="1257"/>
      <c r="X7" s="371"/>
      <c r="Y7" s="371"/>
      <c r="Z7" s="371"/>
      <c r="AA7" s="371"/>
      <c r="AB7" s="371"/>
      <c r="AC7" s="371"/>
      <c r="AD7" s="371"/>
      <c r="AE7" s="371"/>
      <c r="AF7" s="371"/>
      <c r="AG7" s="864"/>
    </row>
    <row r="8" spans="1:33">
      <c r="A8" s="4595" t="s">
        <v>262</v>
      </c>
      <c r="B8" s="4596"/>
      <c r="C8" s="4596"/>
      <c r="D8" s="370"/>
      <c r="E8" s="4596" t="s">
        <v>448</v>
      </c>
      <c r="F8" s="4596"/>
      <c r="G8" s="4596"/>
      <c r="H8" s="4596"/>
      <c r="I8" s="4596"/>
      <c r="J8" s="4596"/>
      <c r="K8" s="4596"/>
      <c r="L8" s="4596"/>
      <c r="M8" s="4596"/>
      <c r="N8" s="4596"/>
      <c r="O8" s="4574" t="s">
        <v>449</v>
      </c>
      <c r="P8" s="4574"/>
      <c r="Q8" s="4574"/>
      <c r="R8" s="4574"/>
      <c r="S8" s="4574"/>
      <c r="T8" s="4574"/>
      <c r="U8" s="4574"/>
      <c r="V8" s="4574"/>
      <c r="W8" s="4574"/>
      <c r="X8" s="4574"/>
      <c r="Y8" s="4574"/>
      <c r="Z8" s="4574"/>
      <c r="AA8" s="4574"/>
      <c r="AB8" s="4574"/>
      <c r="AC8" s="4574"/>
      <c r="AD8" s="4574"/>
      <c r="AE8" s="4574"/>
      <c r="AF8" s="4574"/>
      <c r="AG8" s="1218" t="s">
        <v>450</v>
      </c>
    </row>
    <row r="9" spans="1:33">
      <c r="A9" s="4592" t="s">
        <v>225</v>
      </c>
      <c r="B9" s="4593"/>
      <c r="C9" s="4593"/>
      <c r="D9" s="1013"/>
      <c r="E9" s="1013"/>
      <c r="F9" s="1013"/>
      <c r="G9" s="1013"/>
      <c r="H9" s="1013"/>
      <c r="I9" s="1013"/>
      <c r="J9" s="1013"/>
      <c r="K9" s="1013"/>
      <c r="L9" s="1002"/>
      <c r="M9" s="1002"/>
      <c r="N9" s="1002"/>
      <c r="O9" s="1002" t="s">
        <v>451</v>
      </c>
      <c r="P9" s="1002"/>
      <c r="Q9" s="1002"/>
      <c r="R9" s="1002"/>
      <c r="S9" s="1002"/>
      <c r="T9" s="1002"/>
      <c r="U9" s="1002"/>
      <c r="V9" s="1002"/>
      <c r="W9" s="1002"/>
      <c r="X9" s="1002"/>
      <c r="Y9" s="1002"/>
      <c r="Z9" s="1002"/>
      <c r="AA9" s="1002"/>
      <c r="AB9" s="1002"/>
      <c r="AC9" s="1002"/>
      <c r="AD9" s="1002"/>
      <c r="AE9" s="1002"/>
      <c r="AF9" s="1002"/>
      <c r="AG9" s="1217"/>
    </row>
    <row r="10" spans="1:33">
      <c r="A10" s="4594" t="s">
        <v>272</v>
      </c>
      <c r="B10" s="4308"/>
      <c r="C10" s="4308"/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80"/>
      <c r="P10" s="380"/>
      <c r="Q10" s="48"/>
      <c r="R10" s="48"/>
      <c r="S10" s="48"/>
      <c r="T10" s="380"/>
      <c r="U10" s="380"/>
      <c r="V10" s="363"/>
      <c r="W10" s="363"/>
      <c r="X10" s="363"/>
      <c r="Y10" s="371"/>
      <c r="Z10" s="371"/>
      <c r="AA10" s="363"/>
      <c r="AB10" s="363"/>
      <c r="AC10" s="370"/>
      <c r="AD10" s="370"/>
      <c r="AE10" s="370"/>
      <c r="AF10" s="370"/>
      <c r="AG10" s="863"/>
    </row>
    <row r="11" spans="1:33">
      <c r="A11" s="4597" t="s">
        <v>265</v>
      </c>
      <c r="B11" s="4309"/>
      <c r="C11" s="4309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48"/>
      <c r="P11" s="48"/>
      <c r="Q11" s="48"/>
      <c r="R11" s="48"/>
      <c r="S11" s="48"/>
      <c r="T11" s="363"/>
      <c r="U11" s="363"/>
      <c r="V11" s="363"/>
      <c r="W11" s="363"/>
      <c r="X11" s="370"/>
      <c r="Y11" s="370"/>
      <c r="Z11" s="363"/>
      <c r="AA11" s="363"/>
      <c r="AB11" s="437"/>
      <c r="AC11" s="380"/>
      <c r="AD11" s="380"/>
      <c r="AE11" s="380" t="s">
        <v>452</v>
      </c>
      <c r="AF11" s="380"/>
      <c r="AG11" s="865"/>
    </row>
    <row r="12" spans="1:33" ht="15.75" customHeight="1">
      <c r="A12" s="4624" t="s">
        <v>60</v>
      </c>
      <c r="B12" s="4625"/>
      <c r="C12" s="4625"/>
      <c r="D12" s="363"/>
      <c r="E12" s="363"/>
      <c r="F12" s="363"/>
      <c r="G12" s="363"/>
      <c r="H12" s="363"/>
      <c r="I12" s="363"/>
      <c r="J12" s="4583" t="s">
        <v>453</v>
      </c>
      <c r="K12" s="4584"/>
      <c r="L12" s="363"/>
      <c r="M12" s="363"/>
      <c r="N12" s="363"/>
      <c r="O12" s="363"/>
      <c r="P12" s="48"/>
      <c r="Q12" s="48"/>
      <c r="R12" s="48"/>
      <c r="S12" s="363"/>
      <c r="T12" s="363"/>
      <c r="U12" s="363"/>
      <c r="V12" s="363"/>
      <c r="W12" s="437"/>
      <c r="X12" s="371"/>
      <c r="Y12" s="371"/>
      <c r="Z12" s="756"/>
      <c r="AA12" s="363"/>
      <c r="AB12" s="363"/>
      <c r="AC12" s="371"/>
      <c r="AD12" s="371"/>
      <c r="AE12" s="536"/>
      <c r="AF12" s="536"/>
      <c r="AG12" s="863"/>
    </row>
    <row r="13" spans="1:33">
      <c r="A13" s="4622" t="s">
        <v>63</v>
      </c>
      <c r="B13" s="4623"/>
      <c r="C13" s="4623"/>
      <c r="D13" s="380"/>
      <c r="E13" s="380"/>
      <c r="F13" s="380"/>
      <c r="G13" s="380"/>
      <c r="H13" s="380"/>
      <c r="I13" s="380"/>
      <c r="J13" s="380"/>
      <c r="K13" s="380"/>
      <c r="L13" s="380"/>
      <c r="M13" s="363"/>
      <c r="N13" s="363"/>
      <c r="O13" s="363"/>
      <c r="P13" s="363"/>
      <c r="Q13" s="363"/>
      <c r="R13" s="363"/>
      <c r="S13" s="363"/>
      <c r="T13" s="363"/>
      <c r="U13" s="363"/>
      <c r="V13" s="363"/>
      <c r="W13" s="363"/>
      <c r="X13" s="371"/>
      <c r="Y13" s="371"/>
      <c r="Z13" s="363"/>
      <c r="AA13" s="363"/>
      <c r="AB13" s="363"/>
      <c r="AC13" s="363"/>
      <c r="AD13" s="363"/>
      <c r="AE13" s="363"/>
      <c r="AF13" s="363"/>
      <c r="AG13" s="863"/>
    </row>
    <row r="14" spans="1:33">
      <c r="A14" s="4620" t="s">
        <v>54</v>
      </c>
      <c r="B14" s="4621"/>
      <c r="C14" s="4621"/>
      <c r="D14" s="3613" t="s">
        <v>454</v>
      </c>
      <c r="E14" s="363"/>
      <c r="F14" s="363"/>
      <c r="G14" s="363"/>
      <c r="H14" s="363"/>
      <c r="I14" s="380"/>
      <c r="J14" s="380"/>
      <c r="K14" s="380"/>
      <c r="L14" s="363"/>
      <c r="M14" s="363"/>
      <c r="N14" s="363"/>
      <c r="O14" s="363"/>
      <c r="P14" s="363"/>
      <c r="Q14" s="363"/>
      <c r="R14" s="363"/>
      <c r="S14" s="363"/>
      <c r="T14" s="48"/>
      <c r="U14" s="48"/>
      <c r="V14" s="363"/>
      <c r="W14" s="363"/>
      <c r="X14" s="363"/>
      <c r="Y14" s="363"/>
      <c r="Z14" s="363"/>
      <c r="AA14" s="363"/>
      <c r="AB14" s="363"/>
      <c r="AC14" s="363"/>
      <c r="AD14" s="363"/>
      <c r="AE14" s="363"/>
      <c r="AF14" s="363"/>
      <c r="AG14" s="863"/>
    </row>
    <row r="15" spans="1:33">
      <c r="A15" s="4631" t="s">
        <v>365</v>
      </c>
      <c r="B15" s="4632"/>
      <c r="C15" s="4632"/>
      <c r="D15" s="363"/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363"/>
      <c r="P15" s="363"/>
      <c r="Q15" s="363"/>
      <c r="R15" s="363"/>
      <c r="S15" s="363"/>
      <c r="T15" s="363"/>
      <c r="U15" s="363"/>
      <c r="V15" s="363"/>
      <c r="W15" s="363"/>
      <c r="X15" s="363"/>
      <c r="Y15" s="1396" t="s">
        <v>455</v>
      </c>
      <c r="Z15" s="363"/>
      <c r="AA15" s="363"/>
      <c r="AB15" s="363"/>
      <c r="AC15" s="363"/>
      <c r="AD15" s="363"/>
      <c r="AE15" s="363"/>
      <c r="AF15" s="363"/>
      <c r="AG15" s="863"/>
    </row>
    <row r="16" spans="1:33" ht="18.75" customHeight="1">
      <c r="A16" s="4630" t="s">
        <v>366</v>
      </c>
      <c r="B16" s="4314"/>
      <c r="C16" s="4314"/>
      <c r="D16" s="363"/>
      <c r="E16" s="363"/>
      <c r="F16" s="363"/>
      <c r="G16" s="363"/>
      <c r="H16" s="363"/>
      <c r="I16" s="363"/>
      <c r="J16" s="363"/>
      <c r="K16" s="363"/>
      <c r="L16" s="363"/>
      <c r="M16" s="363"/>
      <c r="N16" s="363"/>
      <c r="O16" s="363"/>
      <c r="P16" s="363"/>
      <c r="Q16" s="363"/>
      <c r="R16" s="363"/>
      <c r="S16" s="363"/>
      <c r="T16" s="363"/>
      <c r="U16" s="363"/>
      <c r="V16" s="363"/>
      <c r="W16" s="363"/>
      <c r="X16" s="363"/>
      <c r="Y16" s="363"/>
      <c r="Z16" s="363"/>
      <c r="AA16" s="363"/>
      <c r="AB16" s="363"/>
      <c r="AC16" s="4314" t="s">
        <v>452</v>
      </c>
      <c r="AD16" s="4314"/>
      <c r="AE16" s="1413" t="s">
        <v>456</v>
      </c>
      <c r="AF16" s="363"/>
      <c r="AG16" s="863"/>
    </row>
    <row r="17" spans="1:33" ht="15.75">
      <c r="A17" s="4600" t="s">
        <v>315</v>
      </c>
      <c r="B17" s="4601"/>
      <c r="C17" s="4601"/>
      <c r="D17" s="363"/>
      <c r="E17" s="370"/>
      <c r="F17" s="370"/>
      <c r="G17" s="370"/>
      <c r="H17" s="370"/>
      <c r="I17" s="370"/>
      <c r="J17" s="370"/>
      <c r="K17" s="370"/>
      <c r="L17" s="370"/>
      <c r="M17" s="370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/>
      <c r="AB17" s="370"/>
      <c r="AC17" s="370"/>
      <c r="AD17" s="370"/>
      <c r="AE17" s="370"/>
      <c r="AF17" s="370"/>
      <c r="AG17" s="862"/>
    </row>
    <row r="18" spans="1:33">
      <c r="A18" s="4405" t="s">
        <v>179</v>
      </c>
      <c r="B18" s="4529"/>
      <c r="C18" s="4529"/>
      <c r="D18" s="1002"/>
      <c r="E18" s="1002"/>
      <c r="F18" s="1002"/>
      <c r="G18" s="1002"/>
      <c r="H18" s="1002"/>
      <c r="I18" s="1002"/>
      <c r="J18" s="1002"/>
      <c r="K18" s="1002"/>
      <c r="L18" s="1002"/>
      <c r="M18" s="1002"/>
      <c r="N18" s="1002"/>
      <c r="O18" s="1002"/>
      <c r="P18" s="1002"/>
      <c r="Q18" s="1002"/>
      <c r="R18" s="1002"/>
      <c r="S18" s="1002"/>
      <c r="T18" s="1002"/>
      <c r="U18" s="1002"/>
      <c r="V18" s="1002"/>
      <c r="W18" s="1002"/>
      <c r="X18" s="1002"/>
      <c r="Y18" s="1002"/>
      <c r="Z18" s="1002"/>
      <c r="AA18" s="1002"/>
      <c r="AB18" s="1002"/>
      <c r="AC18" s="1002"/>
      <c r="AD18" s="1002"/>
      <c r="AE18" s="1002"/>
      <c r="AF18" s="1002"/>
      <c r="AG18" s="1217"/>
    </row>
    <row r="19" spans="1:33">
      <c r="A19" s="4399" t="s">
        <v>26</v>
      </c>
      <c r="B19" s="4316"/>
      <c r="C19" s="4316"/>
      <c r="D19" s="363" t="s">
        <v>26</v>
      </c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/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G19" s="1435"/>
    </row>
    <row r="20" spans="1:33">
      <c r="A20" s="4629" t="s">
        <v>322</v>
      </c>
      <c r="B20" s="4318"/>
      <c r="C20" s="4318"/>
      <c r="D20" s="363"/>
      <c r="E20" s="363"/>
      <c r="F20" s="363"/>
      <c r="G20" s="363"/>
      <c r="H20" s="363"/>
      <c r="I20" s="363"/>
      <c r="J20" s="363"/>
      <c r="K20" s="363"/>
      <c r="L20" s="363"/>
      <c r="M20" s="363"/>
      <c r="N20" s="363"/>
      <c r="O20" s="363"/>
      <c r="P20" s="363"/>
      <c r="Q20" s="363"/>
      <c r="R20" s="363"/>
      <c r="S20" s="363"/>
      <c r="T20" s="363"/>
      <c r="U20" s="363"/>
      <c r="V20" s="363"/>
      <c r="W20" s="363"/>
      <c r="X20" s="363"/>
      <c r="Y20" s="363"/>
      <c r="Z20" s="363"/>
      <c r="AA20" s="363"/>
      <c r="AB20" s="363"/>
      <c r="AC20" s="363"/>
      <c r="AD20" s="363"/>
      <c r="AE20" s="363"/>
      <c r="AF20" s="363"/>
      <c r="AG20" s="863"/>
    </row>
    <row r="21" spans="1:33">
      <c r="A21" s="4356" t="s">
        <v>64</v>
      </c>
      <c r="B21" s="4626"/>
      <c r="C21" s="4626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4602" t="s">
        <v>457</v>
      </c>
      <c r="U21" s="4603"/>
      <c r="V21" s="4603"/>
      <c r="W21" s="4603"/>
      <c r="X21" s="4603"/>
      <c r="Y21" s="4603"/>
      <c r="Z21" s="4603"/>
      <c r="AA21" s="4603"/>
      <c r="AB21" s="4603"/>
      <c r="AC21" s="4603"/>
      <c r="AD21" s="4509"/>
      <c r="AE21" s="770"/>
      <c r="AF21" s="770"/>
      <c r="AG21" s="867"/>
    </row>
    <row r="22" spans="1:33" ht="5.25" customHeight="1">
      <c r="A22" s="1219"/>
      <c r="B22" s="1219"/>
      <c r="C22" s="1219"/>
      <c r="D22" s="1220"/>
      <c r="E22" s="832"/>
      <c r="F22" s="832"/>
      <c r="G22" s="1221"/>
      <c r="H22" s="832"/>
      <c r="I22" s="832"/>
      <c r="J22" s="832"/>
      <c r="K22" s="832"/>
      <c r="L22" s="832"/>
      <c r="M22" s="832"/>
      <c r="N22" s="1219"/>
      <c r="O22" s="1219"/>
      <c r="P22" s="1219"/>
      <c r="Q22" s="1219"/>
      <c r="R22" s="1219"/>
      <c r="S22" s="1219"/>
      <c r="T22" s="1219"/>
      <c r="U22" s="1219"/>
      <c r="V22" s="1219"/>
      <c r="W22" s="1219"/>
      <c r="X22" s="1219"/>
      <c r="Y22" s="1219"/>
      <c r="Z22" s="1219"/>
      <c r="AA22" s="1219"/>
      <c r="AB22" s="1219"/>
      <c r="AC22" s="1219"/>
      <c r="AD22" s="1219"/>
      <c r="AE22" s="1219"/>
      <c r="AF22" s="1219"/>
      <c r="AG22" s="1222"/>
    </row>
    <row r="23" spans="1:33" ht="15.75">
      <c r="A23" s="1437" t="s">
        <v>66</v>
      </c>
      <c r="B23" s="1203" t="s">
        <v>67</v>
      </c>
      <c r="C23" s="1041" t="s">
        <v>68</v>
      </c>
      <c r="D23" s="1001"/>
      <c r="E23" s="1202"/>
      <c r="F23" s="1013"/>
      <c r="G23" s="1013"/>
      <c r="H23" s="1013"/>
      <c r="I23" s="1013"/>
      <c r="J23" s="1013"/>
      <c r="K23" s="1013"/>
      <c r="L23" s="1013"/>
      <c r="M23" s="1002"/>
      <c r="N23" s="1002"/>
      <c r="O23" s="1002"/>
      <c r="P23" s="1002"/>
      <c r="Q23" s="1002"/>
      <c r="R23" s="1002"/>
      <c r="S23" s="1409"/>
      <c r="T23" s="1017"/>
      <c r="U23" s="1410"/>
      <c r="V23" s="1410"/>
      <c r="W23" s="1410"/>
      <c r="X23" s="1410"/>
      <c r="Y23" s="1410"/>
      <c r="Z23" s="1410"/>
      <c r="AA23" s="1410"/>
      <c r="AB23" s="1410"/>
      <c r="AC23" s="4604" t="s">
        <v>452</v>
      </c>
      <c r="AD23" s="4604"/>
      <c r="AE23" s="1406"/>
      <c r="AF23" s="1002"/>
      <c r="AG23" s="1217"/>
    </row>
    <row r="24" spans="1:33" ht="15.75">
      <c r="A24" s="3621" t="s">
        <v>73</v>
      </c>
      <c r="B24" s="1204" t="s">
        <v>67</v>
      </c>
      <c r="C24" s="1223" t="s">
        <v>74</v>
      </c>
      <c r="D24" s="1005"/>
      <c r="E24" s="1407"/>
      <c r="F24" s="1381"/>
      <c r="G24" s="1381"/>
      <c r="H24" s="1381"/>
      <c r="I24" s="1381"/>
      <c r="J24" s="1381"/>
      <c r="K24" s="906"/>
      <c r="L24" s="1381"/>
      <c r="M24" s="438"/>
      <c r="N24" s="438"/>
      <c r="O24" s="438"/>
      <c r="P24" s="371"/>
      <c r="Q24" s="438"/>
      <c r="R24" s="438"/>
      <c r="S24" s="1199" t="s">
        <v>55</v>
      </c>
      <c r="T24" s="4605" t="s">
        <v>457</v>
      </c>
      <c r="U24" s="4606"/>
      <c r="V24" s="4606"/>
      <c r="W24" s="4606"/>
      <c r="X24" s="4606"/>
      <c r="Y24" s="4606"/>
      <c r="Z24" s="4606"/>
      <c r="AA24" s="4606"/>
      <c r="AB24" s="4607"/>
      <c r="AC24" s="1199" t="s">
        <v>55</v>
      </c>
      <c r="AD24" s="1411"/>
      <c r="AE24" s="1408"/>
      <c r="AF24" s="438"/>
      <c r="AG24" s="866"/>
    </row>
    <row r="25" spans="1:33" ht="15.75">
      <c r="A25" s="1438"/>
      <c r="B25" s="1204" t="s">
        <v>67</v>
      </c>
      <c r="C25" s="1223" t="s">
        <v>458</v>
      </c>
      <c r="D25" s="1015"/>
      <c r="E25" s="370"/>
      <c r="F25" s="370"/>
      <c r="G25" s="1377"/>
      <c r="H25" s="852"/>
      <c r="I25" s="897"/>
      <c r="J25" s="1377"/>
      <c r="K25" s="48"/>
      <c r="L25" s="852"/>
      <c r="M25" s="370"/>
      <c r="N25" s="1379"/>
      <c r="O25" s="370"/>
      <c r="P25" s="363"/>
      <c r="Q25" s="897"/>
      <c r="R25" s="1377"/>
      <c r="S25" s="48"/>
      <c r="T25" s="363"/>
      <c r="U25" s="852"/>
      <c r="V25" s="370"/>
      <c r="W25" s="370"/>
      <c r="X25" s="370"/>
      <c r="Y25" s="370"/>
      <c r="Z25" s="1377"/>
      <c r="AA25" s="852"/>
      <c r="AB25" s="370"/>
      <c r="AC25" s="1243" t="s">
        <v>459</v>
      </c>
      <c r="AD25" s="1243"/>
      <c r="AE25" s="438"/>
      <c r="AF25" s="370"/>
      <c r="AG25" s="862"/>
    </row>
    <row r="26" spans="1:33">
      <c r="A26" s="4407" t="s">
        <v>84</v>
      </c>
      <c r="B26" s="35" t="s">
        <v>85</v>
      </c>
      <c r="C26" s="954" t="s">
        <v>86</v>
      </c>
      <c r="D26" s="4598" t="s">
        <v>417</v>
      </c>
      <c r="E26" s="4599"/>
      <c r="F26" s="4599"/>
      <c r="G26" s="4599"/>
      <c r="H26" s="4599"/>
      <c r="I26" s="4599"/>
      <c r="J26" s="4599"/>
      <c r="K26" s="4599"/>
      <c r="L26" s="4599"/>
      <c r="M26" s="4599"/>
      <c r="N26" s="4599"/>
      <c r="O26" s="4599"/>
      <c r="P26" s="4599"/>
      <c r="Q26" s="4599"/>
      <c r="R26" s="4599"/>
      <c r="S26" s="4599"/>
      <c r="T26" s="4599"/>
      <c r="U26" s="4436" t="s">
        <v>460</v>
      </c>
      <c r="V26" s="4503"/>
      <c r="W26" s="1002"/>
      <c r="X26" s="1002"/>
      <c r="Y26" s="1002"/>
      <c r="Z26" s="1002"/>
      <c r="AA26" s="1002"/>
      <c r="AB26" s="1002"/>
      <c r="AC26" s="1002"/>
      <c r="AD26" s="1002"/>
      <c r="AE26" s="1002"/>
      <c r="AF26" s="1002"/>
      <c r="AG26" s="1217"/>
    </row>
    <row r="27" spans="1:33">
      <c r="A27" s="4407"/>
      <c r="B27" s="32" t="s">
        <v>87</v>
      </c>
      <c r="C27" s="951" t="s">
        <v>88</v>
      </c>
      <c r="D27" s="860"/>
      <c r="E27" s="363"/>
      <c r="F27" s="363"/>
      <c r="G27" s="363"/>
      <c r="H27" s="363"/>
      <c r="I27" s="363"/>
      <c r="J27" s="363"/>
      <c r="K27" s="363"/>
      <c r="L27" s="363"/>
      <c r="M27" s="363"/>
      <c r="N27" s="363"/>
      <c r="O27" s="363"/>
      <c r="P27" s="363"/>
      <c r="Q27" s="363"/>
      <c r="R27" s="363"/>
      <c r="S27" s="4333" t="s">
        <v>461</v>
      </c>
      <c r="T27" s="4575"/>
      <c r="U27" s="4575"/>
      <c r="V27" s="4576"/>
      <c r="W27" s="363"/>
      <c r="X27" s="363"/>
      <c r="Y27" s="363"/>
      <c r="Z27" s="363"/>
      <c r="AA27" s="363"/>
      <c r="AB27" s="363"/>
      <c r="AC27" s="363"/>
      <c r="AD27" s="363"/>
      <c r="AE27" s="363"/>
      <c r="AF27" s="363"/>
      <c r="AG27" s="863"/>
    </row>
    <row r="28" spans="1:33">
      <c r="A28" s="4627"/>
      <c r="B28" s="39" t="s">
        <v>90</v>
      </c>
      <c r="C28" s="955" t="s">
        <v>91</v>
      </c>
      <c r="D28" s="1007"/>
      <c r="E28" s="770"/>
      <c r="F28" s="770"/>
      <c r="G28" s="770"/>
      <c r="H28" s="770"/>
      <c r="I28" s="770"/>
      <c r="J28" s="770"/>
      <c r="K28" s="770"/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  <c r="AF28" s="770"/>
      <c r="AG28" s="867"/>
    </row>
    <row r="29" spans="1:33" ht="17.25" customHeight="1">
      <c r="A29" s="4619" t="s">
        <v>92</v>
      </c>
      <c r="B29" s="1048" t="s">
        <v>95</v>
      </c>
      <c r="C29" s="1055" t="s">
        <v>243</v>
      </c>
      <c r="D29" s="1014"/>
      <c r="E29" s="906"/>
      <c r="F29" s="906"/>
      <c r="G29" s="906"/>
      <c r="H29" s="536"/>
      <c r="I29" s="536"/>
      <c r="J29" s="4573" t="s">
        <v>453</v>
      </c>
      <c r="K29" s="4573"/>
      <c r="L29" s="536"/>
      <c r="M29" s="371"/>
      <c r="N29" s="371"/>
      <c r="O29" s="371"/>
      <c r="P29" s="371"/>
      <c r="Q29" s="371"/>
      <c r="R29" s="371"/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4577" t="s">
        <v>452</v>
      </c>
      <c r="AD29" s="4577"/>
      <c r="AE29" s="1413" t="s">
        <v>456</v>
      </c>
      <c r="AF29" s="906"/>
      <c r="AG29" s="1433"/>
    </row>
    <row r="30" spans="1:33" ht="15.75">
      <c r="A30" s="4425"/>
      <c r="B30" s="953" t="s">
        <v>326</v>
      </c>
      <c r="C30" s="1372" t="s">
        <v>327</v>
      </c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1374"/>
    </row>
    <row r="31" spans="1:33" ht="15.75">
      <c r="A31" s="4628"/>
      <c r="B31" s="1049" t="s">
        <v>97</v>
      </c>
      <c r="C31" s="1373" t="s">
        <v>98</v>
      </c>
      <c r="D31" s="1375"/>
      <c r="E31" s="770"/>
      <c r="F31" s="770"/>
      <c r="G31" s="1376"/>
      <c r="H31" s="1376"/>
      <c r="I31" s="1376"/>
      <c r="J31" s="1376"/>
      <c r="K31" s="1376"/>
      <c r="L31" s="1376"/>
      <c r="M31" s="770"/>
      <c r="N31" s="770"/>
      <c r="O31" s="770"/>
      <c r="P31" s="770"/>
      <c r="Q31" s="770"/>
      <c r="R31" s="770"/>
      <c r="S31" s="4443" t="s">
        <v>462</v>
      </c>
      <c r="T31" s="4443"/>
      <c r="U31" s="4443"/>
      <c r="V31" s="4443"/>
      <c r="W31" s="4443"/>
      <c r="X31" s="4443"/>
      <c r="Y31" s="4443"/>
      <c r="Z31" s="770"/>
      <c r="AA31" s="770"/>
      <c r="AB31" s="770"/>
      <c r="AC31" s="770"/>
      <c r="AD31" s="770"/>
      <c r="AE31" s="770"/>
      <c r="AF31" s="770"/>
      <c r="AG31" s="867"/>
    </row>
    <row r="32" spans="1:33">
      <c r="A32" s="4619" t="s">
        <v>99</v>
      </c>
      <c r="B32" s="35" t="s">
        <v>100</v>
      </c>
      <c r="C32" s="948" t="s">
        <v>101</v>
      </c>
      <c r="D32" s="435"/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/>
      <c r="Q32" s="371"/>
      <c r="R32" s="371"/>
      <c r="S32" s="371"/>
      <c r="T32" s="536"/>
      <c r="U32" s="536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864"/>
    </row>
    <row r="33" spans="1:33" ht="15.75">
      <c r="A33" s="4425"/>
      <c r="B33" s="32" t="s">
        <v>77</v>
      </c>
      <c r="C33" s="813" t="s">
        <v>245</v>
      </c>
      <c r="D33" s="4416" t="s">
        <v>423</v>
      </c>
      <c r="E33" s="4411"/>
      <c r="F33" s="4411"/>
      <c r="G33" s="4334"/>
      <c r="H33" s="363"/>
      <c r="I33" s="363"/>
      <c r="J33" s="363"/>
      <c r="K33" s="363"/>
      <c r="L33" s="363"/>
      <c r="M33" s="363"/>
      <c r="N33" s="363"/>
      <c r="O33" s="363"/>
      <c r="P33" s="363"/>
      <c r="Q33" s="363"/>
      <c r="R33" s="363"/>
      <c r="S33" s="3573" t="s">
        <v>55</v>
      </c>
      <c r="T33" s="4658" t="s">
        <v>457</v>
      </c>
      <c r="U33" s="4657"/>
      <c r="V33" s="4657"/>
      <c r="W33" s="4657"/>
      <c r="X33" s="4657"/>
      <c r="Y33" s="4657"/>
      <c r="Z33" s="4657"/>
      <c r="AA33" s="4657"/>
      <c r="AB33" s="4657"/>
      <c r="AC33" s="4657"/>
      <c r="AD33" s="4657"/>
      <c r="AE33" s="3573" t="s">
        <v>55</v>
      </c>
      <c r="AF33" s="363"/>
      <c r="AG33" s="863"/>
    </row>
    <row r="34" spans="1:33" ht="15.75">
      <c r="A34" s="4425"/>
      <c r="B34" s="32" t="s">
        <v>95</v>
      </c>
      <c r="C34" s="813" t="s">
        <v>105</v>
      </c>
      <c r="D34" s="860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/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/>
      <c r="AD34" s="3573" t="s">
        <v>55</v>
      </c>
      <c r="AE34" s="4650" t="s">
        <v>463</v>
      </c>
      <c r="AF34" s="4651"/>
      <c r="AG34" s="1434" t="s">
        <v>55</v>
      </c>
    </row>
    <row r="35" spans="1:33" ht="15.75">
      <c r="A35" s="4425"/>
      <c r="B35" s="32" t="s">
        <v>106</v>
      </c>
      <c r="C35" s="813" t="s">
        <v>107</v>
      </c>
      <c r="D35" s="860"/>
      <c r="E35" s="1256"/>
      <c r="F35" s="363"/>
      <c r="G35" s="363"/>
      <c r="H35" s="363"/>
      <c r="I35" s="363"/>
      <c r="J35" s="363"/>
      <c r="K35" s="363"/>
      <c r="L35" s="363"/>
      <c r="M35" s="363"/>
      <c r="N35" s="363"/>
      <c r="O35" s="363"/>
      <c r="P35" s="363"/>
      <c r="Q35" s="363"/>
      <c r="R35" s="363"/>
      <c r="S35" s="884" t="s">
        <v>55</v>
      </c>
      <c r="T35" s="4656" t="s">
        <v>457</v>
      </c>
      <c r="U35" s="4657"/>
      <c r="V35" s="4657"/>
      <c r="W35" s="4657"/>
      <c r="X35" s="4657"/>
      <c r="Y35" s="4657"/>
      <c r="Z35" s="4657"/>
      <c r="AA35" s="4657"/>
      <c r="AB35" s="4657"/>
      <c r="AC35" s="4657"/>
      <c r="AD35" s="4657"/>
      <c r="AE35" s="884" t="s">
        <v>55</v>
      </c>
      <c r="AF35" s="363"/>
      <c r="AG35" s="863"/>
    </row>
    <row r="36" spans="1:33">
      <c r="A36" s="4426"/>
      <c r="B36" s="39" t="s">
        <v>108</v>
      </c>
      <c r="C36" s="814" t="s">
        <v>109</v>
      </c>
      <c r="D36" s="977"/>
      <c r="E36" s="370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852"/>
      <c r="U36" s="852"/>
      <c r="V36" s="370"/>
      <c r="W36" s="4423" t="s">
        <v>464</v>
      </c>
      <c r="X36" s="4654"/>
      <c r="Y36" s="4654"/>
      <c r="Z36" s="4654"/>
      <c r="AA36" s="4654"/>
      <c r="AB36" s="4655"/>
      <c r="AC36" s="370"/>
      <c r="AD36" s="370"/>
      <c r="AG36" s="862"/>
    </row>
    <row r="37" spans="1:33">
      <c r="A37" s="4619" t="s">
        <v>110</v>
      </c>
      <c r="B37" s="812" t="s">
        <v>77</v>
      </c>
      <c r="C37" s="893" t="s">
        <v>201</v>
      </c>
      <c r="D37" s="1008"/>
      <c r="E37" s="12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4599" t="s">
        <v>465</v>
      </c>
      <c r="R37" s="4599"/>
      <c r="S37" s="4599"/>
      <c r="T37" s="4599"/>
      <c r="U37" s="4599"/>
      <c r="V37" s="4599"/>
      <c r="W37" s="4599"/>
      <c r="X37" s="4599"/>
      <c r="Y37" s="4599"/>
      <c r="Z37" s="4599"/>
      <c r="AA37" s="4599"/>
      <c r="AB37" s="4599"/>
      <c r="AC37" s="4599"/>
      <c r="AD37" s="4599"/>
      <c r="AE37" s="4599"/>
      <c r="AF37" s="4599"/>
      <c r="AG37" s="4653"/>
    </row>
    <row r="38" spans="1:33">
      <c r="A38" s="4425"/>
      <c r="B38" s="948" t="s">
        <v>248</v>
      </c>
      <c r="C38" s="1370" t="s">
        <v>249</v>
      </c>
      <c r="D38" s="4514" t="s">
        <v>428</v>
      </c>
      <c r="E38" s="4475"/>
      <c r="F38" s="4475"/>
      <c r="G38" s="4475"/>
      <c r="H38" s="363"/>
      <c r="I38" s="363"/>
      <c r="J38" s="363"/>
      <c r="K38" s="363"/>
      <c r="L38" s="363"/>
      <c r="M38" s="363"/>
      <c r="N38" s="363"/>
      <c r="O38" s="363"/>
      <c r="P38" s="363"/>
      <c r="Q38" s="363"/>
      <c r="R38" s="363"/>
      <c r="S38" s="363"/>
      <c r="T38" s="363"/>
      <c r="U38" s="363"/>
      <c r="V38" s="363"/>
      <c r="W38" s="363"/>
      <c r="X38" s="363"/>
      <c r="Y38" s="363"/>
      <c r="Z38" s="363"/>
      <c r="AA38" s="363"/>
      <c r="AB38" s="363"/>
      <c r="AC38" s="363"/>
      <c r="AD38" s="363"/>
      <c r="AE38" s="363"/>
      <c r="AF38" s="363"/>
      <c r="AG38" s="863"/>
    </row>
    <row r="39" spans="1:33" ht="15.75">
      <c r="A39" s="4425"/>
      <c r="B39" s="813" t="s">
        <v>113</v>
      </c>
      <c r="C39" s="306" t="s">
        <v>114</v>
      </c>
      <c r="D39" s="4514" t="s">
        <v>466</v>
      </c>
      <c r="E39" s="4475"/>
      <c r="F39" s="4475"/>
      <c r="G39" s="4475"/>
      <c r="H39" s="4475"/>
      <c r="I39" s="363"/>
      <c r="J39" s="363"/>
      <c r="K39" s="363"/>
      <c r="L39" s="363"/>
      <c r="M39" s="363"/>
      <c r="N39" s="363"/>
      <c r="O39" s="363"/>
      <c r="P39" s="363"/>
      <c r="Q39" s="363"/>
      <c r="R39" s="380"/>
      <c r="S39" s="380"/>
      <c r="T39" s="380"/>
      <c r="U39" s="380"/>
      <c r="V39" s="380"/>
      <c r="W39" s="380"/>
      <c r="X39" s="380"/>
      <c r="Y39" s="380"/>
      <c r="Z39" s="380"/>
      <c r="AA39" s="380"/>
      <c r="AB39" s="380"/>
      <c r="AC39" s="380"/>
      <c r="AD39" s="380"/>
      <c r="AE39" s="380"/>
      <c r="AF39" s="380"/>
      <c r="AG39" s="803"/>
    </row>
    <row r="40" spans="1:33">
      <c r="A40" s="4425"/>
      <c r="B40" s="813" t="s">
        <v>113</v>
      </c>
      <c r="C40" s="676" t="s">
        <v>116</v>
      </c>
      <c r="D40" s="860"/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/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/>
      <c r="AC40" s="363"/>
      <c r="AD40" s="363"/>
      <c r="AE40" s="363"/>
      <c r="AF40" s="363"/>
      <c r="AG40" s="863"/>
    </row>
    <row r="41" spans="1:33">
      <c r="A41" s="4425"/>
      <c r="B41" s="813" t="s">
        <v>118</v>
      </c>
      <c r="C41" s="676" t="s">
        <v>119</v>
      </c>
      <c r="D41" s="4514" t="s">
        <v>467</v>
      </c>
      <c r="E41" s="4475"/>
      <c r="F41" s="4475"/>
      <c r="G41" s="4475"/>
      <c r="H41" s="4475"/>
      <c r="I41" s="4475"/>
      <c r="J41" s="4475"/>
      <c r="K41" s="4475"/>
      <c r="L41" s="4475"/>
      <c r="M41" s="363"/>
      <c r="N41" s="363"/>
      <c r="O41" s="363"/>
      <c r="P41" s="363"/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/>
      <c r="AC41" s="363"/>
      <c r="AD41" s="363"/>
      <c r="AE41" s="363"/>
      <c r="AF41" s="363"/>
      <c r="AG41" s="863"/>
    </row>
    <row r="42" spans="1:33">
      <c r="A42" s="4425"/>
      <c r="B42" s="813" t="s">
        <v>120</v>
      </c>
      <c r="C42" s="918" t="s">
        <v>121</v>
      </c>
      <c r="D42" s="4416" t="s">
        <v>468</v>
      </c>
      <c r="E42" s="4411"/>
      <c r="F42" s="4411"/>
      <c r="G42" s="4411"/>
      <c r="H42" s="4411"/>
      <c r="I42" s="4411"/>
      <c r="J42" s="4411"/>
      <c r="K42" s="4411"/>
      <c r="L42" s="4334"/>
      <c r="M42" s="4286" t="s">
        <v>469</v>
      </c>
      <c r="N42" s="4286"/>
      <c r="O42" s="4286"/>
      <c r="P42" s="4286"/>
      <c r="Q42" s="4286"/>
      <c r="R42" s="4286"/>
      <c r="S42" s="4286"/>
      <c r="T42" s="4286"/>
      <c r="U42" s="4286"/>
      <c r="V42" s="4286"/>
      <c r="W42" s="4286"/>
      <c r="X42" s="4286"/>
      <c r="Y42" s="4286"/>
      <c r="Z42" s="4286"/>
      <c r="AA42" s="4286"/>
      <c r="AB42" s="4286"/>
      <c r="AC42" s="4286"/>
      <c r="AD42" s="4286"/>
      <c r="AE42" s="4286"/>
      <c r="AF42" s="4286"/>
      <c r="AG42" s="4646"/>
    </row>
    <row r="43" spans="1:33">
      <c r="A43" s="4425"/>
      <c r="B43" s="813" t="s">
        <v>122</v>
      </c>
      <c r="C43" s="929" t="s">
        <v>470</v>
      </c>
      <c r="D43" s="975"/>
      <c r="E43" s="1328"/>
      <c r="F43" s="370"/>
      <c r="G43" s="370"/>
      <c r="H43" s="370"/>
      <c r="I43" s="370"/>
      <c r="J43" s="370"/>
      <c r="K43" s="370"/>
      <c r="L43" s="370"/>
      <c r="M43" s="370"/>
      <c r="N43" s="370"/>
      <c r="O43" s="363"/>
      <c r="P43" s="363"/>
      <c r="Q43" s="363"/>
      <c r="R43" s="363"/>
      <c r="S43" s="363"/>
      <c r="T43" s="363"/>
      <c r="U43" s="363"/>
      <c r="V43" s="363"/>
      <c r="W43" s="363"/>
      <c r="X43" s="363"/>
      <c r="Y43" s="363"/>
      <c r="Z43" s="363"/>
      <c r="AA43" s="363"/>
      <c r="AB43" s="363"/>
      <c r="AC43" s="363"/>
      <c r="AD43" s="363"/>
      <c r="AE43" s="363"/>
      <c r="AF43" s="363"/>
      <c r="AG43" s="863"/>
    </row>
    <row r="44" spans="1:33">
      <c r="A44" s="4425"/>
      <c r="B44" s="813" t="s">
        <v>124</v>
      </c>
      <c r="C44" s="949" t="s">
        <v>125</v>
      </c>
      <c r="D44" s="1398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1399"/>
      <c r="P44" s="363"/>
      <c r="Q44" s="363"/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/>
      <c r="AE44" s="363"/>
      <c r="AF44" s="1427"/>
      <c r="AG44" s="863"/>
    </row>
    <row r="45" spans="1:33">
      <c r="A45" s="4425"/>
      <c r="B45" s="813" t="s">
        <v>124</v>
      </c>
      <c r="C45" s="676" t="s">
        <v>126</v>
      </c>
      <c r="D45" s="975"/>
      <c r="E45" s="795"/>
      <c r="F45" s="795"/>
      <c r="G45" s="795"/>
      <c r="H45" s="1397"/>
      <c r="I45" s="1397"/>
      <c r="J45" s="1397"/>
      <c r="K45" s="4645" t="s">
        <v>471</v>
      </c>
      <c r="L45" s="4645"/>
      <c r="M45" s="4645"/>
      <c r="N45" s="4645"/>
      <c r="O45" s="4475"/>
      <c r="P45" s="4475"/>
      <c r="Q45" s="1388"/>
      <c r="R45" s="1388"/>
      <c r="S45" s="1388"/>
      <c r="T45" s="1388"/>
      <c r="U45" s="1388"/>
      <c r="V45" s="1388"/>
      <c r="W45" s="1388"/>
      <c r="X45" s="1388"/>
      <c r="Y45" s="1388"/>
      <c r="Z45" s="363"/>
      <c r="AA45" s="363"/>
      <c r="AB45" s="363"/>
      <c r="AC45" s="4286" t="s">
        <v>164</v>
      </c>
      <c r="AD45" s="4286"/>
      <c r="AE45" s="4286"/>
      <c r="AF45" s="4286"/>
      <c r="AG45" s="4646"/>
    </row>
    <row r="46" spans="1:33" ht="15.75" customHeight="1">
      <c r="A46" s="4425"/>
      <c r="B46" s="813" t="s">
        <v>127</v>
      </c>
      <c r="C46" s="676" t="s">
        <v>128</v>
      </c>
      <c r="D46" s="4514" t="s">
        <v>472</v>
      </c>
      <c r="E46" s="4649"/>
      <c r="F46" s="4649"/>
      <c r="G46" s="4649"/>
      <c r="H46" s="4649"/>
      <c r="I46" s="4649"/>
      <c r="J46" s="4649"/>
      <c r="K46" s="4649"/>
      <c r="L46" s="4649"/>
      <c r="M46" s="370"/>
      <c r="N46" s="370"/>
      <c r="O46" s="363"/>
      <c r="P46" s="380"/>
      <c r="Q46" s="380"/>
      <c r="R46" s="363"/>
      <c r="S46" s="363"/>
      <c r="T46" s="380"/>
      <c r="U46" s="380"/>
      <c r="V46" s="363"/>
      <c r="W46" s="363"/>
      <c r="X46" s="363"/>
      <c r="Y46" s="363"/>
      <c r="Z46" s="363"/>
      <c r="AA46" s="363"/>
      <c r="AB46" s="363"/>
      <c r="AC46" s="4577" t="s">
        <v>452</v>
      </c>
      <c r="AD46" s="4577"/>
      <c r="AE46" s="1413" t="s">
        <v>456</v>
      </c>
      <c r="AF46" s="363"/>
      <c r="AG46" s="863"/>
    </row>
    <row r="47" spans="1:33">
      <c r="A47" s="4425"/>
      <c r="B47" s="813" t="s">
        <v>129</v>
      </c>
      <c r="C47" s="676" t="s">
        <v>130</v>
      </c>
      <c r="D47" s="1398"/>
      <c r="E47" s="380"/>
      <c r="F47" s="380"/>
      <c r="G47" s="380"/>
      <c r="H47" s="380"/>
      <c r="I47" s="852"/>
      <c r="J47" s="852"/>
      <c r="K47" s="852"/>
      <c r="L47" s="852"/>
      <c r="M47" s="852"/>
      <c r="N47" s="852"/>
      <c r="O47" s="4647" t="s">
        <v>473</v>
      </c>
      <c r="P47" s="4648"/>
      <c r="Q47" s="4648"/>
      <c r="R47" s="4648"/>
      <c r="S47" s="4648"/>
      <c r="T47" s="4648"/>
      <c r="U47" s="4648"/>
      <c r="V47" s="4648"/>
      <c r="W47" s="4648"/>
      <c r="X47" s="4648"/>
      <c r="Y47" s="4648"/>
      <c r="Z47" s="4648"/>
      <c r="AA47" s="4648"/>
      <c r="AB47" s="4648"/>
      <c r="AC47" s="4648"/>
      <c r="AD47" s="370"/>
      <c r="AE47" s="370"/>
      <c r="AF47" s="1439"/>
      <c r="AG47" s="862"/>
    </row>
    <row r="48" spans="1:33" s="1" customFormat="1">
      <c r="A48" s="4425"/>
      <c r="B48" s="1424" t="s">
        <v>129</v>
      </c>
      <c r="C48" s="1425" t="s">
        <v>474</v>
      </c>
      <c r="D48" s="1428"/>
      <c r="E48" s="669"/>
      <c r="F48" s="669"/>
      <c r="G48" s="669"/>
      <c r="H48" s="1429"/>
      <c r="I48" s="544"/>
      <c r="J48" s="544"/>
      <c r="K48" s="1430"/>
      <c r="L48" s="1265"/>
      <c r="M48" s="1265"/>
      <c r="N48" s="1265"/>
      <c r="O48" s="1431"/>
      <c r="P48" s="1426"/>
      <c r="Q48" s="1426"/>
      <c r="R48" s="1426"/>
      <c r="S48" s="1426"/>
      <c r="T48" s="1426"/>
      <c r="U48" s="1426"/>
      <c r="V48" s="1426"/>
      <c r="W48" s="1426"/>
      <c r="X48" s="1426"/>
      <c r="Y48" s="1426"/>
      <c r="Z48" s="1426"/>
      <c r="AA48" s="1426"/>
      <c r="AB48" s="1426"/>
      <c r="AC48" s="1426"/>
      <c r="AD48" s="363"/>
      <c r="AE48" s="363"/>
      <c r="AF48" s="1427"/>
      <c r="AG48" s="863"/>
    </row>
    <row r="49" spans="1:33">
      <c r="A49" s="4425"/>
      <c r="B49" s="813" t="s">
        <v>134</v>
      </c>
      <c r="C49" s="676" t="s">
        <v>135</v>
      </c>
      <c r="D49" s="860"/>
      <c r="E49" s="1042"/>
      <c r="F49" s="371"/>
      <c r="G49" s="371"/>
      <c r="H49" s="1400"/>
      <c r="I49" s="374"/>
      <c r="J49" s="374"/>
      <c r="K49" s="374"/>
      <c r="L49" s="795"/>
      <c r="M49" s="4496" t="s">
        <v>469</v>
      </c>
      <c r="N49" s="4496"/>
      <c r="O49" s="4496"/>
      <c r="P49" s="4496"/>
      <c r="Q49" s="4496"/>
      <c r="R49" s="4496"/>
      <c r="S49" s="4496"/>
      <c r="T49" s="4496"/>
      <c r="U49" s="4496"/>
      <c r="V49" s="4496"/>
      <c r="W49" s="4496"/>
      <c r="X49" s="4496"/>
      <c r="Y49" s="4496"/>
      <c r="Z49" s="4496"/>
      <c r="AA49" s="4496"/>
      <c r="AB49" s="4496"/>
      <c r="AC49" s="4496"/>
      <c r="AD49" s="4496"/>
      <c r="AE49" s="4496"/>
      <c r="AF49" s="4652"/>
      <c r="AG49" s="3629" t="s">
        <v>325</v>
      </c>
    </row>
    <row r="50" spans="1:33">
      <c r="A50" s="4425"/>
      <c r="B50" s="813" t="s">
        <v>333</v>
      </c>
      <c r="C50" s="676" t="s">
        <v>334</v>
      </c>
      <c r="D50" s="860"/>
      <c r="E50" s="363"/>
      <c r="F50" s="363"/>
      <c r="G50" s="363"/>
      <c r="H50" s="363"/>
      <c r="I50" s="371"/>
      <c r="J50" s="371"/>
      <c r="K50" s="438"/>
      <c r="L50" s="438"/>
      <c r="M50" s="370"/>
      <c r="N50" s="370"/>
      <c r="O50" s="370"/>
      <c r="P50" s="370"/>
      <c r="Q50" s="363"/>
      <c r="R50" s="363"/>
      <c r="S50" s="363"/>
      <c r="T50" s="363"/>
      <c r="U50" s="363"/>
      <c r="V50" s="363"/>
      <c r="W50" s="363"/>
      <c r="X50" s="363"/>
      <c r="Y50" s="363"/>
      <c r="Z50" s="363"/>
      <c r="AA50" s="363"/>
      <c r="AB50" s="363"/>
      <c r="AC50" s="363"/>
      <c r="AD50" s="363"/>
      <c r="AE50" s="363"/>
      <c r="AF50" s="363"/>
      <c r="AG50" s="863"/>
    </row>
    <row r="51" spans="1:33">
      <c r="A51" s="4425"/>
      <c r="B51" s="814" t="s">
        <v>131</v>
      </c>
      <c r="C51" s="676" t="s">
        <v>132</v>
      </c>
      <c r="D51" s="977"/>
      <c r="E51" s="968"/>
      <c r="F51" s="968"/>
      <c r="G51" s="968"/>
      <c r="H51" s="968"/>
      <c r="I51" s="968"/>
      <c r="J51" s="968"/>
      <c r="K51" s="4546" t="s">
        <v>475</v>
      </c>
      <c r="L51" s="4546"/>
      <c r="M51" s="4546"/>
      <c r="N51" s="4546"/>
      <c r="O51" s="4546"/>
      <c r="P51" s="4546"/>
      <c r="Q51" s="363"/>
      <c r="R51" s="363"/>
      <c r="S51" s="363"/>
      <c r="T51" s="770"/>
      <c r="U51" s="770"/>
      <c r="V51" s="770"/>
      <c r="W51" s="770"/>
      <c r="X51" s="770"/>
      <c r="Y51" s="770"/>
      <c r="Z51" s="770"/>
      <c r="AA51" s="770"/>
      <c r="AB51" s="770"/>
      <c r="AC51" s="4591" t="s">
        <v>452</v>
      </c>
      <c r="AD51" s="4591"/>
      <c r="AE51" s="4589" t="s">
        <v>164</v>
      </c>
      <c r="AF51" s="4589"/>
      <c r="AG51" s="4590"/>
    </row>
    <row r="52" spans="1:33" ht="15.75">
      <c r="A52" s="4409" t="s">
        <v>136</v>
      </c>
      <c r="B52" s="34" t="s">
        <v>77</v>
      </c>
      <c r="C52" s="31" t="s">
        <v>137</v>
      </c>
      <c r="D52" s="1008"/>
      <c r="E52" s="371"/>
      <c r="F52" s="371"/>
      <c r="G52" s="371"/>
      <c r="H52" s="371"/>
      <c r="I52" s="371"/>
      <c r="J52" s="371"/>
      <c r="K52" s="371"/>
      <c r="L52" s="371"/>
      <c r="M52" s="371"/>
      <c r="N52" s="438"/>
      <c r="O52" s="438"/>
      <c r="P52" s="438"/>
      <c r="Q52" s="438"/>
      <c r="R52" s="438"/>
      <c r="S52" s="1058" t="s">
        <v>55</v>
      </c>
      <c r="T52" s="4512" t="s">
        <v>457</v>
      </c>
      <c r="U52" s="4581"/>
      <c r="V52" s="4581"/>
      <c r="W52" s="4581"/>
      <c r="X52" s="4581"/>
      <c r="Y52" s="4581"/>
      <c r="Z52" s="4581"/>
      <c r="AA52" s="4581"/>
      <c r="AB52" s="4581"/>
      <c r="AC52" s="4581"/>
      <c r="AD52" s="4582"/>
      <c r="AE52" s="809" t="s">
        <v>55</v>
      </c>
      <c r="AF52" s="671"/>
      <c r="AG52" s="862"/>
    </row>
    <row r="53" spans="1:33">
      <c r="A53" s="4407"/>
      <c r="B53" s="29" t="s">
        <v>95</v>
      </c>
      <c r="C53" s="39" t="s">
        <v>139</v>
      </c>
      <c r="D53" s="1015"/>
      <c r="E53" s="370"/>
      <c r="F53" s="370"/>
      <c r="G53" s="370"/>
      <c r="H53" s="370"/>
      <c r="I53" s="370"/>
      <c r="J53" s="370"/>
      <c r="K53" s="370"/>
      <c r="L53" s="370"/>
      <c r="M53" s="671"/>
      <c r="N53" s="363"/>
      <c r="O53" s="363"/>
      <c r="P53" s="363"/>
      <c r="Q53" s="363"/>
      <c r="R53" s="363"/>
      <c r="S53" s="363"/>
      <c r="T53" s="437"/>
      <c r="U53" s="363"/>
      <c r="V53" s="363"/>
      <c r="W53" s="363"/>
      <c r="X53" s="363"/>
      <c r="Y53" s="363"/>
      <c r="Z53" s="363"/>
      <c r="AA53" s="363"/>
      <c r="AB53" s="363"/>
      <c r="AC53" s="363"/>
      <c r="AD53" s="363"/>
      <c r="AE53" s="363"/>
      <c r="AF53" s="363"/>
      <c r="AG53" s="863"/>
    </row>
    <row r="54" spans="1:33">
      <c r="A54" s="4633"/>
      <c r="B54" s="928" t="s">
        <v>142</v>
      </c>
      <c r="C54" s="1393" t="s">
        <v>143</v>
      </c>
      <c r="D54" s="1009"/>
      <c r="E54" s="770"/>
      <c r="F54" s="770"/>
      <c r="G54" s="4443" t="s">
        <v>476</v>
      </c>
      <c r="H54" s="4443"/>
      <c r="I54" s="4443"/>
      <c r="J54" s="770"/>
      <c r="K54" s="770"/>
      <c r="L54" s="321"/>
      <c r="M54" s="1010"/>
      <c r="N54" s="4578" t="s">
        <v>477</v>
      </c>
      <c r="O54" s="4578"/>
      <c r="P54" s="4578"/>
      <c r="Q54" s="4578"/>
      <c r="R54" s="4579"/>
      <c r="S54" s="4579"/>
      <c r="T54" s="4580"/>
      <c r="U54" s="370"/>
      <c r="V54" s="370"/>
      <c r="W54" s="370"/>
      <c r="X54" s="370"/>
      <c r="Y54" s="370"/>
      <c r="Z54" s="370"/>
      <c r="AA54" s="370"/>
      <c r="AB54" s="370"/>
      <c r="AC54" s="370"/>
      <c r="AD54" s="370"/>
      <c r="AE54" s="370"/>
      <c r="AF54" s="370"/>
      <c r="AG54" s="862"/>
    </row>
    <row r="55" spans="1:33">
      <c r="A55" s="4425" t="s">
        <v>144</v>
      </c>
      <c r="B55" s="35" t="s">
        <v>145</v>
      </c>
      <c r="C55" s="954" t="s">
        <v>146</v>
      </c>
      <c r="D55" s="1008"/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/>
      <c r="Q55" s="1400"/>
      <c r="R55" s="4636" t="s">
        <v>478</v>
      </c>
      <c r="S55" s="4636"/>
      <c r="T55" s="4636"/>
      <c r="U55" s="4636"/>
      <c r="V55" s="4636"/>
      <c r="W55" s="4636"/>
      <c r="X55" s="4636"/>
      <c r="Y55" s="4636"/>
      <c r="Z55" s="4636"/>
      <c r="AA55" s="4636"/>
      <c r="AB55" s="4636"/>
      <c r="AC55" s="4636"/>
      <c r="AD55" s="4636"/>
      <c r="AE55" s="4636"/>
      <c r="AF55" s="4636"/>
      <c r="AG55" s="4637"/>
    </row>
    <row r="56" spans="1:33" ht="15.75">
      <c r="A56" s="4425"/>
      <c r="B56" s="32" t="s">
        <v>145</v>
      </c>
      <c r="C56" s="990" t="s">
        <v>148</v>
      </c>
      <c r="D56" s="860"/>
      <c r="E56" s="363"/>
      <c r="F56" s="363"/>
      <c r="G56" s="363"/>
      <c r="H56" s="363"/>
      <c r="I56" s="363"/>
      <c r="J56" s="363"/>
      <c r="K56" s="363"/>
      <c r="L56" s="363"/>
      <c r="M56" s="363"/>
      <c r="N56" s="363"/>
      <c r="O56" s="363"/>
      <c r="P56" s="363"/>
      <c r="Q56" s="363"/>
      <c r="R56" s="371"/>
      <c r="S56" s="506" t="s">
        <v>55</v>
      </c>
      <c r="T56" s="4639" t="s">
        <v>457</v>
      </c>
      <c r="U56" s="4640"/>
      <c r="V56" s="4640"/>
      <c r="W56" s="4640"/>
      <c r="X56" s="4640"/>
      <c r="Y56" s="4640"/>
      <c r="Z56" s="4640"/>
      <c r="AA56" s="4640"/>
      <c r="AB56" s="4640"/>
      <c r="AC56" s="4640"/>
      <c r="AD56" s="4641"/>
      <c r="AE56" s="884" t="s">
        <v>55</v>
      </c>
      <c r="AF56" s="371"/>
      <c r="AG56" s="864"/>
    </row>
    <row r="57" spans="1:33" ht="15" customHeight="1">
      <c r="A57" s="4425"/>
      <c r="B57" s="32" t="s">
        <v>149</v>
      </c>
      <c r="C57" s="1034" t="s">
        <v>150</v>
      </c>
      <c r="D57" s="860"/>
      <c r="E57" s="363"/>
      <c r="F57" s="363"/>
      <c r="G57" s="363"/>
      <c r="H57" s="363"/>
      <c r="I57" s="363"/>
      <c r="J57" s="4583" t="s">
        <v>453</v>
      </c>
      <c r="K57" s="4584"/>
      <c r="L57" s="363"/>
      <c r="M57" s="363"/>
      <c r="O57" s="363"/>
      <c r="P57" s="363"/>
      <c r="Q57" s="363"/>
      <c r="R57" s="363"/>
      <c r="S57" s="363"/>
      <c r="T57" s="380"/>
      <c r="U57" s="380"/>
      <c r="V57" s="363"/>
      <c r="W57" s="363"/>
      <c r="X57" s="363"/>
      <c r="Y57" s="363"/>
      <c r="Z57" s="363"/>
      <c r="AA57" s="363"/>
      <c r="AB57" s="363"/>
      <c r="AC57" s="4577" t="s">
        <v>452</v>
      </c>
      <c r="AD57" s="4577"/>
      <c r="AE57" s="1413" t="s">
        <v>456</v>
      </c>
      <c r="AF57" s="363"/>
      <c r="AG57" s="863"/>
    </row>
    <row r="58" spans="1:33">
      <c r="A58" s="4425"/>
      <c r="B58" s="39" t="s">
        <v>149</v>
      </c>
      <c r="C58" s="990" t="s">
        <v>151</v>
      </c>
      <c r="D58" s="1015"/>
      <c r="E58" s="370"/>
      <c r="F58" s="370"/>
      <c r="G58" s="370"/>
      <c r="H58" s="370"/>
      <c r="I58" s="370"/>
      <c r="J58" s="370"/>
      <c r="K58" s="370"/>
      <c r="L58" s="370"/>
      <c r="M58" s="370"/>
      <c r="N58" s="370"/>
      <c r="O58" s="370"/>
      <c r="P58" s="370"/>
      <c r="Q58" s="1377"/>
      <c r="R58" s="1377"/>
      <c r="S58" s="1377"/>
      <c r="T58" s="4423" t="s">
        <v>479</v>
      </c>
      <c r="U58" s="4424"/>
      <c r="V58" s="4638"/>
      <c r="W58" s="370"/>
      <c r="X58" s="1475"/>
      <c r="Y58" s="1475"/>
      <c r="Z58" s="1475"/>
      <c r="AA58" s="1475"/>
      <c r="AB58" s="370"/>
      <c r="AC58" s="370"/>
      <c r="AD58" s="370"/>
      <c r="AE58" s="370"/>
      <c r="AF58" s="370"/>
      <c r="AG58" s="862"/>
    </row>
    <row r="59" spans="1:33" ht="17.25" customHeight="1">
      <c r="A59" s="4642" t="s">
        <v>13</v>
      </c>
      <c r="B59" s="1225" t="s">
        <v>77</v>
      </c>
      <c r="C59" s="1226" t="s">
        <v>153</v>
      </c>
      <c r="D59" s="4585" t="s">
        <v>70</v>
      </c>
      <c r="E59" s="4586"/>
      <c r="F59" s="4586"/>
      <c r="G59" s="4586"/>
      <c r="H59" s="4587"/>
      <c r="I59" s="4587"/>
      <c r="J59" s="4587"/>
      <c r="K59" s="4587"/>
      <c r="L59" s="4587"/>
      <c r="M59" s="4587"/>
      <c r="N59" s="4588"/>
      <c r="O59" s="1330"/>
      <c r="P59" s="1330"/>
      <c r="Q59" s="1245"/>
      <c r="R59" s="1246"/>
      <c r="S59" s="1330"/>
      <c r="T59" s="1330"/>
      <c r="U59" s="1330"/>
      <c r="V59" s="1245"/>
      <c r="W59" s="1392" t="s">
        <v>341</v>
      </c>
      <c r="X59" s="1330"/>
      <c r="Y59" s="1330"/>
      <c r="Z59" s="1245"/>
      <c r="AA59" s="1246"/>
      <c r="AB59" s="1245"/>
      <c r="AC59" s="4577" t="s">
        <v>452</v>
      </c>
      <c r="AD59" s="4577"/>
      <c r="AE59" s="1413" t="s">
        <v>456</v>
      </c>
      <c r="AF59" s="1245"/>
      <c r="AG59" s="1247"/>
    </row>
    <row r="60" spans="1:33" ht="20.25" customHeight="1">
      <c r="A60" s="4643"/>
      <c r="B60" s="64" t="s">
        <v>100</v>
      </c>
      <c r="C60" s="63" t="s">
        <v>78</v>
      </c>
      <c r="D60" s="3613" t="s">
        <v>454</v>
      </c>
      <c r="E60" s="1475"/>
      <c r="F60" s="883"/>
      <c r="G60" s="1329"/>
      <c r="H60" s="1475"/>
      <c r="I60" s="363"/>
      <c r="J60" s="4583" t="s">
        <v>453</v>
      </c>
      <c r="K60" s="4584"/>
      <c r="L60" s="363"/>
      <c r="M60" s="4333" t="s">
        <v>480</v>
      </c>
      <c r="N60" s="4334"/>
      <c r="O60" s="1475"/>
      <c r="P60" s="1475"/>
      <c r="Q60" s="883"/>
      <c r="R60" s="883"/>
      <c r="S60" s="883"/>
      <c r="T60" s="4333" t="s">
        <v>481</v>
      </c>
      <c r="U60" s="4411"/>
      <c r="V60" s="4411"/>
      <c r="W60" s="4334"/>
      <c r="X60" s="1475"/>
      <c r="Y60" s="1396" t="s">
        <v>455</v>
      </c>
      <c r="Z60" s="3600" t="s">
        <v>422</v>
      </c>
      <c r="AA60" s="4333" t="s">
        <v>480</v>
      </c>
      <c r="AB60" s="4334"/>
      <c r="AC60" s="4572" t="s">
        <v>452</v>
      </c>
      <c r="AD60" s="4572"/>
      <c r="AE60" s="1413" t="s">
        <v>456</v>
      </c>
      <c r="AF60" s="1475"/>
      <c r="AG60" s="3601" t="s">
        <v>482</v>
      </c>
    </row>
    <row r="61" spans="1:33" ht="20.25" customHeight="1">
      <c r="A61" s="4643"/>
      <c r="B61" s="64" t="s">
        <v>95</v>
      </c>
      <c r="C61" s="63" t="s">
        <v>86</v>
      </c>
      <c r="D61" s="3613" t="s">
        <v>454</v>
      </c>
      <c r="E61" s="1475"/>
      <c r="F61" s="1475"/>
      <c r="G61" s="1463"/>
      <c r="H61" s="1475"/>
      <c r="I61" s="1277"/>
      <c r="J61" s="4583" t="s">
        <v>453</v>
      </c>
      <c r="K61" s="4584"/>
      <c r="L61" s="2"/>
      <c r="M61" s="1268"/>
      <c r="N61" s="1475"/>
      <c r="O61" s="1475"/>
      <c r="P61" s="1475"/>
      <c r="Q61" s="883"/>
      <c r="R61" s="883"/>
      <c r="S61" s="883"/>
      <c r="T61" s="1255"/>
      <c r="U61" s="3623"/>
      <c r="V61" s="3623"/>
      <c r="W61" s="3623"/>
      <c r="X61" s="3623"/>
      <c r="Y61" s="1396" t="s">
        <v>455</v>
      </c>
      <c r="Z61" s="1475"/>
      <c r="AA61" s="1475"/>
      <c r="AB61" s="1475"/>
      <c r="AC61" s="4572" t="s">
        <v>452</v>
      </c>
      <c r="AD61" s="4572"/>
      <c r="AF61" s="1475"/>
      <c r="AG61" s="1248"/>
    </row>
    <row r="62" spans="1:33" ht="21.75" customHeight="1">
      <c r="A62" s="4643"/>
      <c r="B62" s="64" t="s">
        <v>443</v>
      </c>
      <c r="C62" s="63" t="s">
        <v>396</v>
      </c>
      <c r="D62" s="3613" t="s">
        <v>454</v>
      </c>
      <c r="E62" s="1475"/>
      <c r="F62" s="1475"/>
      <c r="G62" s="1475"/>
      <c r="H62" s="1331"/>
      <c r="I62" s="363"/>
      <c r="J62" s="1394" t="s">
        <v>453</v>
      </c>
      <c r="K62" s="1395"/>
      <c r="L62" s="1387" t="s">
        <v>483</v>
      </c>
      <c r="M62" s="3623"/>
      <c r="N62" s="3623"/>
      <c r="O62" s="3623"/>
      <c r="P62" s="1475"/>
      <c r="Q62" s="883"/>
      <c r="R62" s="883"/>
      <c r="S62" s="883"/>
      <c r="T62" s="3623"/>
      <c r="U62" s="3623"/>
      <c r="V62" s="1475"/>
      <c r="W62" s="1475"/>
      <c r="X62" s="1475"/>
      <c r="Y62" s="883"/>
      <c r="Z62" s="1475"/>
      <c r="AA62" s="1475"/>
      <c r="AB62" s="1475"/>
      <c r="AC62" s="4634" t="s">
        <v>484</v>
      </c>
      <c r="AD62" s="4634"/>
      <c r="AE62" s="4634"/>
      <c r="AF62" s="4634"/>
      <c r="AG62" s="4635"/>
    </row>
    <row r="63" spans="1:33" ht="21.75" customHeight="1">
      <c r="A63" s="4643"/>
      <c r="B63" s="64" t="s">
        <v>283</v>
      </c>
      <c r="C63" s="63" t="s">
        <v>340</v>
      </c>
      <c r="D63" s="1420"/>
      <c r="E63" s="3666"/>
      <c r="F63" s="3666"/>
      <c r="G63" s="3666"/>
      <c r="H63" s="1421"/>
      <c r="I63" s="1265"/>
      <c r="J63" s="1422"/>
      <c r="K63" s="1423"/>
      <c r="L63" s="1087"/>
      <c r="M63" s="568"/>
      <c r="N63" s="1419"/>
      <c r="O63" s="1419"/>
      <c r="P63" s="3666"/>
      <c r="Q63" s="3666"/>
      <c r="R63" s="3666"/>
      <c r="S63" s="3666"/>
      <c r="T63" s="1419"/>
      <c r="U63" s="1419"/>
      <c r="V63" s="3666"/>
      <c r="W63" s="3666"/>
      <c r="X63" s="1412" t="s">
        <v>485</v>
      </c>
      <c r="Y63" s="883"/>
      <c r="Z63" s="1475"/>
      <c r="AA63" s="1475"/>
      <c r="AB63" s="1475"/>
      <c r="AC63" s="4572" t="s">
        <v>452</v>
      </c>
      <c r="AD63" s="4572"/>
      <c r="AE63" s="1413" t="s">
        <v>456</v>
      </c>
      <c r="AF63" s="1475"/>
      <c r="AG63" s="1248"/>
    </row>
    <row r="64" spans="1:33" ht="21.75" customHeight="1">
      <c r="A64" s="4643"/>
      <c r="B64" s="64" t="s">
        <v>81</v>
      </c>
      <c r="C64" s="63" t="s">
        <v>303</v>
      </c>
      <c r="D64" s="2340"/>
      <c r="E64" s="3666"/>
      <c r="F64" s="3666"/>
      <c r="G64" s="3666"/>
      <c r="H64" s="3592"/>
      <c r="I64" s="1265"/>
      <c r="J64" s="3592"/>
      <c r="K64" s="1265"/>
      <c r="L64" s="1265"/>
      <c r="M64" s="2340"/>
      <c r="N64" s="3666"/>
      <c r="O64" s="3666"/>
      <c r="P64" s="3666"/>
      <c r="Q64" s="3666"/>
      <c r="R64" s="3666"/>
      <c r="S64" s="3666"/>
      <c r="T64" s="1419"/>
      <c r="U64" s="3666"/>
      <c r="V64" s="1412" t="s">
        <v>485</v>
      </c>
      <c r="W64" s="1475"/>
      <c r="X64" s="1475"/>
      <c r="Y64" s="1475"/>
      <c r="Z64" s="1475"/>
      <c r="AA64" s="1475"/>
      <c r="AB64" s="1475"/>
      <c r="AC64" s="1475"/>
      <c r="AD64" s="1475"/>
      <c r="AE64" s="1475"/>
      <c r="AF64" s="1475"/>
      <c r="AG64" s="1248"/>
    </row>
    <row r="65" spans="1:33" ht="20.25" customHeight="1">
      <c r="A65" s="4644"/>
      <c r="B65" s="926" t="s">
        <v>155</v>
      </c>
      <c r="C65" s="925" t="s">
        <v>156</v>
      </c>
      <c r="D65" s="1249"/>
      <c r="E65" s="1250"/>
      <c r="F65" s="1250"/>
      <c r="G65" s="1250"/>
      <c r="H65" s="1250"/>
      <c r="I65" s="1249"/>
      <c r="J65" s="1249"/>
      <c r="K65" s="1249"/>
      <c r="L65" s="1249"/>
      <c r="M65" s="1249"/>
      <c r="N65" s="1250"/>
      <c r="O65" s="1250"/>
      <c r="P65" s="1250"/>
      <c r="Q65" s="1250"/>
      <c r="R65" s="1250"/>
      <c r="S65" s="1250"/>
      <c r="T65" s="1250"/>
      <c r="U65" s="1250"/>
      <c r="V65" s="1250"/>
      <c r="W65" s="1250"/>
      <c r="X65" s="1250"/>
      <c r="Y65" s="1250"/>
      <c r="Z65" s="1250"/>
      <c r="AA65" s="1250"/>
      <c r="AB65" s="1250"/>
      <c r="AC65" s="4591" t="s">
        <v>452</v>
      </c>
      <c r="AD65" s="4591"/>
      <c r="AE65" s="1414" t="s">
        <v>456</v>
      </c>
      <c r="AF65" s="1250"/>
      <c r="AG65" s="1251"/>
    </row>
    <row r="66" spans="1:33">
      <c r="A66" s="877"/>
      <c r="B66" s="283"/>
      <c r="C66" s="283"/>
    </row>
    <row r="67" spans="1:33">
      <c r="A67" s="877"/>
      <c r="B67" s="283"/>
      <c r="C67" s="283"/>
    </row>
    <row r="68" spans="1:33">
      <c r="A68" s="877"/>
      <c r="B68" s="283"/>
      <c r="C68" s="283"/>
    </row>
    <row r="69" spans="1:33">
      <c r="A69" s="877"/>
      <c r="B69" s="283"/>
      <c r="C69" s="283"/>
    </row>
    <row r="70" spans="1:33">
      <c r="A70" s="283"/>
      <c r="B70" s="283"/>
      <c r="C70" s="283"/>
    </row>
    <row r="71" spans="1:33">
      <c r="A71" s="283"/>
      <c r="B71" s="283"/>
      <c r="C71" s="283"/>
      <c r="O71" s="283"/>
      <c r="P71" s="283"/>
    </row>
  </sheetData>
  <mergeCells count="87">
    <mergeCell ref="AE34:AF34"/>
    <mergeCell ref="M49:AF49"/>
    <mergeCell ref="Q37:AG37"/>
    <mergeCell ref="S31:Y31"/>
    <mergeCell ref="W36:AB36"/>
    <mergeCell ref="T35:AD35"/>
    <mergeCell ref="T33:AD33"/>
    <mergeCell ref="A37:A51"/>
    <mergeCell ref="K45:P45"/>
    <mergeCell ref="D39:H39"/>
    <mergeCell ref="AC45:AG45"/>
    <mergeCell ref="D38:G38"/>
    <mergeCell ref="AC46:AD46"/>
    <mergeCell ref="O47:AC47"/>
    <mergeCell ref="D46:L46"/>
    <mergeCell ref="M42:AG42"/>
    <mergeCell ref="D41:L41"/>
    <mergeCell ref="D42:L42"/>
    <mergeCell ref="A52:A54"/>
    <mergeCell ref="G54:I54"/>
    <mergeCell ref="AC65:AD65"/>
    <mergeCell ref="AC63:AD63"/>
    <mergeCell ref="AC59:AD59"/>
    <mergeCell ref="AC62:AG62"/>
    <mergeCell ref="R55:AG55"/>
    <mergeCell ref="AA60:AB60"/>
    <mergeCell ref="T60:W60"/>
    <mergeCell ref="T58:V58"/>
    <mergeCell ref="T56:AD56"/>
    <mergeCell ref="AC60:AD60"/>
    <mergeCell ref="AC57:AD57"/>
    <mergeCell ref="A59:A65"/>
    <mergeCell ref="J60:K60"/>
    <mergeCell ref="A55:A58"/>
    <mergeCell ref="A5:C5"/>
    <mergeCell ref="A6:C6"/>
    <mergeCell ref="A7:C7"/>
    <mergeCell ref="D33:G33"/>
    <mergeCell ref="A32:A36"/>
    <mergeCell ref="A14:C14"/>
    <mergeCell ref="A13:C13"/>
    <mergeCell ref="A12:C12"/>
    <mergeCell ref="A21:C21"/>
    <mergeCell ref="A26:A28"/>
    <mergeCell ref="A29:A31"/>
    <mergeCell ref="A20:C20"/>
    <mergeCell ref="A16:C16"/>
    <mergeCell ref="A15:C15"/>
    <mergeCell ref="A18:C18"/>
    <mergeCell ref="A19:C19"/>
    <mergeCell ref="M5:AG5"/>
    <mergeCell ref="H6:Q6"/>
    <mergeCell ref="AC6:AG6"/>
    <mergeCell ref="W6:AB6"/>
    <mergeCell ref="E8:N8"/>
    <mergeCell ref="A1:C1"/>
    <mergeCell ref="D1:AG1"/>
    <mergeCell ref="A2:C2"/>
    <mergeCell ref="A3:C3"/>
    <mergeCell ref="A4:C4"/>
    <mergeCell ref="T4:W4"/>
    <mergeCell ref="A9:C9"/>
    <mergeCell ref="A10:C10"/>
    <mergeCell ref="A8:C8"/>
    <mergeCell ref="A11:C11"/>
    <mergeCell ref="D26:T26"/>
    <mergeCell ref="A17:C17"/>
    <mergeCell ref="J12:K12"/>
    <mergeCell ref="T21:AD21"/>
    <mergeCell ref="AC23:AD23"/>
    <mergeCell ref="T24:AB24"/>
    <mergeCell ref="AC61:AD61"/>
    <mergeCell ref="J29:K29"/>
    <mergeCell ref="O8:AF8"/>
    <mergeCell ref="AC16:AD16"/>
    <mergeCell ref="U26:V26"/>
    <mergeCell ref="S27:V27"/>
    <mergeCell ref="AC29:AD29"/>
    <mergeCell ref="N54:T54"/>
    <mergeCell ref="T52:AD52"/>
    <mergeCell ref="J57:K57"/>
    <mergeCell ref="D59:N59"/>
    <mergeCell ref="J61:K61"/>
    <mergeCell ref="M60:N60"/>
    <mergeCell ref="AE51:AG51"/>
    <mergeCell ref="AC51:AD51"/>
    <mergeCell ref="K51:P51"/>
  </mergeCells>
  <pageMargins left="0.25" right="0.25" top="0.75" bottom="0.75" header="0.3" footer="0.3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3D920-69FB-44F8-9445-5AE42A5A30A3}">
  <sheetPr>
    <pageSetUpPr fitToPage="1"/>
  </sheetPr>
  <dimension ref="A1:AH68"/>
  <sheetViews>
    <sheetView zoomScale="85" zoomScaleNormal="85" workbookViewId="0">
      <pane xSplit="3" ySplit="4" topLeftCell="J44" activePane="bottomRight" state="frozen"/>
      <selection pane="bottomRight" activeCell="J44" sqref="J44"/>
      <selection pane="bottomLeft"/>
      <selection pane="topRight"/>
    </sheetView>
  </sheetViews>
  <sheetFormatPr defaultRowHeight="15"/>
  <cols>
    <col min="3" max="3" width="11.5703125" bestFit="1" customWidth="1"/>
    <col min="17" max="17" width="10.140625" bestFit="1" customWidth="1"/>
  </cols>
  <sheetData>
    <row r="1" spans="1:34">
      <c r="A1" s="4375" t="s">
        <v>29</v>
      </c>
      <c r="B1" s="4375"/>
      <c r="C1" s="4375"/>
      <c r="D1" s="4376" t="s">
        <v>486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608"/>
    </row>
    <row r="2" spans="1:34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4378" t="s">
        <v>32</v>
      </c>
      <c r="B3" s="4378"/>
      <c r="C3" s="4378"/>
      <c r="D3" s="19" t="s">
        <v>36</v>
      </c>
      <c r="E3" s="19" t="s">
        <v>36</v>
      </c>
      <c r="F3" s="3703" t="s">
        <v>37</v>
      </c>
      <c r="G3" s="3703" t="s">
        <v>33</v>
      </c>
      <c r="H3" s="3703" t="s">
        <v>34</v>
      </c>
      <c r="I3" s="3703" t="s">
        <v>33</v>
      </c>
      <c r="J3" s="3703" t="s">
        <v>35</v>
      </c>
      <c r="K3" s="19" t="s">
        <v>36</v>
      </c>
      <c r="L3" s="19" t="s">
        <v>36</v>
      </c>
      <c r="M3" s="3703" t="s">
        <v>37</v>
      </c>
      <c r="N3" s="3703" t="s">
        <v>33</v>
      </c>
      <c r="O3" s="3703" t="s">
        <v>34</v>
      </c>
      <c r="P3" s="3703" t="s">
        <v>33</v>
      </c>
      <c r="Q3" s="3703" t="s">
        <v>35</v>
      </c>
      <c r="R3" s="19" t="s">
        <v>36</v>
      </c>
      <c r="S3" s="19" t="s">
        <v>36</v>
      </c>
      <c r="T3" s="3703" t="s">
        <v>37</v>
      </c>
      <c r="U3" s="3703" t="s">
        <v>33</v>
      </c>
      <c r="V3" s="3703" t="s">
        <v>34</v>
      </c>
      <c r="W3" s="40" t="s">
        <v>33</v>
      </c>
      <c r="X3" s="3703" t="s">
        <v>35</v>
      </c>
      <c r="Y3" s="19" t="s">
        <v>36</v>
      </c>
      <c r="Z3" s="19" t="s">
        <v>36</v>
      </c>
      <c r="AA3" s="3703" t="s">
        <v>37</v>
      </c>
      <c r="AB3" s="41" t="s">
        <v>33</v>
      </c>
      <c r="AC3" s="41" t="s">
        <v>34</v>
      </c>
      <c r="AD3" s="41" t="s">
        <v>33</v>
      </c>
      <c r="AE3" s="41" t="s">
        <v>35</v>
      </c>
      <c r="AF3" s="19" t="s">
        <v>36</v>
      </c>
      <c r="AG3" s="19" t="s">
        <v>36</v>
      </c>
      <c r="AH3" s="41" t="s">
        <v>37</v>
      </c>
    </row>
    <row r="4" spans="1:34" ht="15.75">
      <c r="A4" s="4609" t="s">
        <v>38</v>
      </c>
      <c r="B4" s="4610"/>
      <c r="C4" s="4692"/>
      <c r="D4" s="4609" t="s">
        <v>487</v>
      </c>
      <c r="E4" s="4610"/>
      <c r="F4" s="4610"/>
      <c r="G4" s="4610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6"/>
    </row>
    <row r="5" spans="1:34">
      <c r="A5" s="4616" t="s">
        <v>42</v>
      </c>
      <c r="B5" s="4617"/>
      <c r="C5" s="4693"/>
      <c r="D5" s="4697" t="s">
        <v>308</v>
      </c>
      <c r="E5" s="4698"/>
      <c r="F5" s="4698"/>
      <c r="G5" s="4698"/>
      <c r="H5" s="4698"/>
      <c r="I5" s="4698"/>
      <c r="J5" s="4698"/>
      <c r="K5" s="4698"/>
      <c r="L5" s="4698"/>
      <c r="M5" s="4698"/>
      <c r="N5" s="4698"/>
      <c r="O5" s="4698"/>
      <c r="P5" s="4698"/>
      <c r="Q5" s="1045"/>
      <c r="R5" s="1045"/>
      <c r="S5" s="1045"/>
      <c r="T5" s="1045"/>
      <c r="U5" s="1045"/>
      <c r="V5" s="1021"/>
      <c r="W5" s="1021"/>
      <c r="X5" s="1021"/>
      <c r="Y5" s="4694" t="s">
        <v>488</v>
      </c>
      <c r="Z5" s="4694"/>
      <c r="AA5" s="4694"/>
      <c r="AB5" s="4694"/>
      <c r="AC5" s="4694"/>
      <c r="AD5" s="4694"/>
      <c r="AE5" s="4694"/>
      <c r="AF5" s="4694"/>
      <c r="AG5" s="4694"/>
      <c r="AH5" s="4695"/>
    </row>
    <row r="6" spans="1:34" ht="15.75">
      <c r="A6" s="4569" t="s">
        <v>165</v>
      </c>
      <c r="B6" s="4310"/>
      <c r="C6" s="4396"/>
      <c r="D6" s="4569" t="s">
        <v>164</v>
      </c>
      <c r="E6" s="4310"/>
      <c r="F6" s="1227"/>
      <c r="G6" s="1258"/>
      <c r="H6" s="4696" t="s">
        <v>308</v>
      </c>
      <c r="I6" s="4696"/>
      <c r="J6" s="4696"/>
      <c r="K6" s="4696"/>
      <c r="L6" s="4696"/>
      <c r="M6" s="4696"/>
      <c r="N6" s="4285"/>
      <c r="O6" s="4285"/>
      <c r="P6" s="4285"/>
      <c r="Q6" s="4285"/>
      <c r="R6" s="4285"/>
      <c r="S6" s="4285"/>
      <c r="T6" s="4285"/>
      <c r="U6" s="4285"/>
      <c r="V6" s="4285"/>
      <c r="W6" s="4285"/>
      <c r="X6" s="4285"/>
      <c r="Y6" s="4701" t="s">
        <v>488</v>
      </c>
      <c r="Z6" s="4701"/>
      <c r="AA6" s="4701"/>
      <c r="AB6" s="4701"/>
      <c r="AC6" s="4701"/>
      <c r="AD6" s="4701"/>
      <c r="AE6" s="4701"/>
      <c r="AF6" s="4701"/>
      <c r="AG6" s="4701"/>
      <c r="AH6" s="4702"/>
    </row>
    <row r="7" spans="1:34">
      <c r="A7" s="4618" t="s">
        <v>407</v>
      </c>
      <c r="B7" s="4307"/>
      <c r="C7" s="4686"/>
      <c r="D7" s="1015" t="s">
        <v>164</v>
      </c>
      <c r="E7" s="370"/>
      <c r="F7" s="671"/>
      <c r="G7" s="4699" t="s">
        <v>362</v>
      </c>
      <c r="H7" s="4699"/>
      <c r="I7" s="4699"/>
      <c r="J7" s="4700"/>
      <c r="K7" s="4700"/>
      <c r="L7" s="4700"/>
      <c r="M7" s="4700"/>
      <c r="N7" s="364"/>
      <c r="O7" s="362"/>
      <c r="P7" s="4285" t="s">
        <v>308</v>
      </c>
      <c r="Q7" s="4285"/>
      <c r="R7" s="4285"/>
      <c r="S7" s="4285"/>
      <c r="T7" s="4285"/>
      <c r="U7" s="4285"/>
      <c r="V7" s="4285"/>
      <c r="W7" s="4285"/>
      <c r="X7" s="4285"/>
      <c r="Y7" s="4285"/>
      <c r="Z7" s="4285"/>
      <c r="AA7" s="4285"/>
      <c r="AB7" s="4285"/>
      <c r="AC7" s="4285"/>
      <c r="AD7" s="4285"/>
      <c r="AE7" s="4285"/>
      <c r="AF7" s="4285"/>
      <c r="AG7" s="4285"/>
      <c r="AH7" s="4393"/>
    </row>
    <row r="8" spans="1:34">
      <c r="A8" s="4595" t="s">
        <v>262</v>
      </c>
      <c r="B8" s="4596"/>
      <c r="C8" s="4470"/>
      <c r="D8" s="4689" t="s">
        <v>362</v>
      </c>
      <c r="E8" s="4690"/>
      <c r="F8" s="4690"/>
      <c r="G8" s="4690"/>
      <c r="H8" s="4690"/>
      <c r="I8" s="4691"/>
      <c r="J8" s="4673" t="s">
        <v>489</v>
      </c>
      <c r="K8" s="4673"/>
      <c r="L8" s="4673"/>
      <c r="M8" s="4673"/>
      <c r="N8" s="4673"/>
      <c r="O8" s="4673"/>
      <c r="P8" s="4673"/>
      <c r="Q8" s="4673"/>
      <c r="R8" s="4673"/>
      <c r="S8" s="4673"/>
      <c r="T8" s="4673"/>
      <c r="U8" s="4673"/>
      <c r="V8" s="4673"/>
      <c r="W8" s="4673"/>
      <c r="X8" s="4673"/>
      <c r="Y8" s="4673"/>
      <c r="Z8" s="4673"/>
      <c r="AA8" s="4673"/>
      <c r="AB8" s="4673"/>
      <c r="AC8" s="4673"/>
      <c r="AD8" s="4673"/>
      <c r="AE8" s="4673"/>
      <c r="AF8" s="4673"/>
      <c r="AG8" s="4673"/>
      <c r="AH8" s="4674"/>
    </row>
    <row r="9" spans="1:34" ht="38.25">
      <c r="A9" s="4592" t="s">
        <v>490</v>
      </c>
      <c r="B9" s="4593"/>
      <c r="C9" s="4593"/>
      <c r="D9" s="365"/>
      <c r="E9" s="365"/>
      <c r="F9" s="365"/>
      <c r="G9" s="365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65"/>
      <c r="V9" s="365"/>
      <c r="W9" s="365"/>
      <c r="X9" s="365"/>
      <c r="Y9" s="365"/>
      <c r="Z9" s="365"/>
      <c r="AA9" s="365"/>
      <c r="AB9" s="1402" t="s">
        <v>491</v>
      </c>
      <c r="AC9" s="365"/>
      <c r="AD9" s="365"/>
      <c r="AE9" s="365"/>
      <c r="AF9" s="365"/>
      <c r="AG9" s="365"/>
      <c r="AH9" s="1039"/>
    </row>
    <row r="10" spans="1:34" ht="15" customHeight="1">
      <c r="A10" s="4594" t="s">
        <v>272</v>
      </c>
      <c r="B10" s="4308"/>
      <c r="C10" s="4308"/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/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/>
      <c r="AB10" s="362"/>
      <c r="AC10" s="362"/>
      <c r="AD10" s="362"/>
      <c r="AE10" s="362"/>
      <c r="AF10" s="362"/>
      <c r="AG10" s="362"/>
      <c r="AH10" s="1026"/>
    </row>
    <row r="11" spans="1:34">
      <c r="A11" s="4597" t="s">
        <v>265</v>
      </c>
      <c r="B11" s="4309"/>
      <c r="C11" s="4309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 t="s">
        <v>452</v>
      </c>
      <c r="AF11" s="363"/>
      <c r="AG11" s="363"/>
      <c r="AH11" s="1057"/>
    </row>
    <row r="12" spans="1:34" ht="16.5" customHeight="1">
      <c r="A12" s="4681" t="s">
        <v>60</v>
      </c>
      <c r="B12" s="4682"/>
      <c r="C12" s="4682"/>
      <c r="D12" s="363"/>
      <c r="E12" s="363"/>
      <c r="F12" s="363"/>
      <c r="G12" s="363"/>
      <c r="H12" s="363"/>
      <c r="I12" s="363"/>
      <c r="J12" s="363"/>
      <c r="K12" s="363"/>
      <c r="L12" s="363"/>
      <c r="M12" s="363"/>
      <c r="N12" s="363"/>
      <c r="O12" s="363"/>
      <c r="P12" s="363"/>
      <c r="Q12" s="363"/>
      <c r="R12" s="363"/>
      <c r="S12" s="363"/>
      <c r="T12" s="363"/>
      <c r="U12" s="1391" t="s">
        <v>492</v>
      </c>
      <c r="V12" s="363"/>
      <c r="W12" s="363"/>
      <c r="X12" s="362"/>
      <c r="Y12" s="363"/>
      <c r="Z12" s="363"/>
      <c r="AA12" s="363"/>
      <c r="AB12" s="363"/>
      <c r="AC12" s="363"/>
      <c r="AD12" s="363"/>
      <c r="AE12" s="363"/>
      <c r="AF12" s="363"/>
      <c r="AG12" s="363"/>
      <c r="AH12" s="1057"/>
    </row>
    <row r="13" spans="1:34">
      <c r="A13" s="4622" t="s">
        <v>63</v>
      </c>
      <c r="B13" s="4623"/>
      <c r="C13" s="4623"/>
      <c r="D13" s="362"/>
      <c r="E13" s="380"/>
      <c r="F13" s="380"/>
      <c r="G13" s="362"/>
      <c r="H13" s="362"/>
      <c r="I13" s="362"/>
      <c r="J13" s="362"/>
      <c r="K13" s="362"/>
      <c r="L13" s="374"/>
      <c r="M13" s="374"/>
      <c r="N13" s="362"/>
      <c r="O13" s="363"/>
      <c r="P13" s="363"/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/>
      <c r="AC13" s="362"/>
      <c r="AD13" s="362"/>
      <c r="AE13" s="362"/>
      <c r="AF13" s="362"/>
      <c r="AG13" s="362"/>
      <c r="AH13" s="863"/>
    </row>
    <row r="14" spans="1:34">
      <c r="A14" s="4687" t="s">
        <v>54</v>
      </c>
      <c r="B14" s="4688"/>
      <c r="C14" s="4688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3"/>
      <c r="P14" s="363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/>
      <c r="AB14" s="363"/>
      <c r="AC14" s="363"/>
      <c r="AD14" s="363"/>
      <c r="AE14" s="362"/>
      <c r="AF14" s="362"/>
      <c r="AG14" s="362"/>
      <c r="AH14" s="1026"/>
    </row>
    <row r="15" spans="1:34">
      <c r="A15" s="4631" t="s">
        <v>365</v>
      </c>
      <c r="B15" s="4632"/>
      <c r="C15" s="4632"/>
      <c r="D15" s="362"/>
      <c r="E15" s="362"/>
      <c r="F15" s="362"/>
      <c r="G15" s="362"/>
      <c r="H15" s="362"/>
      <c r="I15" s="362"/>
      <c r="J15" s="362"/>
      <c r="K15" s="362"/>
      <c r="L15" s="362"/>
      <c r="M15" s="362"/>
      <c r="N15" s="4728" t="s">
        <v>493</v>
      </c>
      <c r="O15" s="4728"/>
      <c r="P15" s="363"/>
      <c r="Q15" s="362"/>
      <c r="R15" s="362"/>
      <c r="S15" s="362"/>
      <c r="T15" s="362"/>
      <c r="U15" s="362"/>
      <c r="V15" s="362"/>
      <c r="W15" s="362"/>
      <c r="X15" s="362"/>
      <c r="Y15" s="362"/>
      <c r="Z15" s="362"/>
      <c r="AA15" s="362"/>
      <c r="AB15" s="362"/>
      <c r="AC15" s="362"/>
      <c r="AD15" s="362"/>
      <c r="AE15" s="362"/>
      <c r="AF15" s="362"/>
      <c r="AG15" s="362"/>
      <c r="AH15" s="1026"/>
    </row>
    <row r="16" spans="1:34">
      <c r="A16" s="4630" t="s">
        <v>366</v>
      </c>
      <c r="B16" s="4314"/>
      <c r="C16" s="4314"/>
      <c r="D16" s="362"/>
      <c r="E16" s="362"/>
      <c r="F16" s="362"/>
      <c r="G16" s="362"/>
      <c r="H16" s="362"/>
      <c r="I16" s="362"/>
      <c r="J16" s="362"/>
      <c r="K16" s="362"/>
      <c r="L16" s="362"/>
      <c r="M16" s="362"/>
      <c r="N16" s="362"/>
      <c r="O16" s="362"/>
      <c r="P16" s="362"/>
      <c r="Q16" s="362"/>
      <c r="R16" s="362"/>
      <c r="S16" s="362"/>
      <c r="T16" s="362"/>
      <c r="U16" s="362"/>
      <c r="V16" s="362"/>
      <c r="W16" s="362"/>
      <c r="X16" s="362"/>
      <c r="Y16" s="362"/>
      <c r="Z16" s="362"/>
      <c r="AA16" s="362"/>
      <c r="AB16" s="362"/>
      <c r="AC16" s="362"/>
      <c r="AD16" s="362"/>
      <c r="AE16" s="362"/>
      <c r="AF16" s="362"/>
      <c r="AG16" s="362"/>
      <c r="AH16" s="1026"/>
    </row>
    <row r="17" spans="1:34" ht="15.75" customHeight="1">
      <c r="A17" s="4600" t="s">
        <v>411</v>
      </c>
      <c r="B17" s="4601"/>
      <c r="C17" s="4601"/>
      <c r="D17" s="375"/>
      <c r="E17" s="375"/>
      <c r="F17" s="375"/>
      <c r="G17" s="375"/>
      <c r="H17" s="375"/>
      <c r="I17" s="4727" t="s">
        <v>494</v>
      </c>
      <c r="J17" s="4727"/>
      <c r="K17" s="375"/>
      <c r="L17" s="375"/>
      <c r="M17" s="375"/>
      <c r="N17" s="375"/>
      <c r="O17" s="375"/>
      <c r="P17" s="375"/>
      <c r="Q17" s="375"/>
      <c r="R17" s="1401"/>
      <c r="S17" s="375"/>
      <c r="T17" s="375"/>
      <c r="U17" s="375"/>
      <c r="V17" s="375"/>
      <c r="W17" s="375"/>
      <c r="X17" s="375"/>
      <c r="Y17" s="375"/>
      <c r="Z17" s="375"/>
      <c r="AA17" s="375"/>
      <c r="AB17" s="375"/>
      <c r="AC17" s="375"/>
      <c r="AD17" s="375"/>
      <c r="AE17" s="375"/>
      <c r="AF17" s="375"/>
      <c r="AG17" s="375"/>
      <c r="AH17" s="1044"/>
    </row>
    <row r="18" spans="1:34">
      <c r="A18" s="4405" t="s">
        <v>179</v>
      </c>
      <c r="B18" s="4529"/>
      <c r="C18" s="4529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5"/>
    </row>
    <row r="19" spans="1:34">
      <c r="A19" s="4399" t="s">
        <v>26</v>
      </c>
      <c r="B19" s="4316"/>
      <c r="C19" s="4316"/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/>
      <c r="P19" s="362"/>
      <c r="Q19" s="362"/>
      <c r="R19" s="362"/>
      <c r="S19" s="362"/>
      <c r="T19" s="4663" t="s">
        <v>495</v>
      </c>
      <c r="U19" s="4664"/>
      <c r="V19" s="4664"/>
      <c r="W19" s="4664"/>
      <c r="X19" s="4665"/>
      <c r="Y19" s="4739" t="s">
        <v>496</v>
      </c>
      <c r="Z19" s="4740"/>
      <c r="AA19" s="4740"/>
      <c r="AB19" s="4740"/>
      <c r="AC19" s="4740"/>
      <c r="AD19" s="4740"/>
      <c r="AE19" s="4740"/>
      <c r="AF19" s="4740"/>
      <c r="AG19" s="4740"/>
      <c r="AH19" s="4741"/>
    </row>
    <row r="20" spans="1:34">
      <c r="A20" s="4629" t="s">
        <v>322</v>
      </c>
      <c r="B20" s="4318"/>
      <c r="C20" s="4318"/>
      <c r="D20" s="362"/>
      <c r="E20" s="362"/>
      <c r="F20" s="362"/>
      <c r="G20" s="362"/>
      <c r="H20" s="362"/>
      <c r="I20" s="362"/>
      <c r="J20" s="362"/>
      <c r="K20" s="362"/>
      <c r="L20" s="362"/>
      <c r="M20" s="362"/>
      <c r="N20" s="362"/>
      <c r="O20" s="362"/>
      <c r="P20" s="362"/>
      <c r="Q20" s="362"/>
      <c r="R20" s="362"/>
      <c r="S20" s="362"/>
      <c r="T20" s="362"/>
      <c r="U20" s="362"/>
      <c r="V20" s="362"/>
      <c r="W20" s="362"/>
      <c r="X20" s="362"/>
      <c r="Y20" s="362"/>
      <c r="Z20" s="362"/>
      <c r="AA20" s="362"/>
      <c r="AB20" s="362"/>
      <c r="AC20" s="362"/>
      <c r="AD20" s="362"/>
      <c r="AE20" s="362"/>
      <c r="AF20" s="362"/>
      <c r="AG20" s="362"/>
      <c r="AH20" s="1026"/>
    </row>
    <row r="21" spans="1:34">
      <c r="A21" s="4356" t="s">
        <v>64</v>
      </c>
      <c r="B21" s="4626"/>
      <c r="C21" s="4626"/>
      <c r="D21" s="1029"/>
      <c r="E21" s="1029"/>
      <c r="F21" s="1029"/>
      <c r="G21" s="1029"/>
      <c r="H21" s="1029"/>
      <c r="I21" s="1029"/>
      <c r="J21" s="1029"/>
      <c r="K21" s="1029"/>
      <c r="L21" s="1029"/>
      <c r="M21" s="1029"/>
      <c r="N21" s="1029"/>
      <c r="O21" s="1029"/>
      <c r="P21" s="1029"/>
      <c r="Q21" s="1029"/>
      <c r="R21" s="1029"/>
      <c r="S21" s="1029"/>
      <c r="T21" s="1029"/>
      <c r="U21" s="1029"/>
      <c r="V21" s="1029"/>
      <c r="W21" s="1029"/>
      <c r="X21" s="1029"/>
      <c r="Y21" s="1029"/>
      <c r="Z21" s="1029"/>
      <c r="AA21" s="1029"/>
      <c r="AB21" s="1029"/>
      <c r="AC21" s="1029"/>
      <c r="AD21" s="1029"/>
      <c r="AE21" s="1029"/>
      <c r="AF21" s="1029"/>
      <c r="AG21" s="1029"/>
      <c r="AH21" s="1032"/>
    </row>
    <row r="22" spans="1:34" ht="7.5" customHeight="1">
      <c r="A22" s="1208"/>
      <c r="B22" s="1208"/>
      <c r="C22" s="1208"/>
      <c r="D22" s="1229"/>
      <c r="E22" s="1228"/>
      <c r="F22" s="1228"/>
      <c r="G22" s="1228"/>
      <c r="H22" s="1228"/>
      <c r="I22" s="1228"/>
      <c r="J22" s="1228"/>
      <c r="K22" s="1228"/>
      <c r="L22" s="1228"/>
      <c r="M22" s="1228"/>
      <c r="N22" s="1229"/>
      <c r="O22" s="1228"/>
      <c r="P22" s="1228"/>
      <c r="Q22" s="1228"/>
      <c r="R22" s="1228"/>
      <c r="S22" s="1228"/>
      <c r="T22" s="1228"/>
      <c r="U22" s="1228"/>
      <c r="V22" s="1229"/>
      <c r="W22" s="1229"/>
      <c r="X22" s="1229"/>
      <c r="Y22" s="1229"/>
      <c r="Z22" s="1229"/>
      <c r="AA22" s="1229"/>
      <c r="AB22" s="1229"/>
      <c r="AC22" s="1229"/>
      <c r="AD22" s="1229"/>
      <c r="AE22" s="1229"/>
      <c r="AF22" s="1229"/>
      <c r="AG22" s="1229"/>
      <c r="AH22" s="1230"/>
    </row>
    <row r="23" spans="1:34">
      <c r="A23" s="3690" t="s">
        <v>66</v>
      </c>
      <c r="B23" s="1225" t="s">
        <v>67</v>
      </c>
      <c r="C23" s="1226" t="s">
        <v>68</v>
      </c>
      <c r="D23" s="1021"/>
      <c r="E23" s="1021"/>
      <c r="F23" s="1021"/>
      <c r="G23" s="1021"/>
      <c r="H23" s="1021"/>
      <c r="I23" s="1021"/>
      <c r="J23" s="1021"/>
      <c r="K23" s="1021"/>
      <c r="L23" s="1021"/>
      <c r="M23" s="1021"/>
      <c r="N23" s="461"/>
      <c r="O23" s="1021"/>
      <c r="P23" s="1021"/>
      <c r="Q23" s="362"/>
      <c r="R23" s="362"/>
      <c r="S23" s="362"/>
      <c r="T23" s="4719"/>
      <c r="U23" s="4720"/>
      <c r="V23" s="4720"/>
      <c r="W23" s="4720"/>
      <c r="X23" s="4720"/>
      <c r="Y23" s="4720"/>
      <c r="Z23" s="4720"/>
      <c r="AA23" s="4720"/>
      <c r="AB23" s="4720"/>
      <c r="AC23" s="4720"/>
      <c r="AD23" s="4720"/>
      <c r="AE23" s="4720"/>
      <c r="AF23" s="4720"/>
      <c r="AG23" s="4720"/>
      <c r="AH23" s="4721"/>
    </row>
    <row r="24" spans="1:34" ht="15.75">
      <c r="A24" s="3689"/>
      <c r="B24" s="926" t="s">
        <v>67</v>
      </c>
      <c r="C24" s="925" t="s">
        <v>74</v>
      </c>
      <c r="D24" s="1232"/>
      <c r="E24" s="1029"/>
      <c r="F24" s="1029"/>
      <c r="G24" s="1029"/>
      <c r="H24" s="1405"/>
      <c r="I24" s="483"/>
      <c r="J24" s="483"/>
      <c r="K24" s="1405"/>
      <c r="L24" s="1029"/>
      <c r="M24" s="362"/>
      <c r="N24" s="362"/>
      <c r="O24" s="362"/>
      <c r="P24" s="362"/>
      <c r="Q24" s="1029"/>
      <c r="R24" s="1029"/>
      <c r="S24" s="1454" t="s">
        <v>55</v>
      </c>
      <c r="T24" s="4745" t="s">
        <v>495</v>
      </c>
      <c r="U24" s="4746"/>
      <c r="V24" s="4746"/>
      <c r="W24" s="4746"/>
      <c r="X24" s="4747"/>
      <c r="Y24" s="4678" t="s">
        <v>496</v>
      </c>
      <c r="Z24" s="4679"/>
      <c r="AA24" s="4679"/>
      <c r="AB24" s="4679"/>
      <c r="AC24" s="4679"/>
      <c r="AD24" s="4679"/>
      <c r="AE24" s="4679"/>
      <c r="AF24" s="4679"/>
      <c r="AG24" s="4679"/>
      <c r="AH24" s="4680"/>
    </row>
    <row r="25" spans="1:34" ht="15.75">
      <c r="A25" s="3689" t="s">
        <v>73</v>
      </c>
      <c r="B25" s="926" t="s">
        <v>67</v>
      </c>
      <c r="C25" s="925" t="s">
        <v>458</v>
      </c>
      <c r="D25" s="1232"/>
      <c r="E25" s="1029"/>
      <c r="F25" s="1029"/>
      <c r="G25" s="1029"/>
      <c r="H25" s="611" t="s">
        <v>55</v>
      </c>
      <c r="I25" s="4601" t="s">
        <v>494</v>
      </c>
      <c r="J25" s="4601"/>
      <c r="K25" s="611" t="s">
        <v>55</v>
      </c>
      <c r="L25" s="1029"/>
      <c r="M25" s="1416"/>
      <c r="N25" s="1416"/>
      <c r="O25" s="1416"/>
      <c r="P25" s="1416"/>
      <c r="Q25" s="1029"/>
      <c r="R25" s="1029"/>
      <c r="S25" s="1452"/>
      <c r="T25" s="1453"/>
      <c r="U25" s="1453"/>
      <c r="V25" s="1453"/>
      <c r="W25" s="1453"/>
      <c r="X25" s="1453"/>
      <c r="Y25" s="1453"/>
      <c r="Z25" s="1452"/>
      <c r="AA25" s="1452"/>
      <c r="AB25" s="1452"/>
      <c r="AC25" s="1452"/>
      <c r="AD25" s="1452"/>
      <c r="AE25" s="1452"/>
      <c r="AF25" s="1452"/>
      <c r="AG25" s="1452"/>
      <c r="AH25" s="1046"/>
    </row>
    <row r="26" spans="1:34">
      <c r="A26" s="4407" t="s">
        <v>84</v>
      </c>
      <c r="B26" s="34" t="s">
        <v>85</v>
      </c>
      <c r="C26" s="35" t="s">
        <v>86</v>
      </c>
      <c r="D26" s="1036"/>
      <c r="E26" s="365"/>
      <c r="F26" s="365"/>
      <c r="G26" s="365"/>
      <c r="H26" s="365"/>
      <c r="I26" s="365"/>
      <c r="J26" s="365"/>
      <c r="K26" s="365"/>
      <c r="L26" s="365"/>
      <c r="M26" s="365"/>
      <c r="N26" s="365"/>
      <c r="O26" s="365"/>
      <c r="P26" s="365"/>
      <c r="Q26" s="1367"/>
      <c r="R26" s="1367"/>
      <c r="S26" s="1367"/>
      <c r="T26" s="1367"/>
      <c r="U26" s="1367"/>
      <c r="V26" s="1367"/>
      <c r="W26" s="1367"/>
      <c r="X26" s="1367"/>
      <c r="Y26" s="1367"/>
      <c r="Z26" s="1367"/>
      <c r="AA26" s="1367"/>
      <c r="AB26" s="1367"/>
      <c r="AC26" s="1367"/>
      <c r="AD26" s="1367"/>
      <c r="AE26" s="1367"/>
      <c r="AF26" s="1367"/>
      <c r="AG26" s="1367"/>
      <c r="AH26" s="1046"/>
    </row>
    <row r="27" spans="1:34">
      <c r="A27" s="4407"/>
      <c r="B27" s="28" t="s">
        <v>87</v>
      </c>
      <c r="C27" s="32" t="s">
        <v>88</v>
      </c>
      <c r="D27" s="923"/>
      <c r="E27" s="362"/>
      <c r="F27" s="362"/>
      <c r="G27" s="362"/>
      <c r="H27" s="362"/>
      <c r="I27" s="362"/>
      <c r="J27" s="362"/>
      <c r="K27" s="362"/>
      <c r="L27" s="362"/>
      <c r="M27" s="362"/>
      <c r="N27" s="362"/>
      <c r="O27" s="362"/>
      <c r="P27" s="362"/>
      <c r="Q27" s="362"/>
      <c r="R27" s="375"/>
      <c r="S27" s="375"/>
      <c r="T27" s="375"/>
      <c r="U27" s="375"/>
      <c r="V27" s="375"/>
      <c r="W27" s="375"/>
      <c r="X27" s="375"/>
      <c r="Y27" s="375"/>
      <c r="Z27" s="375"/>
      <c r="AA27" s="375"/>
      <c r="AB27" s="375"/>
      <c r="AC27" s="375"/>
      <c r="AD27" s="375"/>
      <c r="AE27" s="375"/>
      <c r="AF27" s="375"/>
      <c r="AG27" s="375"/>
      <c r="AH27" s="1044"/>
    </row>
    <row r="28" spans="1:34">
      <c r="A28" s="4627"/>
      <c r="B28" s="30" t="s">
        <v>90</v>
      </c>
      <c r="C28" s="39" t="s">
        <v>91</v>
      </c>
      <c r="D28" s="1027"/>
      <c r="E28" s="1029"/>
      <c r="F28" s="1029"/>
      <c r="G28" s="1029"/>
      <c r="H28" s="1029"/>
      <c r="I28" s="1029"/>
      <c r="J28" s="1029"/>
      <c r="K28" s="1029"/>
      <c r="L28" s="1029"/>
      <c r="M28" s="1029"/>
      <c r="N28" s="1029"/>
      <c r="O28" s="1029"/>
      <c r="P28" s="1029"/>
      <c r="Q28" s="1031"/>
      <c r="R28" s="362"/>
      <c r="S28" s="362"/>
      <c r="T28" s="362"/>
      <c r="U28" s="362"/>
      <c r="V28" s="362"/>
      <c r="W28" s="362"/>
      <c r="X28" s="362"/>
      <c r="Y28" s="362"/>
      <c r="Z28" s="362"/>
      <c r="AA28" s="362"/>
      <c r="AB28" s="362"/>
      <c r="AC28" s="362"/>
      <c r="AD28" s="362"/>
      <c r="AE28" s="362"/>
      <c r="AF28" s="362"/>
      <c r="AG28" s="4333" t="s">
        <v>497</v>
      </c>
      <c r="AH28" s="4559"/>
    </row>
    <row r="29" spans="1:34" ht="15.75">
      <c r="A29" s="4409" t="s">
        <v>92</v>
      </c>
      <c r="B29" s="245" t="s">
        <v>95</v>
      </c>
      <c r="C29" s="1055" t="s">
        <v>243</v>
      </c>
      <c r="D29" s="1036"/>
      <c r="E29" s="365"/>
      <c r="F29" s="365"/>
      <c r="G29" s="365"/>
      <c r="H29" s="610" t="s">
        <v>55</v>
      </c>
      <c r="I29" s="4601" t="s">
        <v>494</v>
      </c>
      <c r="J29" s="4601"/>
      <c r="K29" s="610" t="s">
        <v>55</v>
      </c>
      <c r="L29" s="365"/>
      <c r="M29" s="1036"/>
      <c r="N29" s="365"/>
      <c r="O29" s="365"/>
      <c r="P29" s="365"/>
      <c r="Q29" s="362"/>
      <c r="R29" s="362"/>
      <c r="S29" s="1444" t="s">
        <v>55</v>
      </c>
      <c r="T29" s="4663" t="s">
        <v>495</v>
      </c>
      <c r="U29" s="4664"/>
      <c r="V29" s="4664"/>
      <c r="W29" s="4664"/>
      <c r="X29" s="4665"/>
      <c r="Y29" s="4736" t="s">
        <v>496</v>
      </c>
      <c r="Z29" s="4737"/>
      <c r="AA29" s="4737"/>
      <c r="AB29" s="4737"/>
      <c r="AC29" s="4737"/>
      <c r="AD29" s="4737"/>
      <c r="AE29" s="4737"/>
      <c r="AF29" s="4737"/>
      <c r="AG29" s="4737"/>
      <c r="AH29" s="4738"/>
    </row>
    <row r="30" spans="1:34" ht="15.75">
      <c r="A30" s="4407"/>
      <c r="B30" s="245" t="s">
        <v>326</v>
      </c>
      <c r="C30" s="1322" t="s">
        <v>327</v>
      </c>
      <c r="D30" s="1326"/>
      <c r="E30" s="677"/>
      <c r="F30" s="4742" t="s">
        <v>498</v>
      </c>
      <c r="G30" s="4743"/>
      <c r="H30" s="4743"/>
      <c r="I30" s="4743"/>
      <c r="J30" s="4743"/>
      <c r="K30" s="4743"/>
      <c r="L30" s="4743"/>
      <c r="M30" s="4743"/>
      <c r="N30" s="4743"/>
      <c r="O30" s="4743"/>
      <c r="P30" s="4744"/>
      <c r="Q30" s="220" t="s">
        <v>55</v>
      </c>
      <c r="R30" s="4733" t="s">
        <v>495</v>
      </c>
      <c r="S30" s="4734"/>
      <c r="T30" s="4734"/>
      <c r="U30" s="4734"/>
      <c r="V30" s="4734"/>
      <c r="W30" s="4734"/>
      <c r="X30" s="4735"/>
      <c r="Y30" s="4722" t="s">
        <v>496</v>
      </c>
      <c r="Z30" s="4722"/>
      <c r="AA30" s="4722"/>
      <c r="AB30" s="4722"/>
      <c r="AC30" s="4722"/>
      <c r="AD30" s="4722"/>
      <c r="AE30" s="4722"/>
      <c r="AF30" s="4722"/>
      <c r="AG30" s="4722"/>
      <c r="AH30" s="4723"/>
    </row>
    <row r="31" spans="1:34" ht="15.75">
      <c r="A31" s="4407"/>
      <c r="B31" s="1446" t="s">
        <v>97</v>
      </c>
      <c r="C31" s="1322" t="s">
        <v>98</v>
      </c>
      <c r="D31" s="1050"/>
      <c r="E31" s="375"/>
      <c r="F31" s="375"/>
      <c r="G31" s="375"/>
      <c r="H31" s="1378" t="s">
        <v>55</v>
      </c>
      <c r="I31" s="4601" t="s">
        <v>494</v>
      </c>
      <c r="J31" s="4601"/>
      <c r="K31" s="1378" t="s">
        <v>55</v>
      </c>
      <c r="L31" s="4729" t="s">
        <v>462</v>
      </c>
      <c r="M31" s="4730"/>
      <c r="N31" s="4731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1044"/>
    </row>
    <row r="32" spans="1:34">
      <c r="A32" s="4402" t="s">
        <v>99</v>
      </c>
      <c r="B32" s="1041" t="s">
        <v>100</v>
      </c>
      <c r="C32" s="812" t="s">
        <v>101</v>
      </c>
      <c r="D32" s="1020"/>
      <c r="E32" s="1021"/>
      <c r="F32" s="1021"/>
      <c r="G32" s="1021"/>
      <c r="H32" s="1021"/>
      <c r="I32" s="1021"/>
      <c r="J32" s="1021"/>
      <c r="K32" s="1021"/>
      <c r="L32" s="1021"/>
      <c r="M32" s="1021"/>
      <c r="N32" s="1021"/>
      <c r="O32" s="1021"/>
      <c r="P32" s="1021"/>
      <c r="Q32" s="1021"/>
      <c r="R32" s="1021"/>
      <c r="S32" s="1021"/>
      <c r="T32" s="1021"/>
      <c r="U32" s="1021"/>
      <c r="V32" s="1021"/>
      <c r="W32" s="1021"/>
      <c r="X32" s="1021"/>
      <c r="Y32" s="1021"/>
      <c r="Z32" s="1021"/>
      <c r="AA32" s="1021"/>
      <c r="AB32" s="1021"/>
      <c r="AC32" s="4683" t="s">
        <v>197</v>
      </c>
      <c r="AD32" s="4684"/>
      <c r="AE32" s="4684"/>
      <c r="AF32" s="4684"/>
      <c r="AG32" s="4685"/>
      <c r="AH32" s="1025"/>
    </row>
    <row r="33" spans="1:34" ht="15.75">
      <c r="A33" s="4403"/>
      <c r="B33" s="32" t="s">
        <v>77</v>
      </c>
      <c r="C33" s="813" t="s">
        <v>245</v>
      </c>
      <c r="D33" s="362"/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220" t="s">
        <v>55</v>
      </c>
      <c r="R33" s="4733" t="s">
        <v>495</v>
      </c>
      <c r="S33" s="4734"/>
      <c r="T33" s="4734"/>
      <c r="U33" s="4734"/>
      <c r="V33" s="4734"/>
      <c r="W33" s="4734"/>
      <c r="X33" s="4735"/>
      <c r="Y33" s="4678" t="s">
        <v>496</v>
      </c>
      <c r="Z33" s="4679"/>
      <c r="AA33" s="4679"/>
      <c r="AB33" s="4679"/>
      <c r="AC33" s="4679"/>
      <c r="AD33" s="4679"/>
      <c r="AE33" s="4679"/>
      <c r="AF33" s="4679"/>
      <c r="AG33" s="4679"/>
      <c r="AH33" s="4680"/>
    </row>
    <row r="34" spans="1:34" ht="15.75">
      <c r="A34" s="4403"/>
      <c r="B34" s="32" t="s">
        <v>95</v>
      </c>
      <c r="C34" s="813" t="s">
        <v>105</v>
      </c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/>
      <c r="P34" s="362"/>
      <c r="Q34" s="362"/>
      <c r="R34" s="362"/>
      <c r="S34" s="1444" t="s">
        <v>55</v>
      </c>
      <c r="T34" s="4663" t="s">
        <v>495</v>
      </c>
      <c r="U34" s="4664"/>
      <c r="V34" s="4664"/>
      <c r="W34" s="4664"/>
      <c r="X34" s="4665"/>
      <c r="Y34" s="4678" t="s">
        <v>496</v>
      </c>
      <c r="Z34" s="4679"/>
      <c r="AA34" s="4679"/>
      <c r="AB34" s="4679"/>
      <c r="AC34" s="4679"/>
      <c r="AD34" s="4679"/>
      <c r="AE34" s="4679"/>
      <c r="AF34" s="4679"/>
      <c r="AG34" s="4679"/>
      <c r="AH34" s="4680"/>
    </row>
    <row r="35" spans="1:34" ht="15.75">
      <c r="A35" s="4403"/>
      <c r="B35" s="32" t="s">
        <v>106</v>
      </c>
      <c r="C35" s="813" t="s">
        <v>107</v>
      </c>
      <c r="D35" s="4416" t="s">
        <v>112</v>
      </c>
      <c r="E35" s="4411"/>
      <c r="F35" s="4411"/>
      <c r="G35" s="4411"/>
      <c r="H35" s="4411"/>
      <c r="I35" s="4411"/>
      <c r="J35" s="4411"/>
      <c r="K35" s="4411"/>
      <c r="L35" s="4411"/>
      <c r="M35" s="4411"/>
      <c r="N35" s="4411"/>
      <c r="O35" s="4334"/>
      <c r="P35" s="362"/>
      <c r="Q35" s="362"/>
      <c r="R35" s="362"/>
      <c r="S35" s="1444" t="s">
        <v>55</v>
      </c>
      <c r="T35" s="4663" t="s">
        <v>495</v>
      </c>
      <c r="U35" s="4664"/>
      <c r="V35" s="4664"/>
      <c r="W35" s="4664"/>
      <c r="X35" s="4665"/>
      <c r="Y35" s="4678" t="s">
        <v>496</v>
      </c>
      <c r="Z35" s="4679"/>
      <c r="AA35" s="4679"/>
      <c r="AB35" s="4679"/>
      <c r="AC35" s="4679"/>
      <c r="AD35" s="4679"/>
      <c r="AE35" s="4679"/>
      <c r="AF35" s="4679"/>
      <c r="AG35" s="4679"/>
      <c r="AH35" s="4680"/>
    </row>
    <row r="36" spans="1:34" ht="15.75">
      <c r="A36" s="4403"/>
      <c r="B36" s="39" t="s">
        <v>108</v>
      </c>
      <c r="C36" s="1209" t="s">
        <v>109</v>
      </c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62"/>
      <c r="R36" s="362"/>
      <c r="S36" s="1444" t="s">
        <v>55</v>
      </c>
      <c r="T36" s="4663" t="s">
        <v>495</v>
      </c>
      <c r="U36" s="4664"/>
      <c r="V36" s="4664"/>
      <c r="W36" s="4664"/>
      <c r="X36" s="4665"/>
      <c r="Y36" s="4678" t="s">
        <v>496</v>
      </c>
      <c r="Z36" s="4679"/>
      <c r="AA36" s="4679"/>
      <c r="AB36" s="4679"/>
      <c r="AC36" s="4679"/>
      <c r="AD36" s="4679"/>
      <c r="AE36" s="4679"/>
      <c r="AF36" s="4679"/>
      <c r="AG36" s="4679"/>
      <c r="AH36" s="4680"/>
    </row>
    <row r="37" spans="1:34">
      <c r="A37" s="4675" t="s">
        <v>110</v>
      </c>
      <c r="B37" s="1447" t="s">
        <v>77</v>
      </c>
      <c r="C37" s="1447" t="s">
        <v>201</v>
      </c>
      <c r="D37" s="1020"/>
      <c r="E37" s="1021"/>
      <c r="F37" s="1024"/>
      <c r="G37" s="797"/>
      <c r="H37" s="797"/>
      <c r="I37" s="797"/>
      <c r="J37" s="797"/>
      <c r="K37" s="797"/>
      <c r="L37" s="797"/>
      <c r="M37" s="797"/>
      <c r="N37" s="1020"/>
      <c r="O37" s="1021"/>
      <c r="P37" s="1021"/>
      <c r="Q37" s="1021"/>
      <c r="R37" s="1021"/>
      <c r="S37" s="1021"/>
      <c r="T37" s="1021"/>
      <c r="U37" s="1021"/>
      <c r="V37" s="1021"/>
      <c r="W37" s="1021"/>
      <c r="X37" s="1021"/>
      <c r="Y37" s="1021"/>
      <c r="Z37" s="1021"/>
      <c r="AA37" s="1021"/>
      <c r="AB37" s="1021"/>
      <c r="AC37" s="1021"/>
      <c r="AD37" s="1021"/>
      <c r="AE37" s="1021"/>
      <c r="AF37" s="1021"/>
      <c r="AG37" s="1021"/>
      <c r="AH37" s="1025"/>
    </row>
    <row r="38" spans="1:34">
      <c r="A38" s="4676"/>
      <c r="B38" s="1448" t="s">
        <v>95</v>
      </c>
      <c r="C38" s="1448" t="s">
        <v>249</v>
      </c>
      <c r="D38" s="364"/>
      <c r="E38" s="362"/>
      <c r="F38" s="373"/>
      <c r="G38" s="374"/>
      <c r="H38" s="374"/>
      <c r="I38" s="374"/>
      <c r="J38" s="374"/>
      <c r="K38" s="374"/>
      <c r="L38" s="374"/>
      <c r="M38" s="374"/>
      <c r="N38" s="364"/>
      <c r="O38" s="362"/>
      <c r="P38" s="362"/>
      <c r="Q38" s="362"/>
      <c r="R38" s="362"/>
      <c r="S38" s="362"/>
      <c r="T38" s="362"/>
      <c r="U38" s="362"/>
      <c r="V38" s="362"/>
      <c r="W38" s="362"/>
      <c r="X38" s="362"/>
      <c r="Y38" s="362"/>
      <c r="Z38" s="362"/>
      <c r="AA38" s="362"/>
      <c r="AB38" s="362"/>
      <c r="AC38" s="362"/>
      <c r="AD38" s="362"/>
      <c r="AE38" s="362"/>
      <c r="AF38" s="362"/>
      <c r="AG38" s="362"/>
      <c r="AH38" s="1026"/>
    </row>
    <row r="39" spans="1:34">
      <c r="A39" s="4676"/>
      <c r="B39" s="1448" t="s">
        <v>113</v>
      </c>
      <c r="C39" s="1448" t="s">
        <v>114</v>
      </c>
      <c r="D39" s="377"/>
      <c r="E39" s="375"/>
      <c r="F39" s="375"/>
      <c r="G39" s="677"/>
      <c r="H39" s="677"/>
      <c r="I39" s="677"/>
      <c r="J39" s="677"/>
      <c r="K39" s="677"/>
      <c r="L39" s="677"/>
      <c r="M39" s="677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1044"/>
    </row>
    <row r="40" spans="1:34">
      <c r="A40" s="4676"/>
      <c r="B40" s="1448" t="s">
        <v>113</v>
      </c>
      <c r="C40" s="1448" t="s">
        <v>116</v>
      </c>
      <c r="D40" s="364"/>
      <c r="E40" s="362"/>
      <c r="F40" s="373"/>
      <c r="G40" s="374"/>
      <c r="H40" s="374"/>
      <c r="I40" s="374"/>
      <c r="J40" s="374"/>
      <c r="K40" s="374"/>
      <c r="L40" s="374"/>
      <c r="M40" s="374"/>
      <c r="N40" s="364"/>
      <c r="O40" s="362"/>
      <c r="P40" s="362"/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/>
      <c r="AC40" s="362"/>
      <c r="AD40" s="362"/>
      <c r="AE40" s="362"/>
      <c r="AF40" s="362"/>
      <c r="AG40" s="362"/>
      <c r="AH40" s="1026"/>
    </row>
    <row r="41" spans="1:34">
      <c r="A41" s="4676"/>
      <c r="B41" s="1448" t="s">
        <v>118</v>
      </c>
      <c r="C41" s="1448" t="s">
        <v>119</v>
      </c>
      <c r="D41" s="364"/>
      <c r="E41" s="362"/>
      <c r="F41" s="362"/>
      <c r="G41" s="365"/>
      <c r="H41" s="365"/>
      <c r="I41" s="3589" t="s">
        <v>251</v>
      </c>
      <c r="J41" s="4724" t="s">
        <v>499</v>
      </c>
      <c r="K41" s="4725"/>
      <c r="L41" s="4725"/>
      <c r="M41" s="4725"/>
      <c r="N41" s="4725"/>
      <c r="O41" s="4725"/>
      <c r="P41" s="4725"/>
      <c r="Q41" s="4725"/>
      <c r="R41" s="4725"/>
      <c r="S41" s="4725"/>
      <c r="T41" s="4725"/>
      <c r="U41" s="4726"/>
      <c r="V41" s="362"/>
      <c r="W41" s="362"/>
      <c r="X41" s="362"/>
      <c r="Y41" s="362"/>
      <c r="Z41" s="362"/>
      <c r="AA41" s="362"/>
      <c r="AB41" s="362"/>
      <c r="AC41" s="362"/>
      <c r="AD41" s="362"/>
      <c r="AE41" s="362"/>
      <c r="AF41" s="362"/>
      <c r="AG41" s="362"/>
      <c r="AH41" s="1026"/>
    </row>
    <row r="42" spans="1:34">
      <c r="A42" s="4676"/>
      <c r="B42" s="1448" t="s">
        <v>500</v>
      </c>
      <c r="C42" s="1448" t="s">
        <v>126</v>
      </c>
      <c r="D42" s="4350" t="s">
        <v>164</v>
      </c>
      <c r="E42" s="4286"/>
      <c r="F42" s="824"/>
      <c r="G42" s="1364"/>
      <c r="H42" s="1364"/>
      <c r="I42" s="1364"/>
      <c r="J42" s="1364"/>
      <c r="K42" s="1364"/>
      <c r="L42" s="1364"/>
      <c r="M42" s="1364"/>
      <c r="N42" s="1364"/>
      <c r="O42" s="1364"/>
      <c r="P42" s="1364"/>
      <c r="Q42" s="1364"/>
      <c r="R42" s="1364"/>
      <c r="S42" s="1364"/>
      <c r="T42" s="824"/>
      <c r="U42" s="824"/>
      <c r="V42" s="824"/>
      <c r="W42" s="824"/>
      <c r="X42" s="824"/>
      <c r="Y42" s="824"/>
      <c r="Z42" s="824"/>
      <c r="AA42" s="824"/>
      <c r="AB42" s="824"/>
      <c r="AC42" s="824"/>
      <c r="AD42" s="824"/>
      <c r="AE42" s="824"/>
      <c r="AF42" s="824"/>
      <c r="AG42" s="824"/>
      <c r="AH42" s="1059"/>
    </row>
    <row r="43" spans="1:34">
      <c r="A43" s="4676"/>
      <c r="B43" s="1448" t="s">
        <v>120</v>
      </c>
      <c r="C43" s="1448" t="s">
        <v>121</v>
      </c>
      <c r="D43" s="364"/>
      <c r="E43" s="362"/>
      <c r="F43" s="362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4649" t="s">
        <v>501</v>
      </c>
      <c r="R43" s="4649"/>
      <c r="S43" s="4649"/>
      <c r="T43" s="4649"/>
      <c r="U43" s="4649"/>
      <c r="V43" s="4475"/>
      <c r="W43" s="4475"/>
      <c r="X43" s="4475"/>
      <c r="Y43" s="4475"/>
      <c r="Z43" s="4475"/>
      <c r="AA43" s="4475"/>
      <c r="AB43" s="4475"/>
      <c r="AC43" s="4475"/>
      <c r="AD43" s="4475"/>
      <c r="AE43" s="4475"/>
      <c r="AF43" s="4475"/>
      <c r="AG43" s="4475"/>
      <c r="AH43" s="4506"/>
    </row>
    <row r="44" spans="1:34">
      <c r="A44" s="4676"/>
      <c r="B44" s="1448" t="s">
        <v>120</v>
      </c>
      <c r="C44" s="1448" t="s">
        <v>123</v>
      </c>
      <c r="D44" s="364"/>
      <c r="E44" s="362"/>
      <c r="F44" s="373"/>
      <c r="G44" s="374"/>
      <c r="H44" s="374"/>
      <c r="I44" s="3590" t="s">
        <v>251</v>
      </c>
      <c r="J44" s="4703" t="s">
        <v>499</v>
      </c>
      <c r="K44" s="4703"/>
      <c r="L44" s="4703"/>
      <c r="M44" s="4703"/>
      <c r="N44" s="4703"/>
      <c r="O44" s="4703"/>
      <c r="P44" s="4703"/>
      <c r="Q44" s="4703"/>
      <c r="R44" s="4703"/>
      <c r="S44" s="4703"/>
      <c r="T44" s="4703"/>
      <c r="U44" s="4703"/>
      <c r="V44" s="364"/>
      <c r="W44" s="362"/>
      <c r="X44" s="362"/>
      <c r="Y44" s="362"/>
      <c r="Z44" s="362"/>
      <c r="AA44" s="362"/>
      <c r="AB44" s="362"/>
      <c r="AC44" s="362"/>
      <c r="AD44" s="362"/>
      <c r="AE44" s="362"/>
      <c r="AF44" s="362"/>
      <c r="AG44" s="362"/>
      <c r="AH44" s="1026"/>
    </row>
    <row r="45" spans="1:34">
      <c r="A45" s="4676"/>
      <c r="B45" s="1448" t="s">
        <v>293</v>
      </c>
      <c r="C45" s="1448" t="s">
        <v>125</v>
      </c>
      <c r="D45" s="402"/>
      <c r="E45" s="363"/>
      <c r="F45" s="363"/>
      <c r="G45" s="371"/>
      <c r="H45" s="1450"/>
      <c r="I45" s="365"/>
      <c r="J45" s="365"/>
      <c r="K45" s="365"/>
      <c r="L45" s="365"/>
      <c r="M45" s="365"/>
      <c r="N45" s="365"/>
      <c r="O45" s="4645" t="s">
        <v>502</v>
      </c>
      <c r="P45" s="4645"/>
      <c r="Q45" s="4645"/>
      <c r="R45" s="4645"/>
      <c r="S45" s="4645"/>
      <c r="T45" s="4645"/>
      <c r="U45" s="4645"/>
      <c r="V45" s="4475"/>
      <c r="W45" s="4475"/>
      <c r="X45" s="4475"/>
      <c r="Y45" s="4475"/>
      <c r="Z45" s="4475"/>
      <c r="AA45" s="4475"/>
      <c r="AB45" s="4475"/>
      <c r="AC45" s="4475"/>
      <c r="AD45" s="362"/>
      <c r="AE45" s="903"/>
      <c r="AF45" s="903"/>
      <c r="AG45" s="903"/>
      <c r="AH45" s="1026"/>
    </row>
    <row r="46" spans="1:34">
      <c r="A46" s="4676"/>
      <c r="B46" s="1448" t="s">
        <v>127</v>
      </c>
      <c r="C46" s="1448" t="s">
        <v>128</v>
      </c>
      <c r="D46" s="364"/>
      <c r="E46" s="362"/>
      <c r="F46" s="373"/>
      <c r="G46" s="374"/>
      <c r="H46" s="374"/>
      <c r="I46" s="374"/>
      <c r="J46" s="374"/>
      <c r="K46" s="374"/>
      <c r="L46" s="374"/>
      <c r="M46" s="930"/>
      <c r="N46" s="374"/>
      <c r="O46" s="374"/>
      <c r="P46" s="374"/>
      <c r="Q46" s="374"/>
      <c r="R46" s="374"/>
      <c r="S46" s="374"/>
      <c r="T46" s="1498"/>
      <c r="U46" s="904"/>
      <c r="V46" s="904"/>
      <c r="W46" s="362"/>
      <c r="X46" s="362"/>
      <c r="Y46" s="362"/>
      <c r="Z46" s="362"/>
      <c r="AA46" s="362"/>
      <c r="AB46" s="362"/>
      <c r="AC46" s="362"/>
      <c r="AD46" s="362"/>
      <c r="AE46" s="362"/>
      <c r="AF46" s="362"/>
      <c r="AG46" s="362"/>
      <c r="AH46" s="1026"/>
    </row>
    <row r="47" spans="1:34">
      <c r="A47" s="4676"/>
      <c r="B47" s="1448" t="s">
        <v>129</v>
      </c>
      <c r="C47" s="1448" t="s">
        <v>130</v>
      </c>
      <c r="D47" s="402"/>
      <c r="E47" s="363"/>
      <c r="F47" s="363"/>
      <c r="G47" s="438"/>
      <c r="H47" s="1451"/>
      <c r="I47" s="677"/>
      <c r="J47" s="677"/>
      <c r="K47" s="677"/>
      <c r="L47" s="677"/>
      <c r="M47" s="677"/>
      <c r="N47" s="677"/>
      <c r="O47" s="677"/>
      <c r="P47" s="677"/>
      <c r="Q47" s="677"/>
      <c r="R47" s="677"/>
      <c r="S47" s="677"/>
      <c r="T47" s="362"/>
      <c r="U47" s="362"/>
      <c r="V47" s="362"/>
      <c r="W47" s="362"/>
      <c r="X47" s="362"/>
      <c r="Y47" s="362"/>
      <c r="Z47" s="362"/>
      <c r="AA47" s="362"/>
      <c r="AB47" s="362"/>
      <c r="AC47" s="362"/>
      <c r="AD47" s="362"/>
      <c r="AE47" s="903"/>
      <c r="AF47" s="903"/>
      <c r="AG47" s="903"/>
      <c r="AH47" s="1026"/>
    </row>
    <row r="48" spans="1:34" s="1" customFormat="1">
      <c r="A48" s="4676"/>
      <c r="B48" s="1449" t="s">
        <v>129</v>
      </c>
      <c r="C48" s="1449" t="s">
        <v>474</v>
      </c>
      <c r="D48" s="1464"/>
      <c r="E48" s="1475"/>
      <c r="F48" s="1463"/>
      <c r="G48" s="374"/>
      <c r="H48" s="374"/>
      <c r="I48" s="374"/>
      <c r="J48" s="374"/>
      <c r="K48" s="374"/>
      <c r="L48" s="374"/>
      <c r="M48" s="930"/>
      <c r="N48" s="374"/>
      <c r="O48" s="374"/>
      <c r="P48" s="374"/>
      <c r="Q48" s="374"/>
      <c r="R48" s="374"/>
      <c r="S48" s="374"/>
      <c r="T48" s="364"/>
      <c r="U48" s="362"/>
      <c r="V48" s="362"/>
      <c r="W48" s="362"/>
      <c r="X48" s="362"/>
      <c r="Y48" s="362"/>
      <c r="Z48" s="362"/>
      <c r="AA48" s="362"/>
      <c r="AB48" s="362"/>
      <c r="AC48" s="362"/>
      <c r="AD48" s="362"/>
      <c r="AE48" s="1339"/>
      <c r="AF48" s="1339"/>
      <c r="AG48" s="1339"/>
      <c r="AH48" s="1026"/>
    </row>
    <row r="49" spans="1:34">
      <c r="A49" s="4676"/>
      <c r="B49" s="1448" t="s">
        <v>134</v>
      </c>
      <c r="C49" s="1448" t="s">
        <v>135</v>
      </c>
      <c r="D49" s="4334" t="s">
        <v>418</v>
      </c>
      <c r="E49" s="4475"/>
      <c r="F49" s="4475"/>
      <c r="G49" s="4645"/>
      <c r="H49" s="4645"/>
      <c r="I49" s="4645"/>
      <c r="J49" s="4645"/>
      <c r="K49" s="4645"/>
      <c r="L49" s="4645"/>
      <c r="M49" s="4645"/>
      <c r="N49" s="4645"/>
      <c r="O49" s="4645"/>
      <c r="P49" s="4645"/>
      <c r="Q49" s="4645"/>
      <c r="R49" s="4645"/>
      <c r="S49" s="4645"/>
      <c r="T49" s="4475"/>
      <c r="U49" s="4475"/>
      <c r="V49" s="4475"/>
      <c r="W49" s="4475"/>
      <c r="X49" s="4475"/>
      <c r="Y49" s="904"/>
      <c r="Z49" s="362"/>
      <c r="AA49" s="4703" t="s">
        <v>503</v>
      </c>
      <c r="AB49" s="4703"/>
      <c r="AC49" s="4703"/>
      <c r="AD49" s="4703"/>
      <c r="AE49" s="4703"/>
      <c r="AF49" s="362"/>
      <c r="AG49" s="362"/>
      <c r="AH49" s="1026"/>
    </row>
    <row r="50" spans="1:34">
      <c r="A50" s="4676"/>
      <c r="B50" s="1448" t="s">
        <v>333</v>
      </c>
      <c r="C50" s="1448" t="s">
        <v>334</v>
      </c>
      <c r="D50" s="364"/>
      <c r="E50" s="362"/>
      <c r="F50" s="362"/>
      <c r="G50" s="362"/>
      <c r="H50" s="362"/>
      <c r="I50" s="374"/>
      <c r="J50" s="374"/>
      <c r="K50" s="374"/>
      <c r="L50" s="374"/>
      <c r="M50" s="374"/>
      <c r="N50" s="362"/>
      <c r="O50" s="362"/>
      <c r="P50" s="362"/>
      <c r="Q50" s="362"/>
      <c r="R50" s="362"/>
      <c r="S50" s="362"/>
      <c r="T50" s="362"/>
      <c r="U50" s="362"/>
      <c r="V50" s="362"/>
      <c r="W50" s="362"/>
      <c r="X50" s="362"/>
      <c r="Y50" s="362"/>
      <c r="Z50" s="362"/>
      <c r="AA50" s="362"/>
      <c r="AB50" s="362"/>
      <c r="AC50" s="362"/>
      <c r="AD50" s="362"/>
      <c r="AE50" s="362"/>
      <c r="AF50" s="362"/>
      <c r="AG50" s="362"/>
      <c r="AH50" s="1026"/>
    </row>
    <row r="51" spans="1:34">
      <c r="A51" s="4677"/>
      <c r="B51" s="1393" t="s">
        <v>131</v>
      </c>
      <c r="C51" s="1393" t="s">
        <v>132</v>
      </c>
      <c r="D51" s="4717" t="s">
        <v>164</v>
      </c>
      <c r="E51" s="4718"/>
      <c r="F51" s="1030"/>
      <c r="G51" s="1030"/>
      <c r="H51" s="1030"/>
      <c r="I51" s="1030"/>
      <c r="J51" s="1030"/>
      <c r="K51" s="1030"/>
      <c r="L51" s="4660" t="s">
        <v>504</v>
      </c>
      <c r="M51" s="4661"/>
      <c r="N51" s="4661"/>
      <c r="O51" s="4661"/>
      <c r="P51" s="4661"/>
      <c r="Q51" s="4661"/>
      <c r="R51" s="4661"/>
      <c r="S51" s="4661"/>
      <c r="T51" s="4661"/>
      <c r="U51" s="4661"/>
      <c r="V51" s="4661"/>
      <c r="W51" s="4661"/>
      <c r="X51" s="4661"/>
      <c r="Y51" s="4661"/>
      <c r="Z51" s="4661"/>
      <c r="AA51" s="4661"/>
      <c r="AB51" s="4662"/>
      <c r="AC51" s="1030"/>
      <c r="AD51" s="1030"/>
      <c r="AE51" s="1030"/>
      <c r="AF51" s="1030"/>
      <c r="AG51" s="1030"/>
      <c r="AH51" s="1047"/>
    </row>
    <row r="52" spans="1:34" ht="15.75">
      <c r="A52" s="4666" t="s">
        <v>136</v>
      </c>
      <c r="B52" s="34" t="s">
        <v>77</v>
      </c>
      <c r="C52" s="35" t="s">
        <v>137</v>
      </c>
      <c r="D52" s="365"/>
      <c r="E52" s="365"/>
      <c r="F52" s="365"/>
      <c r="G52" s="365"/>
      <c r="H52" s="365"/>
      <c r="I52" s="365"/>
      <c r="J52" s="365"/>
      <c r="K52" s="365"/>
      <c r="L52" s="673"/>
      <c r="M52" s="365"/>
      <c r="N52" s="365"/>
      <c r="O52" s="365"/>
      <c r="P52" s="365"/>
      <c r="Q52" s="362"/>
      <c r="R52" s="362"/>
      <c r="S52" s="1444" t="s">
        <v>55</v>
      </c>
      <c r="T52" s="4663" t="s">
        <v>495</v>
      </c>
      <c r="U52" s="4664"/>
      <c r="V52" s="4664"/>
      <c r="W52" s="4664"/>
      <c r="X52" s="4665"/>
      <c r="Y52" s="4722" t="s">
        <v>496</v>
      </c>
      <c r="Z52" s="4722"/>
      <c r="AA52" s="4722"/>
      <c r="AB52" s="4722"/>
      <c r="AC52" s="4722"/>
      <c r="AD52" s="4722"/>
      <c r="AE52" s="4722"/>
      <c r="AF52" s="4722"/>
      <c r="AG52" s="4722"/>
      <c r="AH52" s="4723"/>
    </row>
    <row r="53" spans="1:34" ht="15.75">
      <c r="A53" s="4666"/>
      <c r="B53" s="28" t="s">
        <v>95</v>
      </c>
      <c r="C53" s="39" t="s">
        <v>139</v>
      </c>
      <c r="D53" s="362"/>
      <c r="E53" s="362"/>
      <c r="F53" s="362"/>
      <c r="G53" s="362"/>
      <c r="H53" s="610" t="s">
        <v>55</v>
      </c>
      <c r="I53" s="4601" t="s">
        <v>494</v>
      </c>
      <c r="J53" s="4601"/>
      <c r="K53" s="610" t="s">
        <v>55</v>
      </c>
      <c r="L53" s="373"/>
      <c r="M53" s="362"/>
      <c r="N53" s="362"/>
      <c r="O53" s="362"/>
      <c r="P53" s="362"/>
      <c r="Q53" s="362"/>
      <c r="R53" s="362"/>
      <c r="S53" s="1444" t="s">
        <v>55</v>
      </c>
      <c r="T53" s="4663" t="s">
        <v>495</v>
      </c>
      <c r="U53" s="4664"/>
      <c r="V53" s="4664"/>
      <c r="W53" s="4664"/>
      <c r="X53" s="4665"/>
      <c r="Y53" s="4316" t="s">
        <v>496</v>
      </c>
      <c r="Z53" s="4316"/>
      <c r="AA53" s="4316"/>
      <c r="AB53" s="4316"/>
      <c r="AC53" s="4316"/>
      <c r="AD53" s="4316"/>
      <c r="AE53" s="4316"/>
      <c r="AF53" s="4316"/>
      <c r="AG53" s="4316"/>
      <c r="AH53" s="4667"/>
    </row>
    <row r="54" spans="1:34" ht="15.75">
      <c r="A54" s="4666"/>
      <c r="B54" s="29" t="s">
        <v>142</v>
      </c>
      <c r="C54" s="39" t="s">
        <v>143</v>
      </c>
      <c r="D54" s="375"/>
      <c r="E54" s="375"/>
      <c r="F54" s="375"/>
      <c r="G54" s="375"/>
      <c r="H54" s="375"/>
      <c r="I54" s="375"/>
      <c r="J54" s="375"/>
      <c r="K54" s="375"/>
      <c r="L54" s="376"/>
      <c r="M54" s="375"/>
      <c r="N54" s="375"/>
      <c r="O54" s="375"/>
      <c r="P54" s="375"/>
      <c r="Q54" s="362"/>
      <c r="R54" s="362"/>
      <c r="S54" s="1444" t="s">
        <v>55</v>
      </c>
      <c r="T54" s="4663" t="s">
        <v>495</v>
      </c>
      <c r="U54" s="4664"/>
      <c r="V54" s="4664"/>
      <c r="W54" s="4664"/>
      <c r="X54" s="4665"/>
      <c r="Y54" s="4668" t="s">
        <v>496</v>
      </c>
      <c r="Z54" s="4668"/>
      <c r="AA54" s="4668"/>
      <c r="AB54" s="4668"/>
      <c r="AC54" s="4668"/>
      <c r="AD54" s="4668"/>
      <c r="AE54" s="4668"/>
      <c r="AF54" s="4668"/>
      <c r="AG54" s="4668"/>
      <c r="AH54" s="4669"/>
    </row>
    <row r="55" spans="1:34">
      <c r="A55" s="4402" t="s">
        <v>144</v>
      </c>
      <c r="B55" s="950" t="s">
        <v>145</v>
      </c>
      <c r="C55" s="950" t="s">
        <v>146</v>
      </c>
      <c r="D55" s="4670" t="s">
        <v>478</v>
      </c>
      <c r="E55" s="4671"/>
      <c r="F55" s="4672"/>
      <c r="G55" s="1045"/>
      <c r="H55" s="1045"/>
      <c r="I55" s="1234" t="s">
        <v>505</v>
      </c>
      <c r="J55" s="1235" t="s">
        <v>506</v>
      </c>
      <c r="K55" s="1282"/>
      <c r="L55" s="1440"/>
      <c r="M55" s="1283"/>
      <c r="N55" s="1283"/>
      <c r="O55" s="1283"/>
      <c r="P55" s="1283"/>
      <c r="Q55" s="1283"/>
      <c r="R55" s="1283"/>
      <c r="S55" s="1283"/>
      <c r="T55" s="1283"/>
      <c r="U55" s="1283"/>
      <c r="V55" s="1283"/>
      <c r="W55" s="1283"/>
      <c r="X55" s="1283"/>
      <c r="Y55" s="1283"/>
      <c r="Z55" s="1283"/>
      <c r="AA55" s="1283"/>
      <c r="AB55" s="1283"/>
      <c r="AC55" s="1283"/>
      <c r="AD55" s="1283"/>
      <c r="AE55" s="1283"/>
      <c r="AF55" s="1283"/>
      <c r="AG55" s="1283"/>
      <c r="AH55" s="1284"/>
    </row>
    <row r="56" spans="1:34" ht="15.75">
      <c r="A56" s="4403"/>
      <c r="B56" s="951" t="s">
        <v>145</v>
      </c>
      <c r="C56" s="990" t="s">
        <v>148</v>
      </c>
      <c r="D56" s="923"/>
      <c r="E56" s="362"/>
      <c r="F56" s="373"/>
      <c r="G56" s="362"/>
      <c r="H56" s="610" t="s">
        <v>55</v>
      </c>
      <c r="I56" s="4601" t="s">
        <v>494</v>
      </c>
      <c r="J56" s="4601"/>
      <c r="K56" s="610" t="s">
        <v>55</v>
      </c>
      <c r="L56" s="431"/>
      <c r="M56" s="362"/>
      <c r="N56" s="362"/>
      <c r="O56" s="362"/>
      <c r="P56" s="362"/>
      <c r="Q56" s="362"/>
      <c r="R56" s="362"/>
      <c r="S56" s="1444" t="s">
        <v>55</v>
      </c>
      <c r="T56" s="4663" t="s">
        <v>495</v>
      </c>
      <c r="U56" s="4664"/>
      <c r="V56" s="4664"/>
      <c r="W56" s="4664"/>
      <c r="X56" s="4665"/>
      <c r="Y56" s="4316" t="s">
        <v>496</v>
      </c>
      <c r="Z56" s="4316"/>
      <c r="AA56" s="4316"/>
      <c r="AB56" s="4316"/>
      <c r="AC56" s="4316"/>
      <c r="AD56" s="4316"/>
      <c r="AE56" s="4316"/>
      <c r="AF56" s="4316"/>
      <c r="AG56" s="4316"/>
      <c r="AH56" s="4667"/>
    </row>
    <row r="57" spans="1:34" ht="22.5">
      <c r="A57" s="4403"/>
      <c r="B57" s="951" t="s">
        <v>149</v>
      </c>
      <c r="C57" s="1034" t="s">
        <v>150</v>
      </c>
      <c r="D57" s="923"/>
      <c r="E57" s="362"/>
      <c r="F57" s="373"/>
      <c r="G57" s="362"/>
      <c r="H57" s="362"/>
      <c r="I57" s="362"/>
      <c r="J57" s="362"/>
      <c r="K57" s="362"/>
      <c r="L57" s="431"/>
      <c r="M57" s="362"/>
      <c r="N57" s="362"/>
      <c r="O57" s="380"/>
      <c r="P57" s="537"/>
      <c r="Q57" s="362"/>
      <c r="R57" s="362"/>
      <c r="S57" s="362"/>
      <c r="T57" s="362"/>
      <c r="U57" s="1391" t="s">
        <v>492</v>
      </c>
      <c r="V57" s="362"/>
      <c r="W57" s="362"/>
      <c r="X57" s="362"/>
      <c r="Y57" s="362"/>
      <c r="Z57" s="362"/>
      <c r="AA57" s="362"/>
      <c r="AB57" s="362"/>
      <c r="AC57" s="362"/>
      <c r="AD57" s="362"/>
      <c r="AE57" s="362"/>
      <c r="AF57" s="362"/>
      <c r="AG57" s="362"/>
      <c r="AH57" s="1026"/>
    </row>
    <row r="58" spans="1:34" ht="15.75">
      <c r="A58" s="4403"/>
      <c r="B58" s="955" t="s">
        <v>149</v>
      </c>
      <c r="C58" s="990" t="s">
        <v>151</v>
      </c>
      <c r="D58" s="1050"/>
      <c r="E58" s="375"/>
      <c r="F58" s="375"/>
      <c r="G58" s="677"/>
      <c r="H58" s="677"/>
      <c r="I58" s="677"/>
      <c r="J58" s="677"/>
      <c r="K58" s="677"/>
      <c r="L58" s="376"/>
      <c r="M58" s="1378" t="s">
        <v>55</v>
      </c>
      <c r="N58" s="4659" t="s">
        <v>493</v>
      </c>
      <c r="O58" s="4659"/>
      <c r="P58" s="1378" t="s">
        <v>55</v>
      </c>
      <c r="Q58" s="375"/>
      <c r="R58" s="375"/>
      <c r="S58" s="375"/>
      <c r="T58" s="375"/>
      <c r="U58" s="375"/>
      <c r="V58" s="375"/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375"/>
      <c r="AH58" s="1044"/>
    </row>
    <row r="59" spans="1:34" ht="15.75" customHeight="1">
      <c r="A59" s="4704" t="s">
        <v>13</v>
      </c>
      <c r="B59" s="1041" t="s">
        <v>77</v>
      </c>
      <c r="C59" s="950" t="s">
        <v>153</v>
      </c>
      <c r="D59" s="1019"/>
      <c r="E59" s="1021"/>
      <c r="F59" s="1021"/>
      <c r="G59" s="1021"/>
      <c r="H59" s="1021"/>
      <c r="I59" s="1021"/>
      <c r="J59" s="1021"/>
      <c r="K59" s="1021"/>
      <c r="L59" s="1024"/>
      <c r="M59" s="1021"/>
      <c r="N59" s="1021"/>
      <c r="O59" s="1021"/>
      <c r="P59" s="1445"/>
      <c r="Q59" s="1021"/>
      <c r="R59" s="1021"/>
      <c r="S59" s="1231" t="s">
        <v>55</v>
      </c>
      <c r="T59" s="4714" t="s">
        <v>495</v>
      </c>
      <c r="U59" s="4715"/>
      <c r="V59" s="4715"/>
      <c r="W59" s="4715"/>
      <c r="X59" s="4716"/>
      <c r="Y59" s="4694" t="s">
        <v>496</v>
      </c>
      <c r="Z59" s="4694"/>
      <c r="AA59" s="4694"/>
      <c r="AB59" s="4694"/>
      <c r="AC59" s="4694"/>
      <c r="AD59" s="4694"/>
      <c r="AE59" s="4694"/>
      <c r="AF59" s="4694"/>
      <c r="AG59" s="4694"/>
      <c r="AH59" s="4695"/>
    </row>
    <row r="60" spans="1:34" ht="22.5">
      <c r="A60" s="4705"/>
      <c r="B60" s="1051" t="s">
        <v>392</v>
      </c>
      <c r="C60" s="955" t="s">
        <v>78</v>
      </c>
      <c r="D60" s="4416"/>
      <c r="E60" s="4411"/>
      <c r="F60" s="4411"/>
      <c r="G60" s="4710"/>
      <c r="H60" s="574" t="s">
        <v>55</v>
      </c>
      <c r="I60" s="4601" t="s">
        <v>494</v>
      </c>
      <c r="J60" s="4601"/>
      <c r="K60" s="574" t="s">
        <v>55</v>
      </c>
      <c r="L60" s="373"/>
      <c r="M60" s="610" t="s">
        <v>55</v>
      </c>
      <c r="N60" s="4711" t="s">
        <v>493</v>
      </c>
      <c r="O60" s="4711"/>
      <c r="P60" s="610" t="s">
        <v>55</v>
      </c>
      <c r="Q60" s="3600" t="s">
        <v>507</v>
      </c>
      <c r="R60" s="362"/>
      <c r="S60" s="362"/>
      <c r="T60" s="362"/>
      <c r="U60" s="1391" t="s">
        <v>492</v>
      </c>
      <c r="V60" s="2"/>
      <c r="W60" s="362"/>
      <c r="X60" s="362"/>
      <c r="Y60" s="362"/>
      <c r="Z60" s="362"/>
      <c r="AA60" s="4475" t="s">
        <v>89</v>
      </c>
      <c r="AB60" s="4475"/>
      <c r="AC60" s="362"/>
      <c r="AD60" s="362"/>
      <c r="AE60" s="362"/>
      <c r="AF60" s="362"/>
      <c r="AG60" s="362"/>
      <c r="AH60" s="1026"/>
    </row>
    <row r="61" spans="1:34">
      <c r="A61" s="4705"/>
      <c r="B61" s="39" t="s">
        <v>81</v>
      </c>
      <c r="C61" s="1417" t="s">
        <v>396</v>
      </c>
      <c r="D61" s="923"/>
      <c r="E61" s="362"/>
      <c r="F61" s="362"/>
      <c r="G61" s="362"/>
      <c r="H61" s="1277"/>
      <c r="I61" s="380"/>
      <c r="J61" s="537"/>
      <c r="K61" s="1259"/>
      <c r="L61" s="373"/>
      <c r="M61" s="1277"/>
      <c r="N61" s="901"/>
      <c r="O61" s="931"/>
      <c r="P61" s="824"/>
      <c r="Q61" s="362"/>
      <c r="R61" s="362"/>
      <c r="S61" s="362"/>
      <c r="T61" s="362"/>
      <c r="U61" s="362"/>
      <c r="V61" s="362"/>
      <c r="W61" s="362"/>
      <c r="X61" s="362"/>
      <c r="Y61" s="362"/>
      <c r="Z61" s="362"/>
      <c r="AA61" s="362"/>
      <c r="AB61" s="362"/>
      <c r="AC61" s="362"/>
      <c r="AD61" s="362"/>
      <c r="AE61" s="362"/>
      <c r="AF61" s="362"/>
      <c r="AG61" s="362"/>
      <c r="AH61" s="1026"/>
    </row>
    <row r="62" spans="1:34" ht="22.5">
      <c r="A62" s="4705"/>
      <c r="B62" s="39" t="s">
        <v>95</v>
      </c>
      <c r="C62" s="1418" t="s">
        <v>86</v>
      </c>
      <c r="D62" s="364"/>
      <c r="E62" s="362"/>
      <c r="F62" s="362"/>
      <c r="G62" s="362"/>
      <c r="H62" s="1277"/>
      <c r="I62" s="380"/>
      <c r="J62" s="537"/>
      <c r="K62" s="364"/>
      <c r="L62" s="373"/>
      <c r="M62" s="610" t="s">
        <v>55</v>
      </c>
      <c r="N62" s="4711" t="s">
        <v>493</v>
      </c>
      <c r="O62" s="4711"/>
      <c r="P62" s="610" t="s">
        <v>55</v>
      </c>
      <c r="Q62" s="362"/>
      <c r="R62" s="362"/>
      <c r="S62" s="362"/>
      <c r="T62" s="362"/>
      <c r="U62" s="1391" t="s">
        <v>492</v>
      </c>
      <c r="V62" s="1277"/>
      <c r="W62" s="4707" t="s">
        <v>482</v>
      </c>
      <c r="X62" s="4707"/>
      <c r="Y62" s="4707"/>
      <c r="Z62" s="4707"/>
      <c r="AA62" s="4707"/>
      <c r="AB62" s="4707"/>
      <c r="AC62" s="4707"/>
      <c r="AD62" s="4707"/>
      <c r="AE62" s="4707"/>
      <c r="AF62" s="4707"/>
      <c r="AG62" s="4707"/>
      <c r="AH62" s="4708"/>
    </row>
    <row r="63" spans="1:34" ht="15.75">
      <c r="A63" s="4705"/>
      <c r="B63" s="39" t="s">
        <v>77</v>
      </c>
      <c r="C63" s="990" t="s">
        <v>340</v>
      </c>
      <c r="D63" s="923"/>
      <c r="E63" s="362"/>
      <c r="F63" s="362"/>
      <c r="G63" s="362"/>
      <c r="H63" s="574" t="s">
        <v>55</v>
      </c>
      <c r="I63" s="4601" t="s">
        <v>494</v>
      </c>
      <c r="J63" s="4601"/>
      <c r="K63" s="574" t="s">
        <v>55</v>
      </c>
      <c r="L63" s="1436" t="s">
        <v>55</v>
      </c>
      <c r="M63" s="4712" t="s">
        <v>508</v>
      </c>
      <c r="N63" s="4712"/>
      <c r="O63" s="4712"/>
      <c r="P63" s="4712"/>
      <c r="Q63" s="4712"/>
      <c r="R63" s="4712"/>
      <c r="S63" s="4712"/>
      <c r="T63" s="4712"/>
      <c r="U63" s="4712"/>
      <c r="V63" s="4712"/>
      <c r="W63" s="4712"/>
      <c r="X63" s="4712"/>
      <c r="Y63" s="4713" t="s">
        <v>55</v>
      </c>
      <c r="Z63" s="4713"/>
      <c r="AA63" s="824"/>
      <c r="AB63" s="824"/>
      <c r="AC63" s="824"/>
      <c r="AD63" s="824"/>
      <c r="AE63" s="824"/>
      <c r="AF63" s="824"/>
      <c r="AG63" s="824"/>
      <c r="AH63" s="1059"/>
    </row>
    <row r="64" spans="1:34">
      <c r="A64" s="4705"/>
      <c r="B64" s="39" t="s">
        <v>81</v>
      </c>
      <c r="C64" s="955" t="s">
        <v>303</v>
      </c>
      <c r="D64" s="923"/>
      <c r="E64" s="362"/>
      <c r="F64" s="362"/>
      <c r="G64" s="362"/>
      <c r="H64" s="362"/>
      <c r="I64" s="362"/>
      <c r="J64" s="362"/>
      <c r="K64" s="362"/>
      <c r="L64" s="373"/>
      <c r="M64" s="362"/>
      <c r="N64" s="362"/>
      <c r="O64" s="380"/>
      <c r="P64" s="537"/>
      <c r="Q64" s="362"/>
      <c r="R64" s="362"/>
      <c r="S64" s="362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1432" t="s">
        <v>55</v>
      </c>
      <c r="AH64" s="1461" t="s">
        <v>509</v>
      </c>
    </row>
    <row r="65" spans="1:34" ht="15.75">
      <c r="A65" s="4706"/>
      <c r="B65" s="1223" t="s">
        <v>155</v>
      </c>
      <c r="C65" s="956" t="s">
        <v>156</v>
      </c>
      <c r="D65" s="1027"/>
      <c r="E65" s="1029"/>
      <c r="F65" s="1029"/>
      <c r="G65" s="1029"/>
      <c r="H65" s="1053" t="s">
        <v>55</v>
      </c>
      <c r="I65" s="4709" t="s">
        <v>494</v>
      </c>
      <c r="J65" s="4709"/>
      <c r="K65" s="1053" t="s">
        <v>55</v>
      </c>
      <c r="L65" s="1029"/>
      <c r="M65" s="1030"/>
      <c r="N65" s="1441"/>
      <c r="O65" s="1016"/>
      <c r="P65" s="1040"/>
      <c r="Q65" s="1442"/>
      <c r="R65" s="1030"/>
      <c r="S65" s="1441"/>
      <c r="T65" s="1443"/>
      <c r="U65" s="1443"/>
      <c r="V65" s="1443"/>
      <c r="W65" s="1442"/>
      <c r="X65" s="1030"/>
      <c r="Y65" s="1030"/>
      <c r="Z65" s="1030"/>
      <c r="AA65" s="1030"/>
      <c r="AB65" s="1030"/>
      <c r="AC65" s="4423" t="s">
        <v>510</v>
      </c>
      <c r="AD65" s="4424"/>
      <c r="AE65" s="4424"/>
      <c r="AF65" s="4424"/>
      <c r="AG65" s="4424"/>
      <c r="AH65" s="4732"/>
    </row>
    <row r="66" spans="1:34" ht="18" customHeight="1"/>
    <row r="67" spans="1:34" ht="26.25" customHeight="1"/>
    <row r="68" spans="1:34" ht="36" customHeight="1"/>
  </sheetData>
  <mergeCells count="100">
    <mergeCell ref="I17:J17"/>
    <mergeCell ref="I31:J31"/>
    <mergeCell ref="N15:O15"/>
    <mergeCell ref="L31:N31"/>
    <mergeCell ref="AC65:AH65"/>
    <mergeCell ref="Y33:AH33"/>
    <mergeCell ref="Y36:AH36"/>
    <mergeCell ref="R33:X33"/>
    <mergeCell ref="Y30:AH30"/>
    <mergeCell ref="R30:X30"/>
    <mergeCell ref="Y24:AH24"/>
    <mergeCell ref="Y29:AH29"/>
    <mergeCell ref="Y19:AH19"/>
    <mergeCell ref="AG28:AH28"/>
    <mergeCell ref="F30:P30"/>
    <mergeCell ref="T24:X24"/>
    <mergeCell ref="T19:X19"/>
    <mergeCell ref="T29:X29"/>
    <mergeCell ref="D49:X49"/>
    <mergeCell ref="D51:E51"/>
    <mergeCell ref="I53:J53"/>
    <mergeCell ref="D42:E42"/>
    <mergeCell ref="T23:AH23"/>
    <mergeCell ref="AA49:AE49"/>
    <mergeCell ref="Y34:AH34"/>
    <mergeCell ref="Y52:AH52"/>
    <mergeCell ref="Y53:AH53"/>
    <mergeCell ref="O45:AC45"/>
    <mergeCell ref="T34:X34"/>
    <mergeCell ref="T35:X35"/>
    <mergeCell ref="T36:X36"/>
    <mergeCell ref="J41:U41"/>
    <mergeCell ref="J44:U44"/>
    <mergeCell ref="A59:A65"/>
    <mergeCell ref="AA60:AB60"/>
    <mergeCell ref="Y59:AH59"/>
    <mergeCell ref="W62:AH62"/>
    <mergeCell ref="I65:J65"/>
    <mergeCell ref="D60:G60"/>
    <mergeCell ref="N62:O62"/>
    <mergeCell ref="I60:J60"/>
    <mergeCell ref="N60:O60"/>
    <mergeCell ref="M63:X63"/>
    <mergeCell ref="Y63:Z63"/>
    <mergeCell ref="I63:J63"/>
    <mergeCell ref="T59:X59"/>
    <mergeCell ref="D8:I8"/>
    <mergeCell ref="A1:C1"/>
    <mergeCell ref="D1:AH1"/>
    <mergeCell ref="A2:C2"/>
    <mergeCell ref="A3:C3"/>
    <mergeCell ref="A4:C4"/>
    <mergeCell ref="D4:G4"/>
    <mergeCell ref="A5:C5"/>
    <mergeCell ref="A8:C8"/>
    <mergeCell ref="Y5:AH5"/>
    <mergeCell ref="P7:AH7"/>
    <mergeCell ref="H6:X6"/>
    <mergeCell ref="D5:P5"/>
    <mergeCell ref="D6:E6"/>
    <mergeCell ref="G7:M7"/>
    <mergeCell ref="Y6:AH6"/>
    <mergeCell ref="A13:C13"/>
    <mergeCell ref="A7:C7"/>
    <mergeCell ref="A9:C9"/>
    <mergeCell ref="A14:C14"/>
    <mergeCell ref="A6:C6"/>
    <mergeCell ref="A10:C10"/>
    <mergeCell ref="A17:C17"/>
    <mergeCell ref="A20:C20"/>
    <mergeCell ref="A16:C16"/>
    <mergeCell ref="J8:AH8"/>
    <mergeCell ref="A37:A51"/>
    <mergeCell ref="D35:O35"/>
    <mergeCell ref="Q43:AH43"/>
    <mergeCell ref="Y35:AH35"/>
    <mergeCell ref="A29:A31"/>
    <mergeCell ref="A32:A36"/>
    <mergeCell ref="I29:J29"/>
    <mergeCell ref="A18:C18"/>
    <mergeCell ref="A15:C15"/>
    <mergeCell ref="A11:C11"/>
    <mergeCell ref="A12:C12"/>
    <mergeCell ref="AC32:AG32"/>
    <mergeCell ref="A19:C19"/>
    <mergeCell ref="A21:C21"/>
    <mergeCell ref="A26:A28"/>
    <mergeCell ref="N58:O58"/>
    <mergeCell ref="L51:AB51"/>
    <mergeCell ref="I25:J25"/>
    <mergeCell ref="T53:X53"/>
    <mergeCell ref="T52:X52"/>
    <mergeCell ref="T54:X54"/>
    <mergeCell ref="T56:X56"/>
    <mergeCell ref="A52:A54"/>
    <mergeCell ref="A55:A58"/>
    <mergeCell ref="I56:J56"/>
    <mergeCell ref="Y56:AH56"/>
    <mergeCell ref="Y54:AH54"/>
    <mergeCell ref="D55:F55"/>
  </mergeCells>
  <pageMargins left="0.7" right="0.7" top="0.75" bottom="0.75" header="0.3" footer="0.3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F7FC-AF57-416A-85D7-E79760A1CB06}">
  <sheetPr>
    <pageSetUpPr fitToPage="1"/>
  </sheetPr>
  <dimension ref="A1:AH66"/>
  <sheetViews>
    <sheetView zoomScale="85" zoomScaleNormal="85" workbookViewId="0">
      <pane xSplit="3" ySplit="4" topLeftCell="K28" activePane="bottomRight" state="frozen"/>
      <selection pane="bottomRight" activeCell="K28" sqref="K28:N28"/>
      <selection pane="bottomLeft"/>
      <selection pane="topRight"/>
    </sheetView>
  </sheetViews>
  <sheetFormatPr defaultRowHeight="15"/>
  <cols>
    <col min="3" max="3" width="11.5703125" bestFit="1" customWidth="1"/>
    <col min="4" max="4" width="10" bestFit="1" customWidth="1"/>
    <col min="5" max="5" width="10" customWidth="1"/>
  </cols>
  <sheetData>
    <row r="1" spans="1:34">
      <c r="A1" s="4375" t="s">
        <v>29</v>
      </c>
      <c r="B1" s="4375"/>
      <c r="C1" s="4375"/>
      <c r="D1" s="4376" t="s">
        <v>511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525"/>
    </row>
    <row r="2" spans="1:34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4378" t="s">
        <v>32</v>
      </c>
      <c r="B3" s="4378"/>
      <c r="C3" s="4378"/>
      <c r="D3" s="3703" t="s">
        <v>33</v>
      </c>
      <c r="E3" s="3703" t="s">
        <v>34</v>
      </c>
      <c r="F3" s="3703" t="s">
        <v>33</v>
      </c>
      <c r="G3" s="3703" t="s">
        <v>35</v>
      </c>
      <c r="H3" s="19" t="s">
        <v>36</v>
      </c>
      <c r="I3" s="19" t="s">
        <v>36</v>
      </c>
      <c r="J3" s="3703" t="s">
        <v>37</v>
      </c>
      <c r="K3" s="3703" t="s">
        <v>33</v>
      </c>
      <c r="L3" s="3703" t="s">
        <v>34</v>
      </c>
      <c r="M3" s="3703" t="s">
        <v>33</v>
      </c>
      <c r="N3" s="3703" t="s">
        <v>35</v>
      </c>
      <c r="O3" s="19" t="s">
        <v>36</v>
      </c>
      <c r="P3" s="19" t="s">
        <v>36</v>
      </c>
      <c r="Q3" s="3703" t="s">
        <v>37</v>
      </c>
      <c r="R3" s="3703" t="s">
        <v>33</v>
      </c>
      <c r="S3" s="3703" t="s">
        <v>34</v>
      </c>
      <c r="T3" s="40" t="s">
        <v>33</v>
      </c>
      <c r="U3" s="3703" t="s">
        <v>35</v>
      </c>
      <c r="V3" s="19" t="s">
        <v>36</v>
      </c>
      <c r="W3" s="19" t="s">
        <v>36</v>
      </c>
      <c r="X3" s="3703" t="s">
        <v>37</v>
      </c>
      <c r="Y3" s="41" t="s">
        <v>33</v>
      </c>
      <c r="Z3" s="41" t="s">
        <v>34</v>
      </c>
      <c r="AA3" s="41" t="s">
        <v>33</v>
      </c>
      <c r="AB3" s="41" t="s">
        <v>35</v>
      </c>
      <c r="AC3" s="19" t="s">
        <v>36</v>
      </c>
      <c r="AD3" s="19" t="s">
        <v>36</v>
      </c>
      <c r="AE3" s="3703" t="s">
        <v>37</v>
      </c>
      <c r="AF3" s="3703" t="s">
        <v>33</v>
      </c>
      <c r="AG3" s="3703" t="s">
        <v>34</v>
      </c>
      <c r="AH3" s="40" t="s">
        <v>33</v>
      </c>
    </row>
    <row r="4" spans="1:34" ht="15.75">
      <c r="A4" s="4249" t="s">
        <v>38</v>
      </c>
      <c r="B4" s="4250"/>
      <c r="C4" s="4250"/>
      <c r="D4" s="1019"/>
      <c r="E4" s="1021"/>
      <c r="F4" s="1021"/>
      <c r="G4" s="1021"/>
      <c r="H4" s="1021"/>
      <c r="I4" s="1021"/>
      <c r="J4" s="1021" t="s">
        <v>512</v>
      </c>
      <c r="K4" s="4251" t="s">
        <v>513</v>
      </c>
      <c r="L4" s="4251"/>
      <c r="M4" s="425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4768" t="s">
        <v>514</v>
      </c>
      <c r="Z4" s="4769"/>
      <c r="AA4" s="4770"/>
      <c r="AB4" s="1045"/>
      <c r="AC4" s="1045"/>
      <c r="AD4" s="1045"/>
      <c r="AE4" s="1045"/>
      <c r="AF4" s="1045"/>
      <c r="AG4" s="1045"/>
      <c r="AH4" s="1045"/>
    </row>
    <row r="5" spans="1:34">
      <c r="A5" s="4286" t="s">
        <v>42</v>
      </c>
      <c r="B5" s="4286"/>
      <c r="C5" s="4389"/>
      <c r="D5" s="4399" t="s">
        <v>26</v>
      </c>
      <c r="E5" s="4316"/>
      <c r="F5" s="4316"/>
      <c r="G5" s="4316"/>
      <c r="H5" s="4285" t="s">
        <v>308</v>
      </c>
      <c r="I5" s="4285"/>
      <c r="J5" s="4285"/>
      <c r="K5" s="4285"/>
      <c r="L5" s="4285"/>
      <c r="M5" s="4285"/>
      <c r="N5" s="4285"/>
      <c r="O5" s="4285"/>
      <c r="P5" s="4285"/>
      <c r="Q5" s="4285"/>
      <c r="R5" s="4285"/>
      <c r="S5" s="4285"/>
      <c r="T5" s="4286" t="s">
        <v>221</v>
      </c>
      <c r="U5" s="4286"/>
      <c r="V5" s="4286"/>
      <c r="W5" s="4286"/>
      <c r="X5" s="4286"/>
      <c r="Y5" s="4286"/>
      <c r="Z5" s="4286"/>
      <c r="AA5" s="1531"/>
      <c r="AB5" s="4389" t="s">
        <v>515</v>
      </c>
      <c r="AC5" s="4349"/>
      <c r="AD5" s="4349"/>
      <c r="AE5" s="4349"/>
      <c r="AF5" s="4349"/>
      <c r="AG5" s="4349"/>
      <c r="AH5" s="4350"/>
    </row>
    <row r="6" spans="1:34">
      <c r="A6" s="4061" t="s">
        <v>165</v>
      </c>
      <c r="B6" s="4062"/>
      <c r="C6" s="4062"/>
      <c r="D6" s="4399" t="s">
        <v>26</v>
      </c>
      <c r="E6" s="4316"/>
      <c r="F6" s="4316"/>
      <c r="G6" s="4316"/>
      <c r="H6" s="569"/>
      <c r="I6" s="1532"/>
      <c r="J6" s="1532"/>
      <c r="K6" s="1532"/>
      <c r="L6" s="1532"/>
      <c r="M6" s="1532"/>
      <c r="N6" s="569"/>
      <c r="O6" s="569"/>
      <c r="P6" s="4285" t="s">
        <v>308</v>
      </c>
      <c r="Q6" s="4285"/>
      <c r="R6" s="4285"/>
      <c r="S6" s="4285"/>
      <c r="T6" s="4285"/>
      <c r="U6" s="4285"/>
      <c r="V6" s="4285"/>
      <c r="W6" s="4285"/>
      <c r="X6" s="4285"/>
      <c r="Y6" s="4285"/>
      <c r="Z6" s="4285"/>
      <c r="AA6" s="4285"/>
      <c r="AB6" s="4777"/>
      <c r="AC6" s="4777"/>
      <c r="AD6" s="4777"/>
      <c r="AE6" s="4777"/>
      <c r="AF6" s="4777"/>
      <c r="AG6" s="4777"/>
      <c r="AH6" s="4778"/>
    </row>
    <row r="7" spans="1:34">
      <c r="A7" s="4265" t="s">
        <v>407</v>
      </c>
      <c r="B7" s="4266"/>
      <c r="C7" s="4266"/>
      <c r="D7" s="4383" t="s">
        <v>308</v>
      </c>
      <c r="E7" s="4384"/>
      <c r="F7" s="4384"/>
      <c r="G7" s="4384"/>
      <c r="H7" s="4384"/>
      <c r="I7" s="4384"/>
      <c r="J7" s="4384"/>
      <c r="K7" s="4384"/>
      <c r="L7" s="4384"/>
      <c r="M7" s="4384"/>
      <c r="N7" s="4384"/>
      <c r="O7" s="4384"/>
      <c r="P7" s="4384"/>
      <c r="Q7" s="4384"/>
      <c r="R7" s="4384"/>
      <c r="S7" s="4384"/>
      <c r="T7" s="4384"/>
      <c r="U7" s="4384"/>
      <c r="V7" s="4384"/>
      <c r="W7" s="4384"/>
      <c r="X7" s="4384"/>
      <c r="Y7" s="4384"/>
      <c r="Z7" s="4384"/>
      <c r="AA7" s="4384"/>
      <c r="AB7" s="4384"/>
      <c r="AC7" s="4384"/>
      <c r="AD7" s="4384"/>
      <c r="AE7" s="4384"/>
      <c r="AF7" s="4384"/>
      <c r="AG7" s="4384"/>
      <c r="AH7" s="4776"/>
    </row>
    <row r="8" spans="1:34">
      <c r="A8" s="4533" t="s">
        <v>262</v>
      </c>
      <c r="B8" s="4533"/>
      <c r="C8" s="4533"/>
      <c r="D8" s="1533"/>
      <c r="E8" s="1464"/>
      <c r="F8" s="1475"/>
      <c r="G8" s="1475"/>
      <c r="H8" s="1475"/>
      <c r="I8" s="1475"/>
      <c r="J8" s="1463"/>
      <c r="K8" s="4440" t="s">
        <v>446</v>
      </c>
      <c r="L8" s="4441"/>
      <c r="M8" s="4441"/>
      <c r="N8" s="4441"/>
      <c r="O8" s="4441"/>
      <c r="P8" s="4441"/>
      <c r="Q8" s="4441"/>
      <c r="R8" s="4441"/>
      <c r="S8" s="4441"/>
      <c r="T8" s="4441"/>
      <c r="U8" s="4441"/>
      <c r="V8" s="4441"/>
      <c r="W8" s="4441"/>
      <c r="X8" s="4441"/>
      <c r="Y8" s="4441"/>
      <c r="Z8" s="4441"/>
      <c r="AA8" s="4441"/>
      <c r="AB8" s="4441"/>
      <c r="AC8" s="4441"/>
      <c r="AD8" s="4441"/>
      <c r="AE8" s="4441"/>
      <c r="AF8" s="4441"/>
      <c r="AG8" s="4442"/>
      <c r="AH8" s="3597" t="s">
        <v>308</v>
      </c>
    </row>
    <row r="9" spans="1:34">
      <c r="A9" s="4391" t="s">
        <v>516</v>
      </c>
      <c r="B9" s="4391"/>
      <c r="C9" s="4391"/>
      <c r="D9" s="1532"/>
      <c r="E9" s="1534"/>
      <c r="F9" s="1532"/>
      <c r="G9" s="1532"/>
      <c r="H9" s="1532"/>
      <c r="I9" s="1532"/>
      <c r="J9" s="1532"/>
      <c r="K9" s="1532"/>
      <c r="L9" s="1532"/>
      <c r="M9" s="1532"/>
      <c r="N9" s="1532"/>
      <c r="O9" s="1532"/>
      <c r="P9" s="1532"/>
      <c r="Q9" s="1532"/>
      <c r="R9" s="1532"/>
      <c r="S9" s="1532"/>
      <c r="T9" s="1532"/>
      <c r="U9" s="1532"/>
      <c r="V9" s="1532"/>
      <c r="W9" s="1532"/>
      <c r="X9" s="1532"/>
      <c r="Y9" s="1532"/>
      <c r="Z9" s="1532"/>
      <c r="AA9" s="1532"/>
      <c r="AB9" s="1532"/>
      <c r="AC9" s="1532"/>
      <c r="AD9" s="1532"/>
      <c r="AE9" s="1532"/>
      <c r="AF9" s="1532"/>
      <c r="AG9" s="1535"/>
      <c r="AH9" s="1536"/>
    </row>
    <row r="10" spans="1:34">
      <c r="A10" s="4381" t="s">
        <v>272</v>
      </c>
      <c r="B10" s="4382"/>
      <c r="C10" s="4382"/>
      <c r="D10" s="1537"/>
      <c r="E10" s="1475"/>
      <c r="F10" s="1475"/>
      <c r="G10" s="1475"/>
      <c r="H10" s="1475"/>
      <c r="I10" s="1475"/>
      <c r="J10" s="1475"/>
      <c r="K10" s="1475"/>
      <c r="L10" s="4782" t="s">
        <v>517</v>
      </c>
      <c r="M10" s="4783"/>
      <c r="N10" s="1475"/>
      <c r="O10" s="1475"/>
      <c r="P10" s="1475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1475"/>
      <c r="AE10" s="1252"/>
      <c r="AF10" s="1252"/>
      <c r="AG10" s="1252"/>
      <c r="AH10" s="1538"/>
    </row>
    <row r="11" spans="1:34">
      <c r="A11" s="4380" t="s">
        <v>265</v>
      </c>
      <c r="B11" s="4532"/>
      <c r="C11" s="4532"/>
      <c r="D11" s="1539"/>
      <c r="E11" s="569"/>
      <c r="F11" s="569"/>
      <c r="G11" s="569"/>
      <c r="H11" s="569"/>
      <c r="I11" s="569"/>
      <c r="J11" s="569"/>
      <c r="K11" s="569"/>
      <c r="L11" s="569"/>
      <c r="M11" s="569"/>
      <c r="N11" s="569"/>
      <c r="O11" s="569"/>
      <c r="P11" s="569"/>
      <c r="Q11" s="569"/>
      <c r="R11" s="569"/>
      <c r="S11" s="569"/>
      <c r="T11" s="569"/>
      <c r="U11" s="569"/>
      <c r="V11" s="569"/>
      <c r="W11" s="569"/>
      <c r="X11" s="569"/>
      <c r="Y11" s="569"/>
      <c r="Z11" s="569"/>
      <c r="AA11" s="569"/>
      <c r="AB11" s="569"/>
      <c r="AC11" s="569"/>
      <c r="AD11" s="569"/>
      <c r="AE11" s="569"/>
      <c r="AF11" s="569"/>
      <c r="AG11" s="569"/>
      <c r="AH11" s="1540"/>
    </row>
    <row r="12" spans="1:34" ht="15.75" customHeight="1">
      <c r="A12" s="4263" t="s">
        <v>60</v>
      </c>
      <c r="B12" s="4264"/>
      <c r="C12" s="4264"/>
      <c r="D12" s="1539"/>
      <c r="E12" s="1541"/>
      <c r="F12" s="1541"/>
      <c r="G12" s="569"/>
      <c r="H12" s="569"/>
      <c r="I12" s="569"/>
      <c r="J12" s="569"/>
      <c r="K12" s="569"/>
      <c r="L12" s="569"/>
      <c r="M12" s="569"/>
      <c r="N12" s="569"/>
      <c r="O12" s="1541"/>
      <c r="P12" s="1541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1540"/>
    </row>
    <row r="13" spans="1:34">
      <c r="A13" s="4623" t="s">
        <v>63</v>
      </c>
      <c r="B13" s="4623"/>
      <c r="C13" s="4766"/>
      <c r="D13" s="1539"/>
      <c r="E13" s="569"/>
      <c r="F13" s="1541"/>
      <c r="G13" s="569"/>
      <c r="H13" s="569"/>
      <c r="I13" s="569"/>
      <c r="J13" s="569"/>
      <c r="K13" s="569"/>
      <c r="L13" s="569"/>
      <c r="M13" s="569"/>
      <c r="N13" s="569"/>
      <c r="O13" s="1541"/>
      <c r="P13" s="1541"/>
      <c r="Q13" s="569"/>
      <c r="R13" s="569"/>
      <c r="S13" s="569"/>
      <c r="T13" s="569"/>
      <c r="U13" s="569"/>
      <c r="V13" s="569"/>
      <c r="W13" s="569"/>
      <c r="X13" s="569"/>
      <c r="Y13" s="569"/>
      <c r="Z13" s="569"/>
      <c r="AA13" s="569"/>
      <c r="AB13" s="569"/>
      <c r="AC13" s="569"/>
      <c r="AD13" s="569"/>
      <c r="AE13" s="569"/>
      <c r="AF13" s="569"/>
      <c r="AG13" s="569"/>
      <c r="AH13" s="1540"/>
    </row>
    <row r="14" spans="1:34">
      <c r="A14" s="4765" t="s">
        <v>54</v>
      </c>
      <c r="B14" s="4765"/>
      <c r="C14" s="4765"/>
      <c r="D14" s="1539"/>
      <c r="E14" s="4786" t="s">
        <v>518</v>
      </c>
      <c r="F14" s="4787"/>
      <c r="G14" s="569"/>
      <c r="H14" s="569"/>
      <c r="I14" s="569"/>
      <c r="J14" s="569"/>
      <c r="K14" s="569"/>
      <c r="L14" s="569"/>
      <c r="M14" s="569"/>
      <c r="N14" s="569"/>
      <c r="O14" s="1541"/>
      <c r="P14" s="1541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1540"/>
    </row>
    <row r="15" spans="1:34">
      <c r="A15" s="4360" t="s">
        <v>365</v>
      </c>
      <c r="B15" s="4360"/>
      <c r="C15" s="4360"/>
      <c r="D15" s="1542"/>
      <c r="E15" s="1543"/>
      <c r="F15" s="1543"/>
      <c r="G15" s="1544"/>
      <c r="H15" s="569"/>
      <c r="I15" s="569"/>
      <c r="J15" s="569"/>
      <c r="K15" s="569"/>
      <c r="L15" s="569"/>
      <c r="M15" s="1545" t="s">
        <v>519</v>
      </c>
      <c r="N15" s="1531"/>
      <c r="O15" s="569"/>
      <c r="P15" s="1541"/>
      <c r="Q15" s="1541"/>
      <c r="R15" s="1541"/>
      <c r="S15" s="1541"/>
      <c r="T15" s="1541"/>
      <c r="U15" s="1541"/>
      <c r="V15" s="1541"/>
      <c r="W15" s="1541"/>
      <c r="X15" s="1541"/>
      <c r="Y15" s="1541"/>
      <c r="Z15" s="1541"/>
      <c r="AA15" s="1541"/>
      <c r="AB15" s="1541"/>
      <c r="AC15" s="1541"/>
      <c r="AD15" s="569"/>
      <c r="AE15" s="569"/>
      <c r="AF15" s="569"/>
      <c r="AG15" s="569"/>
      <c r="AH15" s="1540"/>
    </row>
    <row r="16" spans="1:34">
      <c r="A16" s="4763" t="s">
        <v>520</v>
      </c>
      <c r="B16" s="4763"/>
      <c r="C16" s="4764"/>
      <c r="D16" s="1542"/>
      <c r="E16" s="1543"/>
      <c r="F16" s="1543"/>
      <c r="G16" s="569"/>
      <c r="H16" s="569"/>
      <c r="I16" s="569"/>
      <c r="J16" s="3634"/>
      <c r="K16" s="3677" t="s">
        <v>521</v>
      </c>
      <c r="L16" s="569"/>
      <c r="M16" s="1541"/>
      <c r="N16" s="1546"/>
      <c r="O16" s="1531"/>
      <c r="P16" s="1547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1548"/>
      <c r="AD16" s="1544"/>
      <c r="AE16" s="569"/>
      <c r="AF16" s="569"/>
      <c r="AG16" s="569"/>
      <c r="AH16" s="1540"/>
    </row>
    <row r="17" spans="1:34" ht="15.75">
      <c r="A17" s="4361" t="s">
        <v>366</v>
      </c>
      <c r="B17" s="4361"/>
      <c r="C17" s="4361"/>
      <c r="D17" s="1539"/>
      <c r="E17" s="1543"/>
      <c r="F17" s="1543"/>
      <c r="G17" s="569"/>
      <c r="H17" s="569"/>
      <c r="I17" s="569"/>
      <c r="J17" s="569"/>
      <c r="K17" s="1531"/>
      <c r="L17" s="904"/>
      <c r="M17" s="904"/>
      <c r="N17" s="1546"/>
      <c r="O17" s="1531"/>
      <c r="P17" s="3585"/>
      <c r="Q17" s="4779" t="s">
        <v>366</v>
      </c>
      <c r="R17" s="4780"/>
      <c r="S17" s="4780"/>
      <c r="T17" s="4780"/>
      <c r="U17" s="4780"/>
      <c r="V17" s="4780"/>
      <c r="W17" s="4780"/>
      <c r="X17" s="4780"/>
      <c r="Y17" s="4780"/>
      <c r="Z17" s="4780"/>
      <c r="AA17" s="4780"/>
      <c r="AB17" s="4781"/>
      <c r="AC17" s="1544"/>
      <c r="AD17" s="1544"/>
      <c r="AE17" s="569"/>
      <c r="AF17" s="569"/>
      <c r="AG17" s="569"/>
      <c r="AH17" s="1540"/>
    </row>
    <row r="18" spans="1:34" ht="15.75" customHeight="1">
      <c r="A18" s="4260" t="s">
        <v>315</v>
      </c>
      <c r="B18" s="4260"/>
      <c r="C18" s="4260"/>
      <c r="D18" s="1539"/>
      <c r="E18" s="569"/>
      <c r="F18" s="569"/>
      <c r="G18" s="569"/>
      <c r="H18" s="569"/>
      <c r="I18" s="569"/>
      <c r="J18" s="569"/>
      <c r="K18" s="569"/>
      <c r="L18" s="1532"/>
      <c r="M18" s="1532"/>
      <c r="N18" s="1531"/>
      <c r="O18" s="1532"/>
      <c r="P18" s="1532"/>
      <c r="Q18" s="1534"/>
      <c r="R18" s="1532"/>
      <c r="S18" s="1532"/>
      <c r="T18" s="1532"/>
      <c r="U18" s="1532"/>
      <c r="V18" s="1532"/>
      <c r="W18" s="1532"/>
      <c r="X18" s="1532"/>
      <c r="Y18" s="1532"/>
      <c r="Z18" s="1532"/>
      <c r="AA18" s="1532"/>
      <c r="AB18" s="1532"/>
      <c r="AC18" s="1532"/>
      <c r="AD18" s="1532"/>
      <c r="AE18" s="1532"/>
      <c r="AF18" s="1532"/>
      <c r="AG18" s="1532"/>
      <c r="AH18" s="1549"/>
    </row>
    <row r="19" spans="1:34">
      <c r="A19" s="4405" t="s">
        <v>179</v>
      </c>
      <c r="B19" s="4529"/>
      <c r="C19" s="4530"/>
      <c r="D19" s="1539"/>
      <c r="E19" s="569"/>
      <c r="F19" s="569"/>
      <c r="G19" s="569"/>
      <c r="H19" s="569"/>
      <c r="I19" s="569"/>
      <c r="J19" s="569"/>
      <c r="K19" s="569"/>
      <c r="L19" s="569"/>
      <c r="M19" s="569"/>
      <c r="N19" s="569"/>
      <c r="O19" s="569"/>
      <c r="P19" s="569"/>
      <c r="Q19" s="569"/>
      <c r="R19" s="569"/>
      <c r="S19" s="569"/>
      <c r="T19" s="569"/>
      <c r="U19" s="569"/>
      <c r="V19" s="569"/>
      <c r="W19" s="1531"/>
      <c r="X19" s="1532"/>
      <c r="Y19" s="1532"/>
      <c r="Z19" s="1532"/>
      <c r="AA19" s="1532"/>
      <c r="AB19" s="1532"/>
      <c r="AC19" s="1532"/>
      <c r="AD19" s="1532"/>
      <c r="AE19" s="1532"/>
      <c r="AF19" s="1532"/>
      <c r="AG19" s="1532"/>
      <c r="AH19" s="1549"/>
    </row>
    <row r="20" spans="1:34">
      <c r="A20" s="4400" t="s">
        <v>26</v>
      </c>
      <c r="B20" s="4762"/>
      <c r="C20" s="4762"/>
      <c r="D20" s="4400" t="s">
        <v>26</v>
      </c>
      <c r="E20" s="4762"/>
      <c r="F20" s="4762"/>
      <c r="G20" s="4771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1532"/>
      <c r="Y20" s="1532"/>
      <c r="Z20" s="1532"/>
      <c r="AA20" s="1532"/>
      <c r="AB20" s="1532"/>
      <c r="AC20" s="1532"/>
      <c r="AD20" s="1532"/>
      <c r="AE20" s="1532"/>
      <c r="AF20" s="1532"/>
      <c r="AG20" s="1532"/>
      <c r="AH20" s="1549"/>
    </row>
    <row r="21" spans="1:34">
      <c r="A21" s="4408" t="s">
        <v>322</v>
      </c>
      <c r="B21" s="4536"/>
      <c r="C21" s="4536"/>
      <c r="D21" s="1550"/>
      <c r="E21" s="1541"/>
      <c r="F21" s="1541"/>
      <c r="G21" s="1541"/>
      <c r="H21" s="1541"/>
      <c r="I21" s="1541"/>
      <c r="J21" s="1541"/>
      <c r="K21" s="1541"/>
      <c r="L21" s="1541"/>
      <c r="M21" s="1541"/>
      <c r="N21" s="1541"/>
      <c r="O21" s="1541"/>
      <c r="P21" s="1541"/>
      <c r="Q21" s="1541"/>
      <c r="R21" s="1541"/>
      <c r="S21" s="1541"/>
      <c r="T21" s="1541"/>
      <c r="U21" s="1541"/>
      <c r="V21" s="1541"/>
      <c r="W21" s="1541"/>
      <c r="X21" s="1541"/>
      <c r="Y21" s="1541"/>
      <c r="Z21" s="1541"/>
      <c r="AA21" s="1541"/>
      <c r="AB21" s="1541"/>
      <c r="AC21" s="1541"/>
      <c r="AD21" s="1541"/>
      <c r="AE21" s="1541"/>
      <c r="AF21" s="1541"/>
      <c r="AG21" s="1541"/>
      <c r="AH21" s="1551"/>
    </row>
    <row r="22" spans="1:34">
      <c r="A22" s="4356" t="s">
        <v>27</v>
      </c>
      <c r="B22" s="4626"/>
      <c r="C22" s="4767"/>
      <c r="D22" s="1552"/>
      <c r="E22" s="1552"/>
      <c r="F22" s="1552"/>
      <c r="G22" s="1552"/>
      <c r="H22" s="1553"/>
      <c r="I22" s="1552"/>
      <c r="J22" s="1552"/>
      <c r="K22" s="1552"/>
      <c r="L22" s="1552"/>
      <c r="M22" s="1552"/>
      <c r="N22" s="1552"/>
      <c r="O22" s="1552"/>
      <c r="P22" s="1552"/>
      <c r="Q22" s="1552"/>
      <c r="R22" s="1552"/>
      <c r="S22" s="1552"/>
      <c r="T22" s="1552"/>
      <c r="U22" s="1552"/>
      <c r="V22" s="1552"/>
      <c r="W22" s="1552"/>
      <c r="X22" s="1552"/>
      <c r="Y22" s="1552"/>
      <c r="Z22" s="1552"/>
      <c r="AA22" s="1552"/>
      <c r="AB22" s="1552"/>
      <c r="AC22" s="1552"/>
      <c r="AD22" s="1552"/>
      <c r="AE22" s="1552"/>
      <c r="AF22" s="1552"/>
      <c r="AG22" s="1552"/>
      <c r="AH22" s="1551"/>
    </row>
    <row r="23" spans="1:34">
      <c r="A23" s="858" t="s">
        <v>66</v>
      </c>
      <c r="B23" s="1502" t="s">
        <v>67</v>
      </c>
      <c r="C23" s="1503" t="s">
        <v>74</v>
      </c>
      <c r="D23" s="1554"/>
      <c r="E23" s="4791"/>
      <c r="F23" s="4791"/>
      <c r="G23" s="1555"/>
      <c r="H23" s="1534"/>
      <c r="I23" s="1532"/>
      <c r="J23" s="1532"/>
      <c r="K23" s="1555"/>
      <c r="L23" s="1532"/>
      <c r="M23" s="1532"/>
      <c r="N23" s="1555"/>
      <c r="O23" s="1532"/>
      <c r="P23" s="1532"/>
      <c r="Q23" s="3605" t="s">
        <v>366</v>
      </c>
      <c r="R23" s="3623"/>
      <c r="S23" s="3623"/>
      <c r="T23" s="3623"/>
      <c r="U23" s="3623"/>
      <c r="V23" s="3623"/>
      <c r="W23" s="3623"/>
      <c r="X23" s="1556" t="s">
        <v>55</v>
      </c>
      <c r="Y23" s="4792" t="s">
        <v>514</v>
      </c>
      <c r="Z23" s="4793"/>
      <c r="AA23" s="4794"/>
      <c r="AB23" s="1556" t="s">
        <v>55</v>
      </c>
      <c r="AC23" s="3623"/>
      <c r="AD23" s="1532"/>
      <c r="AE23" s="1532"/>
      <c r="AF23" s="1532"/>
      <c r="AG23" s="1532"/>
      <c r="AH23" s="3633"/>
    </row>
    <row r="24" spans="1:34">
      <c r="A24" s="858" t="s">
        <v>73</v>
      </c>
      <c r="B24" s="1502" t="s">
        <v>67</v>
      </c>
      <c r="C24" s="1504" t="s">
        <v>458</v>
      </c>
      <c r="D24" s="1249" t="s">
        <v>366</v>
      </c>
      <c r="E24" s="1250"/>
      <c r="F24" s="1250"/>
      <c r="G24" s="1250"/>
      <c r="H24" s="1249" t="s">
        <v>366</v>
      </c>
      <c r="I24" s="1250"/>
      <c r="J24" s="1250"/>
      <c r="K24" s="1250"/>
      <c r="L24" s="1250"/>
      <c r="M24" s="1250"/>
      <c r="N24" s="1250"/>
      <c r="O24" s="1250"/>
      <c r="P24" s="1250"/>
      <c r="Q24" s="1250" t="s">
        <v>366</v>
      </c>
      <c r="R24" s="1250"/>
      <c r="S24" s="1250"/>
      <c r="T24" s="1250"/>
      <c r="U24" s="1250"/>
      <c r="V24" s="1250"/>
      <c r="W24" s="1250"/>
      <c r="X24" s="1250"/>
      <c r="Y24" s="1250"/>
      <c r="Z24" s="1250"/>
      <c r="AA24" s="1250"/>
      <c r="AB24" s="2991" t="s">
        <v>366</v>
      </c>
      <c r="AC24" s="1250"/>
      <c r="AD24" s="1552"/>
      <c r="AE24" s="1552"/>
      <c r="AF24" s="1552"/>
      <c r="AG24" s="1552"/>
      <c r="AH24" s="1551"/>
    </row>
    <row r="25" spans="1:34">
      <c r="A25" s="4409" t="s">
        <v>84</v>
      </c>
      <c r="B25" s="1505" t="s">
        <v>85</v>
      </c>
      <c r="C25" s="1506" t="s">
        <v>86</v>
      </c>
      <c r="D25" s="1534"/>
      <c r="E25" s="1532"/>
      <c r="F25" s="1532"/>
      <c r="G25" s="1532"/>
      <c r="H25" s="1532"/>
      <c r="I25" s="1532"/>
      <c r="J25" s="1532"/>
      <c r="K25" s="1532"/>
      <c r="L25" s="1532"/>
      <c r="M25" s="1532"/>
      <c r="N25" s="1532"/>
      <c r="O25" s="1532"/>
      <c r="P25" s="1532"/>
      <c r="Q25" s="1532"/>
      <c r="R25" s="1532"/>
      <c r="S25" s="1532"/>
      <c r="T25" s="1532"/>
      <c r="U25" s="1532"/>
      <c r="V25" s="1532"/>
      <c r="W25" s="1532"/>
      <c r="X25" s="1532"/>
      <c r="Y25" s="1532"/>
      <c r="Z25" s="1532"/>
      <c r="AA25" s="1532"/>
      <c r="AB25" s="1532"/>
      <c r="AC25" s="1532"/>
      <c r="AD25" s="1532"/>
      <c r="AE25" s="1532"/>
      <c r="AF25" s="1532"/>
      <c r="AG25" s="1532"/>
      <c r="AH25" s="1557"/>
    </row>
    <row r="26" spans="1:34">
      <c r="A26" s="4407"/>
      <c r="B26" s="1502" t="s">
        <v>87</v>
      </c>
      <c r="C26" s="1507" t="s">
        <v>88</v>
      </c>
      <c r="D26" s="1548"/>
      <c r="E26" s="1541"/>
      <c r="F26" s="1541"/>
      <c r="G26" s="1541"/>
      <c r="H26" s="1541"/>
      <c r="I26" s="1541"/>
      <c r="J26" s="1541"/>
      <c r="K26" s="1541"/>
      <c r="L26" s="1541"/>
      <c r="M26" s="1541"/>
      <c r="N26" s="1541"/>
      <c r="O26" s="1541"/>
      <c r="P26" s="1541"/>
      <c r="Q26" s="4572" t="s">
        <v>366</v>
      </c>
      <c r="R26" s="4572"/>
      <c r="S26" s="4572"/>
      <c r="T26" s="4572"/>
      <c r="U26" s="4572"/>
      <c r="V26" s="1558"/>
      <c r="W26" s="1558"/>
      <c r="X26" s="4572" t="s">
        <v>366</v>
      </c>
      <c r="Y26" s="4572"/>
      <c r="Z26" s="4572"/>
      <c r="AA26" s="4572"/>
      <c r="AB26" s="4572"/>
      <c r="AC26" s="1541"/>
      <c r="AD26" s="1541"/>
      <c r="AE26" s="1541"/>
      <c r="AF26" s="1541"/>
      <c r="AG26" s="1541"/>
      <c r="AH26" s="3635"/>
    </row>
    <row r="27" spans="1:34">
      <c r="A27" s="4407"/>
      <c r="B27" s="1508" t="s">
        <v>90</v>
      </c>
      <c r="C27" s="1509" t="s">
        <v>91</v>
      </c>
      <c r="D27" s="4468" t="s">
        <v>497</v>
      </c>
      <c r="E27" s="4468"/>
      <c r="F27" s="4468"/>
      <c r="G27" s="4468"/>
      <c r="H27" s="4468"/>
      <c r="I27" s="4468"/>
      <c r="J27" s="4468"/>
      <c r="K27" s="4468"/>
      <c r="L27" s="4468"/>
      <c r="M27" s="4468"/>
      <c r="N27" s="4468"/>
      <c r="O27" s="4468"/>
      <c r="P27" s="4468"/>
      <c r="Q27" s="4468"/>
      <c r="R27" s="4468"/>
      <c r="S27" s="4468"/>
      <c r="T27" s="4468"/>
      <c r="U27" s="4468"/>
      <c r="V27" s="4468"/>
      <c r="W27" s="4468"/>
      <c r="X27" s="4468"/>
      <c r="Y27" s="4468"/>
      <c r="Z27" s="4468"/>
      <c r="AA27" s="4468"/>
      <c r="AB27" s="4468"/>
      <c r="AC27" s="4468"/>
      <c r="AD27" s="4515"/>
      <c r="AE27" s="1541"/>
      <c r="AF27" s="1541"/>
      <c r="AG27" s="1541"/>
      <c r="AH27" s="1551"/>
    </row>
    <row r="28" spans="1:34" ht="15.75">
      <c r="A28" s="4402" t="s">
        <v>92</v>
      </c>
      <c r="B28" s="1048" t="s">
        <v>95</v>
      </c>
      <c r="C28" s="1471" t="s">
        <v>243</v>
      </c>
      <c r="D28" s="4740" t="s">
        <v>26</v>
      </c>
      <c r="E28" s="4679"/>
      <c r="F28" s="4679"/>
      <c r="G28" s="4774"/>
      <c r="H28" s="3612" t="s">
        <v>55</v>
      </c>
      <c r="I28" s="1559"/>
      <c r="J28" s="1559"/>
      <c r="K28" s="1559"/>
      <c r="L28" s="1559"/>
      <c r="M28" s="1559"/>
      <c r="N28" s="1559"/>
      <c r="O28" s="1559"/>
      <c r="P28" s="1559"/>
      <c r="Q28" s="1559"/>
      <c r="R28" s="1559"/>
      <c r="S28" s="1559"/>
      <c r="T28" s="1559"/>
      <c r="U28" s="1559"/>
      <c r="V28" s="1559"/>
      <c r="W28" s="1559"/>
      <c r="X28" s="1559"/>
      <c r="Y28" s="1559"/>
      <c r="Z28" s="1559"/>
      <c r="AA28" s="1559"/>
      <c r="AB28" s="1559"/>
      <c r="AC28" s="1559"/>
      <c r="AD28" s="1559"/>
      <c r="AE28" s="1559"/>
      <c r="AF28" s="1559"/>
      <c r="AG28" s="1559"/>
      <c r="AH28" s="1557"/>
    </row>
    <row r="29" spans="1:34" ht="15.75">
      <c r="A29" s="4403"/>
      <c r="B29" s="1327" t="s">
        <v>326</v>
      </c>
      <c r="C29" s="1472" t="s">
        <v>327</v>
      </c>
      <c r="D29" s="4737" t="s">
        <v>26</v>
      </c>
      <c r="E29" s="4737"/>
      <c r="F29" s="4737"/>
      <c r="G29" s="4759"/>
      <c r="H29" s="1460" t="s">
        <v>55</v>
      </c>
      <c r="I29" s="1560"/>
      <c r="J29" s="1560"/>
      <c r="K29" s="1560"/>
      <c r="L29" s="1560"/>
      <c r="M29" s="1560"/>
      <c r="N29" s="1560"/>
      <c r="O29" s="1560"/>
      <c r="P29" s="1560"/>
      <c r="Q29" s="1560"/>
      <c r="R29" s="1560"/>
      <c r="S29" s="1560"/>
      <c r="T29" s="1560"/>
      <c r="U29" s="1560"/>
      <c r="V29" s="1560"/>
      <c r="W29" s="1560"/>
      <c r="X29" s="1560"/>
      <c r="Y29" s="1560"/>
      <c r="Z29" s="1560"/>
      <c r="AA29" s="1560"/>
      <c r="AB29" s="1560"/>
      <c r="AC29" s="1560"/>
      <c r="AD29" s="1560"/>
      <c r="AE29" s="1560"/>
      <c r="AF29" s="1560"/>
      <c r="AG29" s="1560"/>
      <c r="AH29" s="1561"/>
    </row>
    <row r="30" spans="1:34" ht="15.75">
      <c r="A30" s="4404"/>
      <c r="B30" s="1049" t="s">
        <v>97</v>
      </c>
      <c r="C30" s="1473" t="s">
        <v>98</v>
      </c>
      <c r="D30" s="1553"/>
      <c r="E30" s="1552"/>
      <c r="F30" s="1552"/>
      <c r="G30" s="1552"/>
      <c r="H30" s="1552"/>
      <c r="I30" s="1552"/>
      <c r="J30" s="1552"/>
      <c r="K30" s="3615" t="s">
        <v>55</v>
      </c>
      <c r="L30" s="4775" t="s">
        <v>517</v>
      </c>
      <c r="M30" s="4775"/>
      <c r="N30" s="3615" t="s">
        <v>55</v>
      </c>
      <c r="O30" s="1552"/>
      <c r="P30" s="1052"/>
      <c r="Q30" s="1469"/>
      <c r="R30" s="1470"/>
      <c r="S30" s="1553"/>
      <c r="T30" s="1552"/>
      <c r="U30" s="1552"/>
      <c r="V30" s="1552"/>
      <c r="W30" s="1552"/>
      <c r="X30" s="1552"/>
      <c r="Y30" s="1552"/>
      <c r="Z30" s="1552"/>
      <c r="AA30" s="1552"/>
      <c r="AB30" s="1552"/>
      <c r="AC30" s="1552"/>
      <c r="AD30" s="1552"/>
      <c r="AE30" s="1552"/>
      <c r="AF30" s="1552"/>
      <c r="AG30" s="1552"/>
      <c r="AH30" s="1562"/>
    </row>
    <row r="31" spans="1:34">
      <c r="A31" s="4425" t="s">
        <v>99</v>
      </c>
      <c r="B31" s="1510" t="s">
        <v>100</v>
      </c>
      <c r="C31" s="1511" t="s">
        <v>101</v>
      </c>
      <c r="D31" s="1534"/>
      <c r="E31" s="1532"/>
      <c r="F31" s="1532"/>
      <c r="G31" s="1532"/>
      <c r="H31" s="1532"/>
      <c r="I31" s="1532"/>
      <c r="J31" s="1532"/>
      <c r="K31" s="1532"/>
      <c r="L31" s="1532"/>
      <c r="M31" s="1532"/>
      <c r="N31" s="1532"/>
      <c r="O31" s="1532"/>
      <c r="P31" s="1532"/>
      <c r="Q31" s="1534"/>
      <c r="R31" s="1532"/>
      <c r="S31" s="1532"/>
      <c r="T31" s="1532"/>
      <c r="U31" s="1532"/>
      <c r="V31" s="1532"/>
      <c r="W31" s="1532"/>
      <c r="X31" s="1532"/>
      <c r="Y31" s="1532"/>
      <c r="Z31" s="1532"/>
      <c r="AA31" s="1532"/>
      <c r="AB31" s="1532"/>
      <c r="AC31" s="1532"/>
      <c r="AD31" s="1532"/>
      <c r="AE31" s="1532"/>
      <c r="AF31" s="1532"/>
      <c r="AG31" s="1532"/>
      <c r="AH31" s="1549"/>
    </row>
    <row r="32" spans="1:34">
      <c r="A32" s="4425"/>
      <c r="B32" s="1502" t="s">
        <v>77</v>
      </c>
      <c r="C32" s="1504" t="s">
        <v>245</v>
      </c>
      <c r="D32" s="4771" t="s">
        <v>26</v>
      </c>
      <c r="E32" s="4316"/>
      <c r="F32" s="4316"/>
      <c r="G32" s="4316"/>
      <c r="H32" s="3589" t="s">
        <v>55</v>
      </c>
      <c r="I32" s="569"/>
      <c r="J32" s="569"/>
      <c r="K32" s="569"/>
      <c r="L32" s="569"/>
      <c r="M32" s="569"/>
      <c r="N32" s="569"/>
      <c r="O32" s="569"/>
      <c r="P32" s="569"/>
      <c r="Q32" s="1544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1540"/>
    </row>
    <row r="33" spans="1:34">
      <c r="A33" s="4425"/>
      <c r="B33" s="1502" t="s">
        <v>95</v>
      </c>
      <c r="C33" s="1504" t="s">
        <v>105</v>
      </c>
      <c r="D33" s="4734" t="s">
        <v>26</v>
      </c>
      <c r="E33" s="4737"/>
      <c r="F33" s="4737"/>
      <c r="G33" s="4759"/>
      <c r="H33" s="1556" t="s">
        <v>55</v>
      </c>
      <c r="I33" s="1560"/>
      <c r="J33" s="1560"/>
      <c r="K33" s="1695" t="s">
        <v>55</v>
      </c>
      <c r="L33" s="4772" t="s">
        <v>517</v>
      </c>
      <c r="M33" s="4773"/>
      <c r="N33" s="1556" t="s">
        <v>55</v>
      </c>
      <c r="O33" s="1532"/>
      <c r="P33" s="1532"/>
      <c r="Q33" s="569"/>
      <c r="R33" s="569"/>
      <c r="S33" s="569"/>
      <c r="T33" s="569"/>
      <c r="U33" s="569"/>
      <c r="V33" s="569"/>
      <c r="W33" s="569"/>
      <c r="X33" s="569"/>
      <c r="Y33" s="569"/>
      <c r="Z33" s="569"/>
      <c r="AA33" s="569"/>
      <c r="AB33" s="569"/>
      <c r="AC33" s="569"/>
      <c r="AD33" s="569"/>
      <c r="AE33" s="569"/>
      <c r="AF33" s="569"/>
      <c r="AG33" s="569"/>
      <c r="AH33" s="1540"/>
    </row>
    <row r="34" spans="1:34">
      <c r="A34" s="4425"/>
      <c r="B34" s="1502" t="s">
        <v>106</v>
      </c>
      <c r="C34" s="1504" t="s">
        <v>107</v>
      </c>
      <c r="D34" s="4734" t="s">
        <v>26</v>
      </c>
      <c r="E34" s="4737"/>
      <c r="F34" s="4737"/>
      <c r="G34" s="4759"/>
      <c r="H34" s="3590" t="s">
        <v>55</v>
      </c>
      <c r="I34" s="569"/>
      <c r="J34" s="569"/>
      <c r="K34" s="569"/>
      <c r="L34" s="1544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1540"/>
    </row>
    <row r="35" spans="1:34">
      <c r="A35" s="4426"/>
      <c r="B35" s="1512" t="s">
        <v>108</v>
      </c>
      <c r="C35" s="1513" t="s">
        <v>109</v>
      </c>
      <c r="D35" s="4737" t="s">
        <v>26</v>
      </c>
      <c r="E35" s="4737"/>
      <c r="F35" s="4737"/>
      <c r="G35" s="4759"/>
      <c r="H35" s="3593" t="s">
        <v>55</v>
      </c>
      <c r="I35" s="1541"/>
      <c r="J35" s="1541"/>
      <c r="K35" s="1541"/>
      <c r="L35" s="1548"/>
      <c r="M35" s="1541"/>
      <c r="N35" s="1541"/>
      <c r="O35" s="1541"/>
      <c r="P35" s="1541"/>
      <c r="Q35" s="1541"/>
      <c r="R35" s="1541"/>
      <c r="S35" s="1541"/>
      <c r="T35" s="1541"/>
      <c r="U35" s="1541"/>
      <c r="V35" s="1541"/>
      <c r="W35" s="1541"/>
      <c r="X35" s="1541"/>
      <c r="Y35" s="1541"/>
      <c r="Z35" s="1541"/>
      <c r="AA35" s="1541"/>
      <c r="AB35" s="1541"/>
      <c r="AC35" s="1541"/>
      <c r="AD35" s="1541"/>
      <c r="AE35" s="1541"/>
      <c r="AF35" s="1541"/>
      <c r="AG35" s="1541"/>
      <c r="AH35" s="1551"/>
    </row>
    <row r="36" spans="1:34">
      <c r="A36" s="4409" t="s">
        <v>110</v>
      </c>
      <c r="B36" s="1510" t="s">
        <v>77</v>
      </c>
      <c r="C36" s="1514" t="s">
        <v>201</v>
      </c>
      <c r="D36" s="1563"/>
      <c r="E36" s="1564"/>
      <c r="F36" s="1564"/>
      <c r="G36" s="1564"/>
      <c r="H36" s="1565"/>
      <c r="I36" s="1564"/>
      <c r="J36" s="1564"/>
      <c r="K36" s="1566"/>
      <c r="L36" s="1567"/>
      <c r="M36" s="1568"/>
      <c r="N36" s="1568"/>
      <c r="O36" s="1568"/>
      <c r="P36" s="1568"/>
      <c r="Q36" s="1568"/>
      <c r="R36" s="1568"/>
      <c r="S36" s="1568"/>
      <c r="T36" s="1568"/>
      <c r="U36" s="1568"/>
      <c r="V36" s="1568"/>
      <c r="W36" s="1568"/>
      <c r="X36" s="1568"/>
      <c r="Y36" s="1568"/>
      <c r="Z36" s="1568"/>
      <c r="AA36" s="1568"/>
      <c r="AB36" s="1568"/>
      <c r="AC36" s="1568"/>
      <c r="AD36" s="1568"/>
      <c r="AE36" s="1568"/>
      <c r="AF36" s="3602" t="s">
        <v>112</v>
      </c>
      <c r="AG36" s="1559"/>
      <c r="AH36" s="1557"/>
    </row>
    <row r="37" spans="1:34">
      <c r="A37" s="4407"/>
      <c r="B37" s="1510" t="s">
        <v>95</v>
      </c>
      <c r="C37" s="1514" t="s">
        <v>249</v>
      </c>
      <c r="D37" s="1569"/>
      <c r="E37" s="1570"/>
      <c r="F37" s="1570"/>
      <c r="G37" s="1570"/>
      <c r="H37" s="1570"/>
      <c r="I37" s="1570"/>
      <c r="J37" s="3624"/>
      <c r="K37" s="1571"/>
      <c r="L37" s="1572"/>
      <c r="M37" s="1572"/>
      <c r="N37" s="1572"/>
      <c r="O37" s="1572"/>
      <c r="P37" s="1572"/>
      <c r="Q37" s="1572"/>
      <c r="R37" s="1572"/>
      <c r="S37" s="1572"/>
      <c r="T37" s="1572"/>
      <c r="U37" s="1572"/>
      <c r="V37" s="1572"/>
      <c r="W37" s="1572"/>
      <c r="X37" s="1572"/>
      <c r="Y37" s="1572"/>
      <c r="Z37" s="1572"/>
      <c r="AA37" s="1572"/>
      <c r="AB37" s="1572"/>
      <c r="AC37" s="1572"/>
      <c r="AD37" s="1572"/>
      <c r="AE37" s="1572"/>
      <c r="AF37" s="1534"/>
      <c r="AG37" s="1532"/>
      <c r="AH37" s="1549"/>
    </row>
    <row r="38" spans="1:34">
      <c r="A38" s="4407"/>
      <c r="B38" s="1502" t="s">
        <v>113</v>
      </c>
      <c r="C38" s="1515" t="s">
        <v>116</v>
      </c>
      <c r="D38" s="1573"/>
      <c r="E38" s="1558"/>
      <c r="F38" s="1558"/>
      <c r="G38" s="1558"/>
      <c r="H38" s="1558"/>
      <c r="I38" s="1558"/>
      <c r="J38" s="1574"/>
      <c r="K38" s="1252"/>
      <c r="L38" s="1252"/>
      <c r="M38" s="1252"/>
      <c r="N38" s="1252"/>
      <c r="O38" s="1252"/>
      <c r="P38" s="3603"/>
      <c r="Q38" s="904"/>
      <c r="R38" s="904"/>
      <c r="S38" s="904"/>
      <c r="T38" s="904"/>
      <c r="U38" s="904"/>
      <c r="V38" s="904"/>
      <c r="W38" s="904"/>
      <c r="X38" s="904"/>
      <c r="Y38" s="904"/>
      <c r="Z38" s="1575"/>
      <c r="AA38" s="1252"/>
      <c r="AB38" s="1252"/>
      <c r="AC38" s="1252"/>
      <c r="AD38" s="1252"/>
      <c r="AE38" s="1252"/>
      <c r="AF38" s="1544"/>
      <c r="AG38" s="4748" t="s">
        <v>158</v>
      </c>
      <c r="AH38" s="4521"/>
    </row>
    <row r="39" spans="1:34">
      <c r="A39" s="4407"/>
      <c r="B39" s="1502" t="s">
        <v>522</v>
      </c>
      <c r="C39" s="1515" t="s">
        <v>114</v>
      </c>
      <c r="D39" s="1573"/>
      <c r="E39" s="1558"/>
      <c r="F39" s="1558"/>
      <c r="G39" s="4449" t="s">
        <v>523</v>
      </c>
      <c r="H39" s="4450"/>
      <c r="I39" s="4450"/>
      <c r="J39" s="4450"/>
      <c r="K39" s="4373"/>
      <c r="L39" s="4373"/>
      <c r="M39" s="4373"/>
      <c r="N39" s="4373"/>
      <c r="O39" s="3623"/>
      <c r="P39" s="3623"/>
      <c r="Q39" s="3623"/>
      <c r="R39" s="3623"/>
      <c r="S39" s="3623"/>
      <c r="T39" s="3623"/>
      <c r="U39" s="3623"/>
      <c r="V39" s="3623"/>
      <c r="W39" s="3623"/>
      <c r="X39" s="3623"/>
      <c r="Y39" s="3623"/>
      <c r="Z39" s="3623"/>
      <c r="AA39" s="3623"/>
      <c r="AB39" s="3623"/>
      <c r="AC39" s="3623"/>
      <c r="AD39" s="3623"/>
      <c r="AE39" s="3623"/>
      <c r="AF39" s="1544"/>
      <c r="AG39" s="569"/>
      <c r="AH39" s="1540"/>
    </row>
    <row r="40" spans="1:34">
      <c r="A40" s="4407"/>
      <c r="B40" s="1502" t="s">
        <v>118</v>
      </c>
      <c r="C40" s="1515" t="s">
        <v>119</v>
      </c>
      <c r="D40" s="1573"/>
      <c r="E40" s="1558"/>
      <c r="F40" s="1558"/>
      <c r="G40" s="1558"/>
      <c r="H40" s="1558"/>
      <c r="I40" s="1703" t="s">
        <v>251</v>
      </c>
      <c r="J40" s="1558"/>
      <c r="K40" s="4752" t="s">
        <v>524</v>
      </c>
      <c r="L40" s="4749"/>
      <c r="M40" s="4749"/>
      <c r="N40" s="4749"/>
      <c r="O40" s="4749"/>
      <c r="P40" s="4749"/>
      <c r="Q40" s="4749"/>
      <c r="R40" s="4749"/>
      <c r="S40" s="4749"/>
      <c r="T40" s="4749"/>
      <c r="U40" s="4753"/>
      <c r="V40" s="4752" t="s">
        <v>525</v>
      </c>
      <c r="W40" s="4749"/>
      <c r="X40" s="4749"/>
      <c r="Y40" s="4749"/>
      <c r="Z40" s="4749"/>
      <c r="AA40" s="4749"/>
      <c r="AB40" s="4749"/>
      <c r="AC40" s="4749"/>
      <c r="AD40" s="4749"/>
      <c r="AE40" s="4753"/>
      <c r="AF40" s="1462" t="s">
        <v>251</v>
      </c>
      <c r="AG40" s="1541"/>
      <c r="AH40" s="1551"/>
    </row>
    <row r="41" spans="1:34">
      <c r="A41" s="4407"/>
      <c r="B41" s="1502" t="s">
        <v>500</v>
      </c>
      <c r="C41" s="1515" t="s">
        <v>126</v>
      </c>
      <c r="D41" s="1576"/>
      <c r="E41" s="1577"/>
      <c r="F41" s="4449" t="s">
        <v>526</v>
      </c>
      <c r="G41" s="4450"/>
      <c r="H41" s="4450"/>
      <c r="I41" s="4450"/>
      <c r="J41" s="4450"/>
      <c r="K41" s="4450"/>
      <c r="L41" s="4450"/>
      <c r="M41" s="4757"/>
      <c r="N41" s="1578"/>
      <c r="O41" s="1579"/>
      <c r="P41" s="1579"/>
      <c r="Q41" s="1579"/>
      <c r="R41" s="1579"/>
      <c r="S41" s="1579"/>
      <c r="T41" s="3616"/>
      <c r="U41" s="3616"/>
      <c r="V41" s="3616"/>
      <c r="W41" s="3616"/>
      <c r="X41" s="3616"/>
      <c r="Y41" s="3616"/>
      <c r="Z41" s="3585"/>
      <c r="AA41" s="3598"/>
      <c r="AB41" s="1580"/>
      <c r="AC41" s="1580"/>
      <c r="AD41" s="1580"/>
      <c r="AE41" s="1580"/>
      <c r="AF41" s="1580"/>
      <c r="AG41" s="1580"/>
      <c r="AH41" s="1581"/>
    </row>
    <row r="42" spans="1:34">
      <c r="A42" s="4407"/>
      <c r="B42" s="1502" t="s">
        <v>120</v>
      </c>
      <c r="C42" s="1515" t="s">
        <v>121</v>
      </c>
      <c r="D42" s="4756" t="s">
        <v>527</v>
      </c>
      <c r="E42" s="4450"/>
      <c r="F42" s="4450"/>
      <c r="G42" s="4757"/>
      <c r="H42" s="1558"/>
      <c r="I42" s="1558"/>
      <c r="J42" s="1558"/>
      <c r="K42" s="1558"/>
      <c r="L42" s="1558"/>
      <c r="M42" s="1558"/>
      <c r="N42" s="1558"/>
      <c r="O42" s="1558"/>
      <c r="P42" s="1558"/>
      <c r="Q42" s="1558"/>
      <c r="R42" s="1558"/>
      <c r="S42" s="1457"/>
      <c r="T42" s="904"/>
      <c r="U42" s="904"/>
      <c r="V42" s="904"/>
      <c r="W42" s="904"/>
      <c r="X42" s="904"/>
      <c r="Y42" s="904"/>
      <c r="Z42" s="1498"/>
      <c r="AA42" s="1531"/>
      <c r="AB42" s="904"/>
      <c r="AC42" s="904"/>
      <c r="AD42" s="904"/>
      <c r="AE42" s="904"/>
      <c r="AF42" s="904"/>
      <c r="AG42" s="904"/>
      <c r="AH42" s="1582"/>
    </row>
    <row r="43" spans="1:34">
      <c r="A43" s="4407"/>
      <c r="B43" s="1502" t="s">
        <v>122</v>
      </c>
      <c r="C43" s="1515" t="s">
        <v>123</v>
      </c>
      <c r="D43" s="1583"/>
      <c r="E43" s="1584"/>
      <c r="F43" s="1584"/>
      <c r="G43" s="1584"/>
      <c r="H43" s="1584"/>
      <c r="I43" s="1703" t="s">
        <v>251</v>
      </c>
      <c r="J43" s="1584"/>
      <c r="K43" s="4752" t="s">
        <v>524</v>
      </c>
      <c r="L43" s="4749"/>
      <c r="M43" s="4749"/>
      <c r="N43" s="4749"/>
      <c r="O43" s="4749"/>
      <c r="P43" s="4749"/>
      <c r="Q43" s="4749"/>
      <c r="R43" s="4749"/>
      <c r="S43" s="4749"/>
      <c r="T43" s="4749"/>
      <c r="U43" s="4753"/>
      <c r="V43" s="1532"/>
      <c r="W43" s="1703" t="s">
        <v>251</v>
      </c>
      <c r="X43" s="1532"/>
      <c r="Y43" s="1532"/>
      <c r="Z43" s="569"/>
      <c r="AA43" s="569"/>
      <c r="AB43" s="1532"/>
      <c r="AC43" s="1532"/>
      <c r="AD43" s="1532"/>
      <c r="AE43" s="1532"/>
      <c r="AF43" s="1532"/>
      <c r="AG43" s="1532"/>
      <c r="AH43" s="1549"/>
    </row>
    <row r="44" spans="1:34">
      <c r="A44" s="4407"/>
      <c r="B44" s="1502" t="s">
        <v>124</v>
      </c>
      <c r="C44" s="1515" t="s">
        <v>125</v>
      </c>
      <c r="D44" s="1585"/>
      <c r="E44" s="1586"/>
      <c r="F44" s="1586"/>
      <c r="G44" s="1586"/>
      <c r="H44" s="1586"/>
      <c r="I44" s="1703" t="s">
        <v>251</v>
      </c>
      <c r="J44" s="904"/>
      <c r="K44" s="4752" t="s">
        <v>524</v>
      </c>
      <c r="L44" s="4749"/>
      <c r="M44" s="4749"/>
      <c r="N44" s="4749"/>
      <c r="O44" s="4749"/>
      <c r="P44" s="4749"/>
      <c r="Q44" s="4749"/>
      <c r="R44" s="4749"/>
      <c r="S44" s="4749"/>
      <c r="T44" s="4749"/>
      <c r="U44" s="4753"/>
      <c r="V44" s="4749" t="s">
        <v>528</v>
      </c>
      <c r="W44" s="4749"/>
      <c r="X44" s="4749"/>
      <c r="Y44" s="4749"/>
      <c r="Z44" s="4750"/>
      <c r="AA44" s="4750"/>
      <c r="AB44" s="4750"/>
      <c r="AC44" s="4750"/>
      <c r="AD44" s="4750"/>
      <c r="AE44" s="4751"/>
      <c r="AF44" s="1462" t="s">
        <v>251</v>
      </c>
      <c r="AG44" s="1541"/>
      <c r="AH44" s="1551"/>
    </row>
    <row r="45" spans="1:34">
      <c r="A45" s="4407"/>
      <c r="B45" s="1502" t="s">
        <v>127</v>
      </c>
      <c r="C45" s="1515" t="s">
        <v>128</v>
      </c>
      <c r="D45" s="1583"/>
      <c r="E45" s="1584"/>
      <c r="F45" s="1584"/>
      <c r="G45" s="1584"/>
      <c r="H45" s="1587"/>
      <c r="I45" s="1586"/>
      <c r="J45" s="1588"/>
      <c r="K45" s="1588"/>
      <c r="L45" s="1588"/>
      <c r="M45" s="1588"/>
      <c r="N45" s="1589"/>
      <c r="O45" s="1588"/>
      <c r="P45" s="1588"/>
      <c r="Q45" s="3577" t="s">
        <v>366</v>
      </c>
      <c r="R45" s="1590"/>
      <c r="S45" s="1591"/>
      <c r="T45" s="1591"/>
      <c r="U45" s="1591"/>
      <c r="V45" s="1541"/>
      <c r="W45" s="1541"/>
      <c r="X45" s="904"/>
      <c r="Y45" s="1497"/>
      <c r="Z45" s="4475" t="s">
        <v>438</v>
      </c>
      <c r="AA45" s="4475"/>
      <c r="AB45" s="4475"/>
      <c r="AC45" s="4475"/>
      <c r="AD45" s="4475"/>
      <c r="AE45" s="4475"/>
      <c r="AF45" s="4475"/>
      <c r="AG45" s="4475"/>
      <c r="AH45" s="4475"/>
    </row>
    <row r="46" spans="1:34">
      <c r="A46" s="4407"/>
      <c r="B46" s="1502" t="s">
        <v>129</v>
      </c>
      <c r="C46" s="1515" t="s">
        <v>130</v>
      </c>
      <c r="D46" s="1585"/>
      <c r="E46" s="1586"/>
      <c r="F46" s="1586"/>
      <c r="G46" s="1586"/>
      <c r="H46" s="1588"/>
      <c r="I46" s="3622" t="s">
        <v>251</v>
      </c>
      <c r="J46" s="904"/>
      <c r="K46" s="4749" t="s">
        <v>528</v>
      </c>
      <c r="L46" s="4749"/>
      <c r="M46" s="4749"/>
      <c r="N46" s="4749"/>
      <c r="O46" s="4749"/>
      <c r="P46" s="4749"/>
      <c r="Q46" s="4749"/>
      <c r="R46" s="4749"/>
      <c r="S46" s="4749"/>
      <c r="T46" s="4749"/>
      <c r="U46" s="4749"/>
      <c r="V46" s="4749"/>
      <c r="W46" s="4749"/>
      <c r="X46" s="4749"/>
      <c r="Y46" s="4749"/>
      <c r="Z46" s="4796"/>
      <c r="AA46" s="4796"/>
      <c r="AB46" s="4796"/>
      <c r="AC46" s="4796"/>
      <c r="AD46" s="4796"/>
      <c r="AE46" s="4797"/>
      <c r="AF46" s="1501" t="s">
        <v>251</v>
      </c>
      <c r="AG46" s="1560"/>
      <c r="AH46" s="1549"/>
    </row>
    <row r="47" spans="1:34" s="1" customFormat="1">
      <c r="A47" s="4407"/>
      <c r="B47" s="1516" t="s">
        <v>129</v>
      </c>
      <c r="C47" s="1517" t="s">
        <v>474</v>
      </c>
      <c r="D47" s="1592"/>
      <c r="E47" s="1450"/>
      <c r="F47" s="1450"/>
      <c r="G47" s="1593"/>
      <c r="H47" s="1427"/>
      <c r="I47" s="1427"/>
      <c r="J47" s="1450"/>
      <c r="K47" s="3623"/>
      <c r="L47" s="3623"/>
      <c r="M47" s="3623"/>
      <c r="N47" s="3623"/>
      <c r="O47" s="3623"/>
      <c r="P47" s="3623"/>
      <c r="Q47" s="3623"/>
      <c r="R47" s="3623"/>
      <c r="S47" s="3623"/>
      <c r="T47" s="1456"/>
      <c r="U47" s="1456"/>
      <c r="V47" s="1456"/>
      <c r="W47" s="1456"/>
      <c r="X47" s="1456"/>
      <c r="Y47" s="1456"/>
      <c r="Z47" s="3623"/>
      <c r="AA47" s="3623"/>
      <c r="AB47" s="1456"/>
      <c r="AC47" s="1456"/>
      <c r="AD47" s="1456"/>
      <c r="AE47" s="1456"/>
      <c r="AF47" s="1541"/>
      <c r="AG47" s="1541"/>
      <c r="AH47" s="1594"/>
    </row>
    <row r="48" spans="1:34">
      <c r="A48" s="4407"/>
      <c r="B48" s="1502" t="s">
        <v>134</v>
      </c>
      <c r="C48" s="1515" t="s">
        <v>135</v>
      </c>
      <c r="D48" s="1569"/>
      <c r="E48" s="1570"/>
      <c r="F48" s="1570"/>
      <c r="G48" s="1570"/>
      <c r="H48" s="1570"/>
      <c r="I48" s="1595"/>
      <c r="J48" s="1596"/>
      <c r="K48" s="1543"/>
      <c r="L48" s="1543"/>
      <c r="M48" s="1543"/>
      <c r="N48" s="1543"/>
      <c r="O48" s="1543"/>
      <c r="P48" s="1543"/>
      <c r="Q48" s="1543"/>
      <c r="R48" s="1543"/>
      <c r="S48" s="1458"/>
      <c r="T48" s="904"/>
      <c r="U48" s="904"/>
      <c r="V48" s="904"/>
      <c r="W48" s="904"/>
      <c r="X48" s="904"/>
      <c r="Y48" s="904"/>
      <c r="Z48" s="1290"/>
      <c r="AA48" s="1535"/>
      <c r="AB48" s="904"/>
      <c r="AC48" s="904"/>
      <c r="AD48" s="904"/>
      <c r="AE48" s="904"/>
      <c r="AF48" s="904"/>
      <c r="AG48" s="904"/>
      <c r="AH48" s="1500"/>
    </row>
    <row r="49" spans="1:34">
      <c r="A49" s="4407"/>
      <c r="B49" s="1502" t="s">
        <v>333</v>
      </c>
      <c r="C49" s="1515" t="s">
        <v>334</v>
      </c>
      <c r="D49" s="1573"/>
      <c r="E49" s="1558"/>
      <c r="F49" s="1558"/>
      <c r="G49" s="1558"/>
      <c r="H49" s="1574"/>
      <c r="I49" s="1588"/>
      <c r="J49" s="1588"/>
      <c r="K49" s="1597"/>
      <c r="L49" s="1597"/>
      <c r="M49" s="1597"/>
      <c r="N49" s="1598"/>
      <c r="O49" s="1597"/>
      <c r="P49" s="1597"/>
      <c r="Q49" s="1597"/>
      <c r="R49" s="1597"/>
      <c r="S49" s="1597"/>
      <c r="T49" s="1599"/>
      <c r="U49" s="1560"/>
      <c r="V49" s="1560"/>
      <c r="W49" s="1560"/>
      <c r="X49" s="1560"/>
      <c r="Y49" s="1560"/>
      <c r="Z49" s="1560"/>
      <c r="AA49" s="1560"/>
      <c r="AB49" s="1560"/>
      <c r="AC49" s="1560"/>
      <c r="AD49" s="1560"/>
      <c r="AE49" s="1560"/>
      <c r="AF49" s="1560"/>
      <c r="AG49" s="1560"/>
      <c r="AH49" s="1561"/>
    </row>
    <row r="50" spans="1:34">
      <c r="A50" s="4407"/>
      <c r="B50" s="1502" t="s">
        <v>131</v>
      </c>
      <c r="C50" s="1518" t="s">
        <v>132</v>
      </c>
      <c r="D50" s="1583"/>
      <c r="E50" s="1584"/>
      <c r="F50" s="1584"/>
      <c r="G50" s="1584"/>
      <c r="H50" s="1587"/>
      <c r="I50" s="1587"/>
      <c r="J50" s="1587"/>
      <c r="K50" s="1460" t="s">
        <v>55</v>
      </c>
      <c r="L50" s="4760" t="s">
        <v>517</v>
      </c>
      <c r="M50" s="4761"/>
      <c r="N50" s="3593" t="s">
        <v>55</v>
      </c>
      <c r="O50" s="4754" t="s">
        <v>529</v>
      </c>
      <c r="P50" s="4754"/>
      <c r="Q50" s="4754"/>
      <c r="R50" s="4754"/>
      <c r="S50" s="4754"/>
      <c r="T50" s="4754"/>
      <c r="U50" s="4754"/>
      <c r="V50" s="4754"/>
      <c r="W50" s="4754"/>
      <c r="X50" s="4754"/>
      <c r="Y50" s="4754"/>
      <c r="Z50" s="4754"/>
      <c r="AA50" s="4754"/>
      <c r="AB50" s="4754"/>
      <c r="AC50" s="4754"/>
      <c r="AD50" s="4754"/>
      <c r="AE50" s="4754"/>
      <c r="AF50" s="4754"/>
      <c r="AG50" s="4754"/>
      <c r="AH50" s="1600"/>
    </row>
    <row r="51" spans="1:34">
      <c r="A51" s="4409" t="s">
        <v>136</v>
      </c>
      <c r="B51" s="1505" t="s">
        <v>77</v>
      </c>
      <c r="C51" s="1519" t="s">
        <v>137</v>
      </c>
      <c r="D51" s="4795" t="s">
        <v>26</v>
      </c>
      <c r="E51" s="4679"/>
      <c r="F51" s="4679"/>
      <c r="G51" s="4774"/>
      <c r="H51" s="3612" t="s">
        <v>55</v>
      </c>
      <c r="I51" s="1564"/>
      <c r="J51" s="1564"/>
      <c r="K51" s="1564"/>
      <c r="L51" s="1564"/>
      <c r="M51" s="1564"/>
      <c r="N51" s="1601"/>
      <c r="O51" s="1601"/>
      <c r="P51" s="1601"/>
      <c r="Q51" s="1601"/>
      <c r="R51" s="1601"/>
      <c r="S51" s="1601"/>
      <c r="T51" s="1602"/>
      <c r="U51" s="1602"/>
      <c r="V51" s="1602"/>
      <c r="W51" s="1602"/>
      <c r="X51" s="1559"/>
      <c r="Y51" s="1559"/>
      <c r="Z51" s="1559"/>
      <c r="AA51" s="4436" t="s">
        <v>523</v>
      </c>
      <c r="AB51" s="4502"/>
      <c r="AC51" s="4502"/>
      <c r="AD51" s="4502"/>
      <c r="AE51" s="4502"/>
      <c r="AF51" s="4502"/>
      <c r="AG51" s="4502"/>
      <c r="AH51" s="4552"/>
    </row>
    <row r="52" spans="1:34">
      <c r="A52" s="4407"/>
      <c r="B52" s="1502" t="s">
        <v>95</v>
      </c>
      <c r="C52" s="1518" t="s">
        <v>139</v>
      </c>
      <c r="D52" s="4758" t="s">
        <v>26</v>
      </c>
      <c r="E52" s="4737"/>
      <c r="F52" s="4737"/>
      <c r="G52" s="4759"/>
      <c r="H52" s="3589" t="s">
        <v>55</v>
      </c>
      <c r="I52" s="569"/>
      <c r="J52" s="569"/>
      <c r="K52" s="569"/>
      <c r="L52" s="569"/>
      <c r="M52" s="1531"/>
      <c r="N52" s="1459"/>
      <c r="O52" s="4449" t="s">
        <v>530</v>
      </c>
      <c r="P52" s="4757"/>
      <c r="Q52" s="1465"/>
      <c r="R52" s="1465"/>
      <c r="S52" s="1459"/>
      <c r="T52" s="1459"/>
      <c r="U52" s="4449" t="s">
        <v>197</v>
      </c>
      <c r="V52" s="4450"/>
      <c r="W52" s="4757"/>
      <c r="X52" s="1534"/>
      <c r="Y52" s="1532"/>
      <c r="Z52" s="1532"/>
      <c r="AA52" s="1532"/>
      <c r="AB52" s="1532"/>
      <c r="AC52" s="1532"/>
      <c r="AD52" s="569"/>
      <c r="AE52" s="569"/>
      <c r="AF52" s="1531"/>
      <c r="AG52" s="1459"/>
      <c r="AH52" s="1603"/>
    </row>
    <row r="53" spans="1:34">
      <c r="A53" s="4627"/>
      <c r="B53" s="1508" t="s">
        <v>142</v>
      </c>
      <c r="C53" s="1520" t="s">
        <v>143</v>
      </c>
      <c r="D53" s="4799" t="s">
        <v>26</v>
      </c>
      <c r="E53" s="4800"/>
      <c r="F53" s="4800"/>
      <c r="G53" s="4801"/>
      <c r="H53" s="3615" t="s">
        <v>55</v>
      </c>
      <c r="I53" s="1552"/>
      <c r="J53" s="1552"/>
      <c r="K53" s="1552"/>
      <c r="L53" s="1552"/>
      <c r="M53" s="1552"/>
      <c r="N53" s="1604"/>
      <c r="O53" s="1604"/>
      <c r="P53" s="1605"/>
      <c r="Q53" s="1606"/>
      <c r="R53" s="1606"/>
      <c r="S53" s="1607"/>
      <c r="T53" s="1604"/>
      <c r="U53" s="1604"/>
      <c r="V53" s="1604"/>
      <c r="W53" s="1604"/>
      <c r="X53" s="1604"/>
      <c r="Y53" s="1604"/>
      <c r="Z53" s="1604"/>
      <c r="AA53" s="1604"/>
      <c r="AB53" s="1604"/>
      <c r="AC53" s="1608"/>
      <c r="AD53" s="1608"/>
      <c r="AE53" s="1608"/>
      <c r="AF53" s="1608"/>
      <c r="AG53" s="1608"/>
      <c r="AH53" s="1609"/>
    </row>
    <row r="54" spans="1:34">
      <c r="A54" s="4425" t="s">
        <v>144</v>
      </c>
      <c r="B54" s="1502" t="s">
        <v>145</v>
      </c>
      <c r="C54" s="1521" t="s">
        <v>148</v>
      </c>
      <c r="D54" s="4734" t="s">
        <v>26</v>
      </c>
      <c r="E54" s="4737"/>
      <c r="F54" s="4737"/>
      <c r="G54" s="4759"/>
      <c r="H54" s="1556" t="s">
        <v>55</v>
      </c>
      <c r="I54" s="1610"/>
      <c r="J54" s="1532"/>
      <c r="K54" s="1532"/>
      <c r="L54" s="1532"/>
      <c r="M54" s="1532"/>
      <c r="N54" s="1532"/>
      <c r="O54" s="1532"/>
      <c r="P54" s="1532"/>
      <c r="Q54" s="4755" t="s">
        <v>366</v>
      </c>
      <c r="R54" s="4755"/>
      <c r="S54" s="4755"/>
      <c r="T54" s="4755"/>
      <c r="U54" s="4755"/>
      <c r="V54" s="3625"/>
      <c r="W54" s="3625"/>
      <c r="X54" s="4788" t="s">
        <v>366</v>
      </c>
      <c r="Y54" s="4789"/>
      <c r="Z54" s="4789"/>
      <c r="AA54" s="4789"/>
      <c r="AB54" s="4790"/>
      <c r="AC54" s="1611"/>
      <c r="AD54" s="1611"/>
      <c r="AE54" s="1611"/>
      <c r="AF54" s="1611"/>
      <c r="AG54" s="1611"/>
      <c r="AH54" s="1612"/>
    </row>
    <row r="55" spans="1:34">
      <c r="A55" s="4425"/>
      <c r="B55" s="1502" t="s">
        <v>149</v>
      </c>
      <c r="C55" s="1522" t="s">
        <v>150</v>
      </c>
      <c r="D55" s="3594" t="s">
        <v>55</v>
      </c>
      <c r="E55" s="4784" t="s">
        <v>518</v>
      </c>
      <c r="F55" s="4785"/>
      <c r="G55" s="1460" t="s">
        <v>55</v>
      </c>
      <c r="H55" s="569"/>
      <c r="I55" s="569"/>
      <c r="J55" s="1532"/>
      <c r="K55" s="1532"/>
      <c r="L55" s="1532"/>
      <c r="M55" s="1532"/>
      <c r="N55" s="1532"/>
      <c r="O55" s="1610"/>
      <c r="P55" s="1532"/>
      <c r="Q55" s="3585"/>
      <c r="R55" s="3585"/>
      <c r="S55" s="3585"/>
      <c r="T55" s="1459"/>
      <c r="U55" s="1459"/>
      <c r="V55" s="1558"/>
      <c r="W55" s="1558"/>
      <c r="X55" s="3585"/>
      <c r="Y55" s="1459"/>
      <c r="Z55" s="1459"/>
      <c r="AA55" s="1591"/>
      <c r="AB55" s="1591"/>
      <c r="AC55" s="1572"/>
      <c r="AD55" s="1572"/>
      <c r="AE55" s="1572"/>
      <c r="AF55" s="1572"/>
      <c r="AG55" s="1572"/>
      <c r="AH55" s="1613"/>
    </row>
    <row r="56" spans="1:34">
      <c r="A56" s="4425"/>
      <c r="B56" s="1508" t="s">
        <v>149</v>
      </c>
      <c r="C56" s="1521" t="s">
        <v>151</v>
      </c>
      <c r="D56" s="1614"/>
      <c r="E56" s="1584"/>
      <c r="F56" s="1584"/>
      <c r="G56" s="1584"/>
      <c r="H56" s="1541"/>
      <c r="I56" s="1541"/>
      <c r="J56" s="1541"/>
      <c r="K56" s="1460" t="s">
        <v>55</v>
      </c>
      <c r="L56" s="4760" t="s">
        <v>517</v>
      </c>
      <c r="M56" s="4761"/>
      <c r="N56" s="1460" t="s">
        <v>55</v>
      </c>
      <c r="O56" s="1541"/>
      <c r="P56" s="1560"/>
      <c r="Q56" s="1615"/>
      <c r="R56" s="1615"/>
      <c r="S56" s="1615"/>
      <c r="T56" s="1615"/>
      <c r="U56" s="1615"/>
      <c r="V56" s="1595"/>
      <c r="W56" s="1595"/>
      <c r="X56" s="1615"/>
      <c r="Y56" s="1615"/>
      <c r="Z56" s="1615"/>
      <c r="AA56" s="1595"/>
      <c r="AB56" s="1595"/>
      <c r="AC56" s="1572"/>
      <c r="AD56" s="1572"/>
      <c r="AE56" s="1572"/>
      <c r="AF56" s="1572"/>
      <c r="AG56" s="1572"/>
      <c r="AH56" s="1616"/>
    </row>
    <row r="57" spans="1:34">
      <c r="A57" s="4675" t="s">
        <v>13</v>
      </c>
      <c r="B57" s="1523" t="s">
        <v>77</v>
      </c>
      <c r="C57" s="1524" t="s">
        <v>153</v>
      </c>
      <c r="D57" s="4802" t="s">
        <v>26</v>
      </c>
      <c r="E57" s="4679"/>
      <c r="F57" s="4679"/>
      <c r="G57" s="4774"/>
      <c r="H57" s="1617" t="s">
        <v>55</v>
      </c>
      <c r="I57" s="1602"/>
      <c r="J57" s="1602"/>
      <c r="K57" s="3676" t="s">
        <v>521</v>
      </c>
      <c r="L57" s="1602"/>
      <c r="M57" s="2225" t="s">
        <v>519</v>
      </c>
      <c r="N57" s="1602"/>
      <c r="O57" s="1602"/>
      <c r="P57" s="1618"/>
      <c r="Q57" s="3692" t="s">
        <v>366</v>
      </c>
      <c r="R57" s="1619"/>
      <c r="S57" s="1620"/>
      <c r="T57" s="1620"/>
      <c r="U57" s="3692" t="s">
        <v>366</v>
      </c>
      <c r="V57" s="1601"/>
      <c r="W57" s="1601"/>
      <c r="X57" s="3692" t="s">
        <v>366</v>
      </c>
      <c r="Y57" s="1619"/>
      <c r="Z57" s="1620"/>
      <c r="AA57" s="1620"/>
      <c r="AB57" s="3692" t="s">
        <v>366</v>
      </c>
      <c r="AC57" s="1601"/>
      <c r="AD57" s="1601"/>
      <c r="AE57" s="1601"/>
      <c r="AF57" s="1601"/>
      <c r="AG57" s="1601"/>
      <c r="AH57" s="1621"/>
    </row>
    <row r="58" spans="1:34">
      <c r="A58" s="4676"/>
      <c r="B58" s="1525" t="s">
        <v>77</v>
      </c>
      <c r="C58" s="1526" t="s">
        <v>78</v>
      </c>
      <c r="D58" s="3627" t="s">
        <v>55</v>
      </c>
      <c r="E58" s="4688" t="s">
        <v>518</v>
      </c>
      <c r="F58" s="4688"/>
      <c r="G58" s="3589" t="s">
        <v>55</v>
      </c>
      <c r="H58" s="569"/>
      <c r="I58" s="569"/>
      <c r="J58" s="569"/>
      <c r="K58" s="3589" t="s">
        <v>55</v>
      </c>
      <c r="L58" s="4308" t="s">
        <v>517</v>
      </c>
      <c r="M58" s="4308"/>
      <c r="N58" s="3589" t="s">
        <v>55</v>
      </c>
      <c r="O58" s="569"/>
      <c r="P58" s="569"/>
      <c r="Q58" s="4755" t="s">
        <v>366</v>
      </c>
      <c r="R58" s="4572"/>
      <c r="S58" s="4572"/>
      <c r="T58" s="4572"/>
      <c r="U58" s="4572"/>
      <c r="V58" s="1558"/>
      <c r="W58" s="1558"/>
      <c r="X58" s="4572" t="s">
        <v>366</v>
      </c>
      <c r="Y58" s="4572"/>
      <c r="Z58" s="4572"/>
      <c r="AA58" s="4572"/>
      <c r="AB58" s="4572"/>
      <c r="AC58" s="1558"/>
      <c r="AD58" s="1558"/>
      <c r="AE58" s="4449" t="s">
        <v>531</v>
      </c>
      <c r="AF58" s="4450"/>
      <c r="AG58" s="4450"/>
      <c r="AH58" s="4451"/>
    </row>
    <row r="59" spans="1:34">
      <c r="A59" s="4676"/>
      <c r="B59" s="1525" t="s">
        <v>95</v>
      </c>
      <c r="C59" s="1526" t="s">
        <v>86</v>
      </c>
      <c r="D59" s="1539"/>
      <c r="E59" s="569"/>
      <c r="F59" s="569"/>
      <c r="G59" s="569"/>
      <c r="H59" s="569"/>
      <c r="I59" s="569"/>
      <c r="J59" s="569"/>
      <c r="K59" s="3677" t="s">
        <v>521</v>
      </c>
      <c r="L59" s="3585"/>
      <c r="M59" s="3614" t="s">
        <v>519</v>
      </c>
      <c r="N59" s="569"/>
      <c r="O59" s="569"/>
      <c r="P59" s="569"/>
      <c r="Q59" s="4604" t="s">
        <v>366</v>
      </c>
      <c r="R59" s="4572"/>
      <c r="S59" s="4572"/>
      <c r="T59" s="4572"/>
      <c r="U59" s="4572"/>
      <c r="V59" s="1558"/>
      <c r="W59" s="1558"/>
      <c r="X59" s="4572" t="s">
        <v>366</v>
      </c>
      <c r="Y59" s="4572"/>
      <c r="Z59" s="4604"/>
      <c r="AA59" s="4604"/>
      <c r="AB59" s="4604"/>
      <c r="AC59" s="1584"/>
      <c r="AD59" s="1584"/>
      <c r="AE59" s="1584"/>
      <c r="AF59" s="1584"/>
      <c r="AG59" s="1584"/>
      <c r="AH59" s="1622"/>
    </row>
    <row r="60" spans="1:34">
      <c r="A60" s="4676"/>
      <c r="B60" s="1525" t="s">
        <v>81</v>
      </c>
      <c r="C60" s="1526" t="s">
        <v>396</v>
      </c>
      <c r="D60" s="3627" t="s">
        <v>55</v>
      </c>
      <c r="E60" s="4688" t="s">
        <v>518</v>
      </c>
      <c r="F60" s="4688"/>
      <c r="G60" s="3589" t="s">
        <v>55</v>
      </c>
      <c r="H60" s="569"/>
      <c r="I60" s="569"/>
      <c r="J60" s="569"/>
      <c r="K60" s="3589" t="s">
        <v>55</v>
      </c>
      <c r="L60" s="4308" t="s">
        <v>517</v>
      </c>
      <c r="M60" s="4308"/>
      <c r="N60" s="3589" t="s">
        <v>55</v>
      </c>
      <c r="O60" s="569"/>
      <c r="P60" s="1531"/>
      <c r="Q60" s="3577" t="s">
        <v>366</v>
      </c>
      <c r="R60" s="1623"/>
      <c r="S60" s="1558"/>
      <c r="T60" s="1558"/>
      <c r="U60" s="1558"/>
      <c r="V60" s="1558"/>
      <c r="W60" s="1558"/>
      <c r="X60" s="1558"/>
      <c r="Y60" s="1574"/>
      <c r="Z60" s="1427"/>
      <c r="AA60" s="1427"/>
      <c r="AB60" s="1427"/>
      <c r="AC60" s="1427"/>
      <c r="AD60" s="1427"/>
      <c r="AE60" s="1427"/>
      <c r="AF60" s="1427"/>
      <c r="AG60" s="1427"/>
      <c r="AH60" s="1624"/>
    </row>
    <row r="61" spans="1:34">
      <c r="A61" s="4676"/>
      <c r="B61" s="1525" t="s">
        <v>81</v>
      </c>
      <c r="C61" s="1526" t="s">
        <v>303</v>
      </c>
      <c r="D61" s="3619" t="s">
        <v>509</v>
      </c>
      <c r="E61" s="4688" t="s">
        <v>518</v>
      </c>
      <c r="F61" s="4688"/>
      <c r="G61" s="3589" t="s">
        <v>55</v>
      </c>
      <c r="H61" s="569"/>
      <c r="I61" s="569"/>
      <c r="J61" s="569"/>
      <c r="K61" s="569"/>
      <c r="L61" s="569"/>
      <c r="M61" s="3585"/>
      <c r="N61" s="3585"/>
      <c r="O61" s="569"/>
      <c r="P61" s="569"/>
      <c r="Q61" s="1532"/>
      <c r="R61" s="569"/>
      <c r="S61" s="569"/>
      <c r="T61" s="569"/>
      <c r="U61" s="569"/>
      <c r="V61" s="569"/>
      <c r="W61" s="569"/>
      <c r="X61" s="569"/>
      <c r="Y61" s="569"/>
      <c r="Z61" s="1532"/>
      <c r="AA61" s="1532"/>
      <c r="AB61" s="1532"/>
      <c r="AC61" s="1532"/>
      <c r="AD61" s="1532"/>
      <c r="AE61" s="1532"/>
      <c r="AF61" s="1532"/>
      <c r="AG61" s="1532"/>
      <c r="AH61" s="1625"/>
    </row>
    <row r="62" spans="1:34">
      <c r="A62" s="4676"/>
      <c r="B62" s="1527" t="s">
        <v>155</v>
      </c>
      <c r="C62" s="1528" t="s">
        <v>156</v>
      </c>
      <c r="D62" s="4417" t="s">
        <v>510</v>
      </c>
      <c r="E62" s="4468"/>
      <c r="F62" s="4468"/>
      <c r="G62" s="4468"/>
      <c r="H62" s="4468"/>
      <c r="I62" s="4468"/>
      <c r="J62" s="4468"/>
      <c r="K62" s="4468"/>
      <c r="L62" s="4515"/>
      <c r="M62" s="1541"/>
      <c r="N62" s="1541"/>
      <c r="O62" s="1541"/>
      <c r="P62" s="1541"/>
      <c r="Q62" s="1541"/>
      <c r="R62" s="1541"/>
      <c r="S62" s="1541"/>
      <c r="T62" s="1541"/>
      <c r="U62" s="1541"/>
      <c r="V62" s="1541"/>
      <c r="W62" s="1541"/>
      <c r="X62" s="1541"/>
      <c r="Y62" s="1541"/>
      <c r="Z62" s="1541"/>
      <c r="AA62" s="1541"/>
      <c r="AB62" s="1541"/>
      <c r="AC62" s="1541"/>
      <c r="AD62" s="1541"/>
      <c r="AE62" s="1541"/>
      <c r="AF62" s="1541"/>
      <c r="AG62" s="1541"/>
      <c r="AH62" s="1613"/>
    </row>
    <row r="63" spans="1:34">
      <c r="A63" s="4676"/>
      <c r="B63" s="1525" t="s">
        <v>155</v>
      </c>
      <c r="C63" s="1526" t="s">
        <v>532</v>
      </c>
      <c r="D63" s="1539"/>
      <c r="E63" s="569"/>
      <c r="F63" s="569"/>
      <c r="G63" s="569"/>
      <c r="H63" s="569"/>
      <c r="I63" s="569"/>
      <c r="J63" s="569"/>
      <c r="K63" s="1459"/>
      <c r="L63" s="1459"/>
      <c r="M63" s="569"/>
      <c r="N63" s="569"/>
      <c r="O63" s="569"/>
      <c r="P63" s="1459"/>
      <c r="Q63" s="569"/>
      <c r="R63" s="569"/>
      <c r="S63" s="569"/>
      <c r="T63" s="904"/>
      <c r="U63" s="904"/>
      <c r="V63" s="904"/>
      <c r="W63" s="569"/>
      <c r="X63" s="569"/>
      <c r="Y63" s="569"/>
      <c r="Z63" s="569"/>
      <c r="AA63" s="569"/>
      <c r="AB63" s="569"/>
      <c r="AC63" s="1531"/>
      <c r="AD63" s="569"/>
      <c r="AE63" s="569"/>
      <c r="AF63" s="569"/>
      <c r="AG63" s="569"/>
      <c r="AH63" s="1613"/>
    </row>
    <row r="64" spans="1:34">
      <c r="A64" s="4677"/>
      <c r="B64" s="1529" t="s">
        <v>77</v>
      </c>
      <c r="C64" s="1530" t="s">
        <v>340</v>
      </c>
      <c r="D64" s="1626" t="s">
        <v>55</v>
      </c>
      <c r="E64" s="4798" t="s">
        <v>518</v>
      </c>
      <c r="F64" s="4798"/>
      <c r="G64" s="1627" t="s">
        <v>55</v>
      </c>
      <c r="H64" s="1628"/>
      <c r="I64" s="1628"/>
      <c r="J64" s="1628"/>
      <c r="K64" s="1628"/>
      <c r="L64" s="1628"/>
      <c r="M64" s="1629" t="s">
        <v>112</v>
      </c>
      <c r="N64" s="1628"/>
      <c r="O64" s="1628"/>
      <c r="P64" s="1628"/>
      <c r="Q64" s="4591" t="s">
        <v>366</v>
      </c>
      <c r="R64" s="4591"/>
      <c r="S64" s="4591"/>
      <c r="T64" s="4591"/>
      <c r="U64" s="4591"/>
      <c r="V64" s="1628"/>
      <c r="W64" s="1628"/>
      <c r="X64" s="4591" t="s">
        <v>366</v>
      </c>
      <c r="Y64" s="4591"/>
      <c r="Z64" s="4591"/>
      <c r="AA64" s="4591"/>
      <c r="AB64" s="4591"/>
      <c r="AC64" s="1628"/>
      <c r="AD64" s="1628"/>
      <c r="AE64" s="1628"/>
      <c r="AF64" s="1628"/>
      <c r="AG64" s="1628"/>
      <c r="AH64" s="1562"/>
    </row>
    <row r="65" spans="2:8">
      <c r="B65" s="426"/>
    </row>
    <row r="66" spans="2:8">
      <c r="H66" t="s">
        <v>324</v>
      </c>
    </row>
  </sheetData>
  <mergeCells count="96">
    <mergeCell ref="A54:A56"/>
    <mergeCell ref="A36:A50"/>
    <mergeCell ref="D62:L62"/>
    <mergeCell ref="K40:U40"/>
    <mergeCell ref="K43:U43"/>
    <mergeCell ref="K44:U44"/>
    <mergeCell ref="K46:AE46"/>
    <mergeCell ref="A57:A64"/>
    <mergeCell ref="E64:F64"/>
    <mergeCell ref="A51:A53"/>
    <mergeCell ref="E61:F61"/>
    <mergeCell ref="D53:G53"/>
    <mergeCell ref="D54:G54"/>
    <mergeCell ref="E58:F58"/>
    <mergeCell ref="D57:G57"/>
    <mergeCell ref="F41:M41"/>
    <mergeCell ref="Q17:AB17"/>
    <mergeCell ref="D20:G20"/>
    <mergeCell ref="L10:M10"/>
    <mergeCell ref="E55:F55"/>
    <mergeCell ref="E14:F14"/>
    <mergeCell ref="Q26:U26"/>
    <mergeCell ref="O52:P52"/>
    <mergeCell ref="U52:W52"/>
    <mergeCell ref="Q54:U54"/>
    <mergeCell ref="X54:AB54"/>
    <mergeCell ref="AA51:AH51"/>
    <mergeCell ref="X26:AB26"/>
    <mergeCell ref="E23:F23"/>
    <mergeCell ref="Y23:AA23"/>
    <mergeCell ref="D51:G51"/>
    <mergeCell ref="G39:N39"/>
    <mergeCell ref="AB5:AH5"/>
    <mergeCell ref="K8:AG8"/>
    <mergeCell ref="D7:AH7"/>
    <mergeCell ref="D5:G5"/>
    <mergeCell ref="T5:Z5"/>
    <mergeCell ref="P6:AH6"/>
    <mergeCell ref="H5:S5"/>
    <mergeCell ref="D6:G6"/>
    <mergeCell ref="A31:A35"/>
    <mergeCell ref="D32:G32"/>
    <mergeCell ref="D33:G33"/>
    <mergeCell ref="D27:AD27"/>
    <mergeCell ref="L33:M33"/>
    <mergeCell ref="D29:G29"/>
    <mergeCell ref="D34:G34"/>
    <mergeCell ref="D28:G28"/>
    <mergeCell ref="L30:M30"/>
    <mergeCell ref="D35:G35"/>
    <mergeCell ref="A28:A30"/>
    <mergeCell ref="D1:AH1"/>
    <mergeCell ref="A2:C2"/>
    <mergeCell ref="A3:C3"/>
    <mergeCell ref="A4:C4"/>
    <mergeCell ref="Y4:AA4"/>
    <mergeCell ref="K4:M4"/>
    <mergeCell ref="A1:C1"/>
    <mergeCell ref="A7:C7"/>
    <mergeCell ref="A10:C10"/>
    <mergeCell ref="A9:C9"/>
    <mergeCell ref="A5:C5"/>
    <mergeCell ref="A8:C8"/>
    <mergeCell ref="A6:C6"/>
    <mergeCell ref="D52:G52"/>
    <mergeCell ref="L50:M50"/>
    <mergeCell ref="L56:M56"/>
    <mergeCell ref="A11:C11"/>
    <mergeCell ref="A20:C20"/>
    <mergeCell ref="A15:C15"/>
    <mergeCell ref="A18:C18"/>
    <mergeCell ref="A19:C19"/>
    <mergeCell ref="A16:C16"/>
    <mergeCell ref="A12:C12"/>
    <mergeCell ref="A14:C14"/>
    <mergeCell ref="A17:C17"/>
    <mergeCell ref="A21:C21"/>
    <mergeCell ref="A13:C13"/>
    <mergeCell ref="A22:C22"/>
    <mergeCell ref="A25:A27"/>
    <mergeCell ref="Z45:AH45"/>
    <mergeCell ref="AG38:AH38"/>
    <mergeCell ref="Q64:U64"/>
    <mergeCell ref="X64:AB64"/>
    <mergeCell ref="E60:F60"/>
    <mergeCell ref="Q59:U59"/>
    <mergeCell ref="X59:AB59"/>
    <mergeCell ref="V44:AE44"/>
    <mergeCell ref="V40:AE40"/>
    <mergeCell ref="O50:AG50"/>
    <mergeCell ref="Q58:U58"/>
    <mergeCell ref="X58:AB58"/>
    <mergeCell ref="AE58:AH58"/>
    <mergeCell ref="L58:M58"/>
    <mergeCell ref="L60:M60"/>
    <mergeCell ref="D42:G42"/>
  </mergeCells>
  <pageMargins left="0.7" right="0.7" top="0.75" bottom="0.75" header="0.3" footer="0.3"/>
  <pageSetup fitToHeight="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FA71-6D5D-4CC8-B1F5-323607B6579C}">
  <sheetPr>
    <pageSetUpPr fitToPage="1"/>
  </sheetPr>
  <dimension ref="A1:AG69"/>
  <sheetViews>
    <sheetView workbookViewId="0">
      <pane xSplit="3" ySplit="4" topLeftCell="G31" activePane="bottomRight" state="frozen"/>
      <selection pane="bottomRight" activeCell="R46" sqref="R46:X46"/>
      <selection pane="bottomLeft"/>
      <selection pane="topRight"/>
    </sheetView>
  </sheetViews>
  <sheetFormatPr defaultRowHeight="15"/>
  <cols>
    <col min="3" max="3" width="11.5703125" bestFit="1" customWidth="1"/>
    <col min="22" max="22" width="10.5703125" customWidth="1"/>
    <col min="25" max="25" width="10.140625" customWidth="1"/>
  </cols>
  <sheetData>
    <row r="1" spans="1:33">
      <c r="A1" s="4375" t="s">
        <v>29</v>
      </c>
      <c r="B1" s="4375"/>
      <c r="C1" s="4375"/>
      <c r="D1" s="4376" t="s">
        <v>533</v>
      </c>
      <c r="E1" s="4376"/>
      <c r="F1" s="4376"/>
      <c r="G1" s="4376"/>
      <c r="H1" s="4376"/>
      <c r="I1" s="4376"/>
      <c r="J1" s="4376"/>
      <c r="K1" s="4376"/>
      <c r="L1" s="4376"/>
      <c r="M1" s="4376"/>
      <c r="N1" s="4376"/>
      <c r="O1" s="4376"/>
      <c r="P1" s="4376"/>
      <c r="Q1" s="4376"/>
      <c r="R1" s="4376"/>
      <c r="S1" s="4376"/>
      <c r="T1" s="4376"/>
      <c r="U1" s="4376"/>
      <c r="V1" s="4376"/>
      <c r="W1" s="4376"/>
      <c r="X1" s="4376"/>
      <c r="Y1" s="4376"/>
      <c r="Z1" s="4376"/>
      <c r="AA1" s="4376"/>
      <c r="AB1" s="4376"/>
      <c r="AC1" s="4376"/>
      <c r="AD1" s="4376"/>
      <c r="AE1" s="4376"/>
      <c r="AF1" s="4376"/>
      <c r="AG1" s="4376"/>
    </row>
    <row r="2" spans="1:33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4378" t="s">
        <v>32</v>
      </c>
      <c r="B3" s="4378"/>
      <c r="C3" s="4378"/>
      <c r="D3" s="3703" t="s">
        <v>35</v>
      </c>
      <c r="E3" s="19" t="s">
        <v>36</v>
      </c>
      <c r="F3" s="19" t="s">
        <v>36</v>
      </c>
      <c r="G3" s="19" t="s">
        <v>37</v>
      </c>
      <c r="H3" s="19" t="s">
        <v>33</v>
      </c>
      <c r="I3" s="3703" t="s">
        <v>34</v>
      </c>
      <c r="J3" s="3703" t="s">
        <v>33</v>
      </c>
      <c r="K3" s="3703" t="s">
        <v>35</v>
      </c>
      <c r="L3" s="19" t="s">
        <v>36</v>
      </c>
      <c r="M3" s="19" t="s">
        <v>36</v>
      </c>
      <c r="N3" s="3703" t="s">
        <v>37</v>
      </c>
      <c r="O3" s="3703" t="s">
        <v>33</v>
      </c>
      <c r="P3" s="3703" t="s">
        <v>34</v>
      </c>
      <c r="Q3" s="40" t="s">
        <v>33</v>
      </c>
      <c r="R3" s="3703" t="s">
        <v>35</v>
      </c>
      <c r="S3" s="19" t="s">
        <v>36</v>
      </c>
      <c r="T3" s="19" t="s">
        <v>36</v>
      </c>
      <c r="U3" s="3703" t="s">
        <v>37</v>
      </c>
      <c r="V3" s="41" t="s">
        <v>33</v>
      </c>
      <c r="W3" s="41" t="s">
        <v>34</v>
      </c>
      <c r="X3" s="41" t="s">
        <v>33</v>
      </c>
      <c r="Y3" s="41" t="s">
        <v>35</v>
      </c>
      <c r="Z3" s="19" t="s">
        <v>36</v>
      </c>
      <c r="AA3" s="19" t="s">
        <v>36</v>
      </c>
      <c r="AB3" s="3703" t="s">
        <v>37</v>
      </c>
      <c r="AC3" s="41" t="s">
        <v>33</v>
      </c>
      <c r="AD3" s="41" t="s">
        <v>34</v>
      </c>
      <c r="AE3" s="41" t="s">
        <v>33</v>
      </c>
      <c r="AF3" s="41" t="s">
        <v>35</v>
      </c>
      <c r="AG3" s="19" t="s">
        <v>36</v>
      </c>
    </row>
    <row r="4" spans="1:33" ht="15.75">
      <c r="A4" s="4831" t="s">
        <v>38</v>
      </c>
      <c r="B4" s="4249"/>
      <c r="C4" s="4249"/>
      <c r="D4" s="786"/>
      <c r="E4" s="4609" t="s">
        <v>534</v>
      </c>
      <c r="F4" s="4610"/>
      <c r="G4" s="4610"/>
      <c r="H4" s="4610"/>
      <c r="I4" s="789"/>
      <c r="J4" s="850"/>
      <c r="K4" s="850"/>
      <c r="L4" s="850"/>
      <c r="M4" s="790"/>
      <c r="N4" s="791"/>
      <c r="O4" s="791"/>
      <c r="P4" s="791"/>
      <c r="Q4" s="787"/>
      <c r="R4" s="787"/>
      <c r="S4" s="787"/>
      <c r="T4" s="788"/>
      <c r="U4" s="787"/>
      <c r="V4" s="787"/>
      <c r="W4" s="787"/>
      <c r="X4" s="787"/>
      <c r="Y4" s="787"/>
      <c r="Z4" s="788"/>
      <c r="AA4" s="792"/>
      <c r="AB4" s="792"/>
      <c r="AC4" s="792"/>
      <c r="AD4" s="798"/>
      <c r="AE4" s="791"/>
      <c r="AF4" s="788"/>
      <c r="AG4" s="1261"/>
    </row>
    <row r="5" spans="1:33" ht="16.5" customHeight="1">
      <c r="A5" s="4821" t="s">
        <v>42</v>
      </c>
      <c r="B5" s="4286"/>
      <c r="C5" s="4389"/>
      <c r="D5" s="4389" t="s">
        <v>515</v>
      </c>
      <c r="E5" s="4349"/>
      <c r="F5" s="4349"/>
      <c r="G5" s="4349"/>
      <c r="H5" s="1631"/>
      <c r="I5" s="1631"/>
      <c r="J5" s="1631"/>
      <c r="K5" s="1631"/>
      <c r="L5" s="1631"/>
      <c r="M5" s="1631"/>
      <c r="N5" s="1631"/>
      <c r="O5" s="1631"/>
      <c r="P5" s="1631"/>
      <c r="Q5" s="1631"/>
      <c r="R5" s="1631"/>
      <c r="S5" s="1631"/>
      <c r="T5" s="1631"/>
      <c r="U5" s="1631"/>
      <c r="V5" s="1631"/>
      <c r="W5" s="1631"/>
      <c r="X5" s="1631"/>
      <c r="Y5" s="1631"/>
      <c r="Z5" s="1631"/>
      <c r="AA5" s="1631"/>
      <c r="AB5" s="1631"/>
      <c r="AC5" s="1631"/>
      <c r="AD5" s="1631"/>
      <c r="AE5" s="1631"/>
      <c r="AF5" s="1631"/>
      <c r="AG5" s="1631"/>
    </row>
    <row r="6" spans="1:33">
      <c r="A6" s="4061" t="s">
        <v>165</v>
      </c>
      <c r="B6" s="4061"/>
      <c r="C6" s="4061"/>
      <c r="D6" s="1252"/>
      <c r="E6" s="1252"/>
      <c r="F6" s="1459"/>
      <c r="G6" s="4396" t="s">
        <v>406</v>
      </c>
      <c r="H6" s="4838"/>
      <c r="I6" s="4838"/>
      <c r="J6" s="4838"/>
      <c r="K6" s="4838"/>
      <c r="L6" s="4838"/>
      <c r="M6" s="4838"/>
      <c r="N6" s="4838"/>
      <c r="O6" s="4838"/>
      <c r="P6" s="4838"/>
      <c r="Q6" s="4838"/>
      <c r="R6" s="4838"/>
      <c r="S6" s="4838"/>
      <c r="T6" s="4838"/>
      <c r="U6" s="4838"/>
      <c r="V6" s="4838"/>
      <c r="W6" s="4838"/>
      <c r="X6" s="4838"/>
      <c r="Y6" s="4838"/>
      <c r="Z6" s="4838"/>
      <c r="AA6" s="4838"/>
      <c r="AB6" s="4838"/>
      <c r="AC6" s="4839"/>
      <c r="AD6" s="1543"/>
      <c r="AE6" s="1543"/>
      <c r="AF6" s="1543"/>
      <c r="AG6" s="1632"/>
    </row>
    <row r="7" spans="1:33">
      <c r="A7" s="4265" t="s">
        <v>407</v>
      </c>
      <c r="B7" s="4266"/>
      <c r="C7" s="4266"/>
      <c r="D7" s="1572"/>
      <c r="E7" s="1572"/>
      <c r="F7" s="1465"/>
      <c r="G7" s="1465"/>
      <c r="H7" s="1465"/>
      <c r="I7" s="1631"/>
      <c r="J7" s="1631"/>
      <c r="K7" s="1631"/>
      <c r="L7" s="1631"/>
      <c r="M7" s="1631"/>
      <c r="N7" s="1631"/>
      <c r="O7" s="1631"/>
      <c r="P7" s="1631"/>
      <c r="Q7" s="1631"/>
      <c r="R7" s="4803" t="s">
        <v>406</v>
      </c>
      <c r="S7" s="4804"/>
      <c r="T7" s="4804"/>
      <c r="U7" s="4804"/>
      <c r="V7" s="4804"/>
      <c r="W7" s="4804"/>
      <c r="X7" s="4804"/>
      <c r="Y7" s="4804"/>
      <c r="Z7" s="2770"/>
      <c r="AA7" s="2770"/>
      <c r="AB7" s="2770"/>
      <c r="AC7" s="1543"/>
      <c r="AD7" s="4803" t="s">
        <v>224</v>
      </c>
      <c r="AE7" s="4804"/>
      <c r="AF7" s="4804"/>
      <c r="AG7" s="4841"/>
    </row>
    <row r="8" spans="1:33" ht="15" customHeight="1">
      <c r="A8" s="4845" t="s">
        <v>262</v>
      </c>
      <c r="B8" s="4845"/>
      <c r="C8" s="4845"/>
      <c r="D8" s="1631"/>
      <c r="E8" s="1631"/>
      <c r="F8" s="1631"/>
      <c r="G8" s="1631"/>
      <c r="H8" s="1631"/>
      <c r="I8" s="1631"/>
      <c r="J8" s="1631"/>
      <c r="K8" s="1631"/>
      <c r="L8" s="1631"/>
      <c r="M8" s="1631"/>
      <c r="N8" s="1631"/>
      <c r="O8" s="1631"/>
      <c r="P8" s="1631"/>
      <c r="Q8" s="1631"/>
      <c r="R8" s="1631"/>
      <c r="S8" s="1631"/>
      <c r="T8" s="1631"/>
      <c r="U8" s="1631"/>
      <c r="V8" s="1692" t="s">
        <v>535</v>
      </c>
      <c r="W8" s="1631"/>
      <c r="X8" s="2770"/>
      <c r="Y8" s="2770"/>
      <c r="Z8" s="2770"/>
      <c r="AA8" s="2770"/>
      <c r="AB8" s="2770"/>
      <c r="AC8" s="1543"/>
      <c r="AD8" s="2770"/>
      <c r="AE8" s="1543"/>
      <c r="AF8" s="4440" t="s">
        <v>164</v>
      </c>
      <c r="AG8" s="4442"/>
    </row>
    <row r="9" spans="1:33">
      <c r="A9" s="4846" t="s">
        <v>225</v>
      </c>
      <c r="B9" s="4846"/>
      <c r="C9" s="4846"/>
      <c r="D9" s="1543"/>
      <c r="E9" s="1543"/>
      <c r="F9" s="1543"/>
      <c r="G9" s="2770"/>
      <c r="H9" s="2770"/>
      <c r="I9" s="2770"/>
      <c r="J9" s="2770"/>
      <c r="K9" s="2770"/>
      <c r="L9" s="2770"/>
      <c r="M9" s="2770"/>
      <c r="N9" s="1543"/>
      <c r="O9" s="1543"/>
      <c r="P9" s="2770"/>
      <c r="Q9" s="2770"/>
      <c r="R9" s="2770"/>
      <c r="S9" s="2770"/>
      <c r="T9" s="2770"/>
      <c r="U9" s="2770"/>
      <c r="V9" s="2770"/>
      <c r="W9" s="2770"/>
      <c r="X9" s="2770"/>
      <c r="Y9" s="2770"/>
      <c r="Z9" s="2770"/>
      <c r="AA9" s="2770"/>
      <c r="AB9" s="2770"/>
      <c r="AC9" s="1543"/>
      <c r="AD9" s="1543"/>
      <c r="AE9" s="2770"/>
      <c r="AF9" s="2770"/>
      <c r="AG9" s="1633"/>
    </row>
    <row r="10" spans="1:33">
      <c r="A10" s="4381" t="s">
        <v>272</v>
      </c>
      <c r="B10" s="4382"/>
      <c r="C10" s="4382"/>
      <c r="D10" s="3685"/>
      <c r="E10" s="3685"/>
      <c r="F10" s="3685"/>
      <c r="G10" s="3685"/>
      <c r="H10" s="3685"/>
      <c r="I10" s="3685"/>
      <c r="J10" s="3685"/>
      <c r="K10" s="3685"/>
      <c r="L10" s="3685"/>
      <c r="M10" s="3685"/>
      <c r="N10" s="4842" t="s">
        <v>272</v>
      </c>
      <c r="O10" s="4843"/>
      <c r="P10" s="4843"/>
      <c r="Q10" s="4843"/>
      <c r="R10" s="4843"/>
      <c r="S10" s="4843"/>
      <c r="T10" s="4843"/>
      <c r="U10" s="4843"/>
      <c r="V10" s="4783"/>
      <c r="W10" s="3685"/>
      <c r="X10" s="3685"/>
      <c r="Y10" s="3685"/>
      <c r="Z10" s="3685"/>
      <c r="AA10" s="3685"/>
      <c r="AB10" s="3685"/>
      <c r="AC10" s="1252"/>
      <c r="AD10" s="1252"/>
      <c r="AE10" s="3685"/>
      <c r="AF10" s="3685"/>
      <c r="AG10" s="1634"/>
    </row>
    <row r="11" spans="1:33">
      <c r="A11" s="4380" t="s">
        <v>265</v>
      </c>
      <c r="B11" s="4380"/>
      <c r="C11" s="4380"/>
      <c r="D11" s="3685"/>
      <c r="E11" s="3685"/>
      <c r="F11" s="3685"/>
      <c r="G11" s="3685"/>
      <c r="H11" s="3685"/>
      <c r="I11" s="3685"/>
      <c r="J11" s="3685"/>
      <c r="K11" s="3685"/>
      <c r="L11" s="3685"/>
      <c r="M11" s="3685"/>
      <c r="N11" s="1635"/>
      <c r="O11" s="3685"/>
      <c r="P11" s="3685"/>
      <c r="Q11" s="3685"/>
      <c r="R11" s="3685"/>
      <c r="S11" s="3685"/>
      <c r="T11" s="3685"/>
      <c r="U11" s="3685"/>
      <c r="V11" s="1635"/>
      <c r="W11" s="3685"/>
      <c r="X11" s="3685"/>
      <c r="Y11" s="3685"/>
      <c r="Z11" s="3685"/>
      <c r="AA11" s="3685"/>
      <c r="AB11" s="3685"/>
      <c r="AC11" s="1252"/>
      <c r="AD11" s="1252"/>
      <c r="AE11" s="3685"/>
      <c r="AF11" s="3685"/>
      <c r="AG11" s="1634"/>
    </row>
    <row r="12" spans="1:33" ht="15.75">
      <c r="A12" s="4833" t="s">
        <v>60</v>
      </c>
      <c r="B12" s="4834"/>
      <c r="C12" s="4834"/>
      <c r="D12" s="3685"/>
      <c r="E12" s="2385"/>
      <c r="F12" s="2385"/>
      <c r="G12" s="3685"/>
      <c r="H12" s="3685"/>
      <c r="I12" s="3685"/>
      <c r="J12" s="3685"/>
      <c r="K12" s="3685"/>
      <c r="L12" s="3685"/>
      <c r="M12" s="3685"/>
      <c r="N12" s="3685"/>
      <c r="O12" s="3685"/>
      <c r="P12" s="3685"/>
      <c r="Q12" s="3685"/>
      <c r="R12" s="3685"/>
      <c r="S12" s="3685"/>
      <c r="T12" s="3685"/>
      <c r="U12" s="3685"/>
      <c r="V12" s="3685"/>
      <c r="W12" s="3685"/>
      <c r="X12" s="3685"/>
      <c r="Y12" s="1636" t="s">
        <v>536</v>
      </c>
      <c r="Z12" s="3685"/>
      <c r="AA12" s="3685"/>
      <c r="AB12" s="3685"/>
      <c r="AC12" s="4833" t="s">
        <v>537</v>
      </c>
      <c r="AD12" s="4840"/>
      <c r="AE12" s="3685"/>
      <c r="AF12" s="3685"/>
      <c r="AG12" s="1634"/>
    </row>
    <row r="13" spans="1:33" ht="15.75">
      <c r="A13" s="4835" t="s">
        <v>315</v>
      </c>
      <c r="B13" s="4835"/>
      <c r="C13" s="4835"/>
      <c r="D13" s="3685"/>
      <c r="E13" s="3685"/>
      <c r="F13" s="3685"/>
      <c r="G13" s="3685"/>
      <c r="H13" s="3685"/>
      <c r="I13" s="3685"/>
      <c r="J13" s="3685"/>
      <c r="K13" s="3685"/>
      <c r="L13" s="3685"/>
      <c r="M13" s="3685"/>
      <c r="N13" s="3685"/>
      <c r="O13" s="3685"/>
      <c r="P13" s="3685"/>
      <c r="Q13" s="3685"/>
      <c r="R13" s="3685"/>
      <c r="S13" s="3685"/>
      <c r="T13" s="3685"/>
      <c r="U13" s="3685"/>
      <c r="V13" s="3685"/>
      <c r="W13" s="3685"/>
      <c r="X13" s="3685"/>
      <c r="Y13" s="3685"/>
      <c r="Z13" s="3685"/>
      <c r="AA13" s="3685"/>
      <c r="AB13" s="3685"/>
      <c r="AC13" s="1252"/>
      <c r="AD13" s="904"/>
      <c r="AE13" s="904"/>
      <c r="AF13" s="3685"/>
      <c r="AG13" s="1634"/>
    </row>
    <row r="14" spans="1:33">
      <c r="A14" s="4623" t="s">
        <v>63</v>
      </c>
      <c r="B14" s="4623"/>
      <c r="C14" s="4766"/>
      <c r="D14" s="3685"/>
      <c r="E14" s="2770"/>
      <c r="F14" s="2770"/>
      <c r="G14" s="3685"/>
      <c r="H14" s="3685"/>
      <c r="I14" s="3685"/>
      <c r="J14" s="3685"/>
      <c r="K14" s="3685"/>
      <c r="L14" s="3685"/>
      <c r="M14" s="3685"/>
      <c r="N14" s="3685"/>
      <c r="O14" s="3685"/>
      <c r="P14" s="3685"/>
      <c r="Q14" s="3685"/>
      <c r="R14" s="3685"/>
      <c r="S14" s="3685"/>
      <c r="T14" s="3685"/>
      <c r="U14" s="3685"/>
      <c r="V14" s="3685"/>
      <c r="W14" s="3685"/>
      <c r="X14" s="3685"/>
      <c r="Y14" s="3685"/>
      <c r="Z14" s="3685"/>
      <c r="AA14" s="3685"/>
      <c r="AB14" s="3685"/>
      <c r="AC14" s="1252"/>
      <c r="AD14" s="1252"/>
      <c r="AE14" s="3685"/>
      <c r="AF14" s="3685"/>
      <c r="AG14" s="1634"/>
    </row>
    <row r="15" spans="1:33">
      <c r="A15" s="4765" t="s">
        <v>54</v>
      </c>
      <c r="B15" s="4765"/>
      <c r="C15" s="4765"/>
      <c r="D15" s="3685"/>
      <c r="E15" s="3685"/>
      <c r="F15" s="3685"/>
      <c r="G15" s="3685"/>
      <c r="H15" s="3685"/>
      <c r="I15" s="3685"/>
      <c r="J15" s="3685"/>
      <c r="K15" s="3685"/>
      <c r="L15" s="3685"/>
      <c r="M15" s="3685"/>
      <c r="N15" s="3685"/>
      <c r="O15" s="3685"/>
      <c r="P15" s="3685"/>
      <c r="Q15" s="3685"/>
      <c r="R15" s="3685"/>
      <c r="S15" s="3685"/>
      <c r="T15" s="1635"/>
      <c r="U15" s="3685"/>
      <c r="V15" s="3685"/>
      <c r="W15" s="3685"/>
      <c r="X15" s="3685"/>
      <c r="Y15" s="3685"/>
      <c r="Z15" s="3685"/>
      <c r="AA15" s="3685"/>
      <c r="AB15" s="3685"/>
      <c r="AC15" s="1252"/>
      <c r="AD15" s="1252"/>
      <c r="AE15" s="3685"/>
      <c r="AF15" s="3685"/>
      <c r="AG15" s="1634"/>
    </row>
    <row r="16" spans="1:33" ht="36">
      <c r="A16" s="4360" t="s">
        <v>365</v>
      </c>
      <c r="B16" s="4360"/>
      <c r="C16" s="4360"/>
      <c r="D16" s="3685"/>
      <c r="E16" s="3685"/>
      <c r="F16" s="3685"/>
      <c r="G16" s="3685"/>
      <c r="H16" s="3685"/>
      <c r="I16" s="3685"/>
      <c r="J16" s="3685"/>
      <c r="K16" s="3685"/>
      <c r="L16" s="3685"/>
      <c r="M16" s="3685"/>
      <c r="N16" s="3685"/>
      <c r="O16" s="3685"/>
      <c r="P16" s="3685"/>
      <c r="Q16" s="3685"/>
      <c r="R16" s="3685"/>
      <c r="S16" s="3685"/>
      <c r="T16" s="1635"/>
      <c r="U16" s="3685"/>
      <c r="V16" s="3685"/>
      <c r="W16" s="3685"/>
      <c r="X16" s="1637"/>
      <c r="Y16" s="3685"/>
      <c r="Z16" s="3685"/>
      <c r="AA16" s="3685"/>
      <c r="AB16" s="2385"/>
      <c r="AC16" s="1572"/>
      <c r="AD16" s="1572"/>
      <c r="AE16" s="2385"/>
      <c r="AF16" s="1638" t="s">
        <v>538</v>
      </c>
      <c r="AG16" s="1634"/>
    </row>
    <row r="17" spans="1:33">
      <c r="A17" s="4763" t="s">
        <v>520</v>
      </c>
      <c r="B17" s="4763"/>
      <c r="C17" s="4832"/>
      <c r="D17" s="3685"/>
      <c r="E17" s="3685"/>
      <c r="F17" s="3685"/>
      <c r="G17" s="2385"/>
      <c r="H17" s="3685"/>
      <c r="I17" s="3685"/>
      <c r="J17" s="3677" t="s">
        <v>539</v>
      </c>
      <c r="K17" s="3685"/>
      <c r="L17" s="3685"/>
      <c r="M17" s="3685"/>
      <c r="N17" s="3685"/>
      <c r="O17" s="3685"/>
      <c r="P17" s="3685"/>
      <c r="Q17" s="3685"/>
      <c r="R17" s="3685"/>
      <c r="S17" s="3685"/>
      <c r="T17" s="1635"/>
      <c r="U17" s="3685"/>
      <c r="V17" s="3685"/>
      <c r="W17" s="3685"/>
      <c r="X17" s="1637"/>
      <c r="Y17" s="3685"/>
      <c r="Z17" s="3685"/>
      <c r="AA17" s="2831"/>
      <c r="AB17" s="2385"/>
      <c r="AC17" s="1572"/>
      <c r="AD17" s="1572"/>
      <c r="AE17" s="2385"/>
      <c r="AF17" s="2385"/>
      <c r="AG17" s="1639"/>
    </row>
    <row r="18" spans="1:33">
      <c r="A18" s="4827" t="s">
        <v>366</v>
      </c>
      <c r="B18" s="4827"/>
      <c r="C18" s="4827"/>
      <c r="D18" s="3685"/>
      <c r="E18" s="3685"/>
      <c r="F18" s="904"/>
      <c r="G18" s="1580"/>
      <c r="H18" s="3685"/>
      <c r="I18" s="3685"/>
      <c r="J18" s="3685"/>
      <c r="K18" s="3685"/>
      <c r="L18" s="3685"/>
      <c r="M18" s="3685"/>
      <c r="N18" s="1252"/>
      <c r="O18" s="1252"/>
      <c r="P18" s="904"/>
      <c r="Q18" s="904"/>
      <c r="R18" s="3685"/>
      <c r="S18" s="3685"/>
      <c r="T18" s="3685"/>
      <c r="U18" s="3685"/>
      <c r="V18" s="3685"/>
      <c r="W18" s="3685"/>
      <c r="X18" s="3685"/>
      <c r="Y18" s="3685"/>
      <c r="Z18" s="3685"/>
      <c r="AA18" s="3685"/>
      <c r="AB18" s="3685"/>
      <c r="AC18" s="1637"/>
      <c r="AD18" s="3685"/>
      <c r="AE18" s="3685"/>
      <c r="AF18" s="3685"/>
      <c r="AG18" s="1639"/>
    </row>
    <row r="19" spans="1:33">
      <c r="A19" s="4405" t="s">
        <v>540</v>
      </c>
      <c r="B19" s="4529"/>
      <c r="C19" s="4530"/>
      <c r="D19" s="2770"/>
      <c r="E19" s="2770"/>
      <c r="F19" s="1640"/>
      <c r="G19" s="3685"/>
      <c r="H19" s="1641"/>
      <c r="I19" s="2770"/>
      <c r="J19" s="2770"/>
      <c r="K19" s="1640"/>
      <c r="L19" s="2770"/>
      <c r="M19" s="1642"/>
      <c r="N19" s="1642"/>
      <c r="O19" s="1642"/>
      <c r="P19" s="1642"/>
      <c r="Q19" s="1642"/>
      <c r="R19" s="1642"/>
      <c r="S19" s="1642"/>
      <c r="T19" s="1643"/>
      <c r="U19" s="1643"/>
      <c r="V19" s="1643"/>
      <c r="W19" s="1643"/>
      <c r="X19" s="1643"/>
      <c r="Y19" s="1643"/>
      <c r="Z19" s="1643"/>
      <c r="AA19" s="1643"/>
      <c r="AB19" s="1643"/>
      <c r="AC19" s="1643"/>
      <c r="AD19" s="1643"/>
      <c r="AE19" s="1643"/>
      <c r="AF19" s="2770"/>
      <c r="AG19" s="1633"/>
    </row>
    <row r="20" spans="1:33">
      <c r="A20" s="4399" t="s">
        <v>541</v>
      </c>
      <c r="B20" s="4316"/>
      <c r="C20" s="4531"/>
      <c r="D20" s="3685"/>
      <c r="E20" s="3685"/>
      <c r="F20" s="3685"/>
      <c r="G20" s="2770"/>
      <c r="H20" s="3685"/>
      <c r="I20" s="3685"/>
      <c r="J20" s="3685"/>
      <c r="K20" s="3685"/>
      <c r="L20" s="2770"/>
      <c r="M20" s="2770"/>
      <c r="N20" s="2770"/>
      <c r="O20" s="2770"/>
      <c r="P20" s="2770"/>
      <c r="Q20" s="2770"/>
      <c r="R20" s="2770"/>
      <c r="S20" s="2770"/>
      <c r="T20" s="2770"/>
      <c r="U20" s="4531" t="s">
        <v>542</v>
      </c>
      <c r="V20" s="4762"/>
      <c r="W20" s="4762"/>
      <c r="X20" s="4762"/>
      <c r="Y20" s="4771"/>
      <c r="Z20" s="3685"/>
      <c r="AA20" s="3685"/>
      <c r="AB20" s="3685"/>
      <c r="AC20" s="3685"/>
      <c r="AD20" s="3685"/>
      <c r="AE20" s="3685"/>
      <c r="AF20" s="3685"/>
      <c r="AG20" s="1634"/>
    </row>
    <row r="21" spans="1:33">
      <c r="A21" s="4408" t="s">
        <v>322</v>
      </c>
      <c r="B21" s="4536"/>
      <c r="C21" s="4536"/>
      <c r="D21" s="2385"/>
      <c r="E21" s="2385"/>
      <c r="F21" s="2385"/>
      <c r="G21" s="2385"/>
      <c r="H21" s="2385"/>
      <c r="I21" s="2385"/>
      <c r="J21" s="2385"/>
      <c r="K21" s="2385"/>
      <c r="L21" s="2385"/>
      <c r="M21" s="2385"/>
      <c r="N21" s="2385"/>
      <c r="O21" s="2385"/>
      <c r="P21" s="2385"/>
      <c r="Q21" s="2385"/>
      <c r="R21" s="2385"/>
      <c r="S21" s="2385"/>
      <c r="T21" s="2385"/>
      <c r="U21" s="2385"/>
      <c r="V21" s="2385"/>
      <c r="W21" s="2385"/>
      <c r="X21" s="2385"/>
      <c r="Y21" s="2385"/>
      <c r="Z21" s="2385"/>
      <c r="AA21" s="2385"/>
      <c r="AB21" s="2385"/>
      <c r="AC21" s="2385"/>
      <c r="AD21" s="2385"/>
      <c r="AE21" s="2385"/>
      <c r="AF21" s="2385"/>
      <c r="AG21" s="1644"/>
    </row>
    <row r="22" spans="1:33" ht="15.75">
      <c r="A22" s="4828" t="s">
        <v>64</v>
      </c>
      <c r="B22" s="4574"/>
      <c r="C22" s="4767"/>
      <c r="D22" s="2385"/>
      <c r="E22" s="2385"/>
      <c r="F22" s="2385"/>
      <c r="G22" s="2385"/>
      <c r="H22" s="2385"/>
      <c r="I22" s="2385"/>
      <c r="J22" s="2385"/>
      <c r="K22" s="2385"/>
      <c r="L22" s="2385"/>
      <c r="M22" s="2385"/>
      <c r="N22" s="2385"/>
      <c r="O22" s="2385"/>
      <c r="P22" s="2385"/>
      <c r="Q22" s="2385"/>
      <c r="R22" s="2385"/>
      <c r="S22" s="2385"/>
      <c r="T22" s="2385"/>
      <c r="U22" s="2385"/>
      <c r="V22" s="2385"/>
      <c r="W22" s="2385"/>
      <c r="X22" s="2385"/>
      <c r="Y22" s="2385"/>
      <c r="Z22" s="2385"/>
      <c r="AA22" s="2385"/>
      <c r="AB22" s="1693"/>
      <c r="AC22" s="184"/>
      <c r="AD22" s="184"/>
      <c r="AE22" s="1693"/>
      <c r="AF22" s="2385"/>
      <c r="AG22" s="1644"/>
    </row>
    <row r="23" spans="1:33" ht="15.75" customHeight="1">
      <c r="A23" s="1033" t="s">
        <v>66</v>
      </c>
      <c r="B23" s="1724" t="s">
        <v>67</v>
      </c>
      <c r="C23" s="1724" t="s">
        <v>74</v>
      </c>
      <c r="D23" s="1670"/>
      <c r="E23" s="1671"/>
      <c r="F23" s="1671"/>
      <c r="G23" s="1671"/>
      <c r="H23" s="1671"/>
      <c r="I23" s="1671"/>
      <c r="J23" s="1671"/>
      <c r="K23" s="1671"/>
      <c r="L23" s="1671"/>
      <c r="M23" s="1671"/>
      <c r="N23" s="1671"/>
      <c r="O23" s="1671"/>
      <c r="P23" s="1671"/>
      <c r="Q23" s="1671"/>
      <c r="R23" s="1671"/>
      <c r="S23" s="4806" t="s">
        <v>55</v>
      </c>
      <c r="T23" s="4806"/>
      <c r="U23" s="4807" t="s">
        <v>542</v>
      </c>
      <c r="V23" s="4807"/>
      <c r="W23" s="4807"/>
      <c r="X23" s="4807"/>
      <c r="Y23" s="4807"/>
      <c r="Z23" s="3630" t="s">
        <v>55</v>
      </c>
      <c r="AA23" s="1671"/>
      <c r="AB23" s="461"/>
      <c r="AC23" s="461"/>
      <c r="AD23" s="461"/>
      <c r="AE23" s="461"/>
      <c r="AF23" s="1671"/>
      <c r="AG23" s="1672"/>
    </row>
    <row r="24" spans="1:33" ht="15.75" customHeight="1">
      <c r="A24" s="1034" t="s">
        <v>73</v>
      </c>
      <c r="B24" s="1725" t="s">
        <v>67</v>
      </c>
      <c r="C24" s="1725" t="s">
        <v>458</v>
      </c>
      <c r="D24" s="1663"/>
      <c r="E24" s="3685"/>
      <c r="F24" s="3685"/>
      <c r="G24" s="3685"/>
      <c r="H24" s="3685"/>
      <c r="I24" s="3685"/>
      <c r="J24" s="3685"/>
      <c r="K24" s="1673" t="s">
        <v>55</v>
      </c>
      <c r="L24" s="4308" t="s">
        <v>272</v>
      </c>
      <c r="M24" s="4308"/>
      <c r="N24" s="4308"/>
      <c r="O24" s="4308"/>
      <c r="P24" s="1673" t="s">
        <v>55</v>
      </c>
      <c r="Q24" s="3685"/>
      <c r="R24" s="3685"/>
      <c r="S24" s="3685"/>
      <c r="T24" s="3685"/>
      <c r="U24" s="3685"/>
      <c r="V24" s="3685"/>
      <c r="W24" s="3685"/>
      <c r="X24" s="3685"/>
      <c r="Y24" s="3685"/>
      <c r="Z24" s="3685"/>
      <c r="AA24" s="3685"/>
      <c r="AB24" s="3685"/>
      <c r="AC24" s="3685"/>
      <c r="AD24" s="3685"/>
      <c r="AE24" s="3685"/>
      <c r="AF24" s="3685"/>
      <c r="AG24" s="1634"/>
    </row>
    <row r="25" spans="1:33" s="1704" customFormat="1" ht="15.75" customHeight="1">
      <c r="A25" s="1035" t="s">
        <v>30</v>
      </c>
      <c r="B25" s="1726" t="s">
        <v>543</v>
      </c>
      <c r="C25" s="1726" t="s">
        <v>544</v>
      </c>
      <c r="D25" s="1667"/>
      <c r="E25" s="1668"/>
      <c r="F25" s="1668"/>
      <c r="G25" s="1668"/>
      <c r="H25" s="1668"/>
      <c r="I25" s="1668"/>
      <c r="J25" s="1668"/>
      <c r="K25" s="1668"/>
      <c r="L25" s="1668"/>
      <c r="M25" s="1668"/>
      <c r="N25" s="1668"/>
      <c r="O25" s="1668"/>
      <c r="P25" s="1668"/>
      <c r="Q25" s="1668"/>
      <c r="R25" s="1668"/>
      <c r="S25" s="1668"/>
      <c r="T25" s="1668"/>
      <c r="U25" s="1668"/>
      <c r="V25" s="1668"/>
      <c r="W25" s="1668"/>
      <c r="X25" s="1668"/>
      <c r="Y25" s="1668"/>
      <c r="Z25" s="1668"/>
      <c r="AA25" s="1668"/>
      <c r="AB25" s="1668"/>
      <c r="AC25" s="1668"/>
      <c r="AD25" s="1668"/>
      <c r="AE25" s="1668"/>
      <c r="AF25" s="1668"/>
      <c r="AG25" s="1706"/>
    </row>
    <row r="26" spans="1:33">
      <c r="A26" s="4407" t="s">
        <v>84</v>
      </c>
      <c r="B26" s="1727" t="s">
        <v>85</v>
      </c>
      <c r="C26" s="1728" t="s">
        <v>86</v>
      </c>
      <c r="D26" s="1648"/>
      <c r="E26" s="1450"/>
      <c r="F26" s="1450"/>
      <c r="G26" s="1450"/>
      <c r="H26" s="1450"/>
      <c r="I26" s="3606"/>
      <c r="J26" s="3625"/>
      <c r="K26" s="3625"/>
      <c r="L26" s="3625"/>
      <c r="M26" s="3625"/>
      <c r="N26" s="3625"/>
      <c r="O26" s="3625"/>
      <c r="P26" s="3625"/>
      <c r="Q26" s="3625"/>
      <c r="R26" s="3625"/>
      <c r="S26" s="3625"/>
      <c r="T26" s="3625"/>
      <c r="U26" s="3625"/>
      <c r="V26" s="3625"/>
      <c r="W26" s="3625"/>
      <c r="X26" s="2770"/>
      <c r="Y26" s="2770"/>
      <c r="Z26" s="2770"/>
      <c r="AA26" s="2770"/>
      <c r="AB26" s="2770"/>
      <c r="AC26" s="2770"/>
      <c r="AD26" s="2770"/>
      <c r="AE26" s="2770"/>
      <c r="AF26" s="2770"/>
      <c r="AG26" s="1633"/>
    </row>
    <row r="27" spans="1:33" ht="15.75" customHeight="1">
      <c r="A27" s="4409"/>
      <c r="B27" s="1729" t="s">
        <v>87</v>
      </c>
      <c r="C27" s="1730" t="s">
        <v>88</v>
      </c>
      <c r="D27" s="1649"/>
      <c r="E27" s="1650"/>
      <c r="F27" s="1650"/>
      <c r="G27" s="1650"/>
      <c r="H27" s="1650"/>
      <c r="I27" s="2385"/>
      <c r="J27" s="2385"/>
      <c r="K27" s="2385"/>
      <c r="L27" s="2385"/>
      <c r="M27" s="2385"/>
      <c r="N27" s="2385"/>
      <c r="O27" s="2385"/>
      <c r="P27" s="2385"/>
      <c r="Q27" s="2385"/>
      <c r="R27" s="2385"/>
      <c r="S27" s="2385"/>
      <c r="T27" s="2385"/>
      <c r="U27" s="2385"/>
      <c r="V27" s="2385"/>
      <c r="W27" s="2385"/>
      <c r="X27" s="2385"/>
      <c r="Y27" s="2385"/>
      <c r="Z27" s="2385"/>
      <c r="AA27" s="2385"/>
      <c r="AB27" s="2385"/>
      <c r="AC27" s="2385"/>
      <c r="AD27" s="2385"/>
      <c r="AE27" s="2385"/>
      <c r="AF27" s="2385"/>
      <c r="AG27" s="1644"/>
    </row>
    <row r="28" spans="1:33" ht="15.75" customHeight="1">
      <c r="A28" s="4409"/>
      <c r="B28" s="1731" t="s">
        <v>90</v>
      </c>
      <c r="C28" s="1732" t="s">
        <v>91</v>
      </c>
      <c r="D28" s="1645"/>
      <c r="E28" s="1646"/>
      <c r="F28" s="1646"/>
      <c r="G28" s="1646"/>
      <c r="H28" s="1646"/>
      <c r="I28" s="1646"/>
      <c r="J28" s="1646"/>
      <c r="K28" s="1646"/>
      <c r="L28" s="1646"/>
      <c r="M28" s="1646"/>
      <c r="N28" s="1646"/>
      <c r="O28" s="1646"/>
      <c r="P28" s="1646"/>
      <c r="Q28" s="1646"/>
      <c r="R28" s="1646"/>
      <c r="S28" s="1646"/>
      <c r="T28" s="1646"/>
      <c r="U28" s="1646"/>
      <c r="V28" s="1646"/>
      <c r="W28" s="1646"/>
      <c r="X28" s="1646"/>
      <c r="Y28" s="1646"/>
      <c r="Z28" s="1646"/>
      <c r="AA28" s="1646"/>
      <c r="AB28" s="1646"/>
      <c r="AC28" s="1646"/>
      <c r="AD28" s="1646"/>
      <c r="AE28" s="1646"/>
      <c r="AF28" s="1646"/>
      <c r="AG28" s="1647"/>
    </row>
    <row r="29" spans="1:33" ht="15.75" customHeight="1">
      <c r="A29" s="4402" t="s">
        <v>92</v>
      </c>
      <c r="B29" s="1721" t="s">
        <v>95</v>
      </c>
      <c r="C29" s="1756" t="s">
        <v>243</v>
      </c>
      <c r="D29" s="1651"/>
      <c r="E29" s="1532"/>
      <c r="F29" s="1532"/>
      <c r="G29" s="1532"/>
      <c r="H29" s="1532"/>
      <c r="I29" s="1532"/>
      <c r="J29" s="1532"/>
      <c r="K29" s="1532"/>
      <c r="L29" s="1532"/>
      <c r="M29" s="1532"/>
      <c r="N29" s="1652" t="s">
        <v>55</v>
      </c>
      <c r="O29" s="4811" t="s">
        <v>272</v>
      </c>
      <c r="P29" s="4812"/>
      <c r="Q29" s="1652" t="s">
        <v>55</v>
      </c>
      <c r="R29" s="4805" t="s">
        <v>545</v>
      </c>
      <c r="S29" s="4502"/>
      <c r="T29" s="1630" t="s">
        <v>55</v>
      </c>
      <c r="U29" s="4808" t="s">
        <v>542</v>
      </c>
      <c r="V29" s="4809"/>
      <c r="W29" s="4809"/>
      <c r="X29" s="4809"/>
      <c r="Y29" s="4810"/>
      <c r="Z29" s="1630" t="s">
        <v>55</v>
      </c>
      <c r="AA29" s="1532"/>
      <c r="AB29" s="1653" t="s">
        <v>55</v>
      </c>
      <c r="AC29" s="4851" t="s">
        <v>537</v>
      </c>
      <c r="AD29" s="4852"/>
      <c r="AE29" s="1653" t="s">
        <v>55</v>
      </c>
      <c r="AF29" s="1560"/>
      <c r="AG29" s="1549"/>
    </row>
    <row r="30" spans="1:33" ht="15.75" customHeight="1">
      <c r="A30" s="4403"/>
      <c r="B30" s="1722" t="s">
        <v>326</v>
      </c>
      <c r="C30" s="1722" t="s">
        <v>327</v>
      </c>
      <c r="D30" s="1654"/>
      <c r="E30" s="1560"/>
      <c r="F30" s="1560"/>
      <c r="G30" s="1560"/>
      <c r="H30" s="1560"/>
      <c r="I30" s="1560"/>
      <c r="J30" s="1560"/>
      <c r="K30" s="1560"/>
      <c r="L30" s="1560"/>
      <c r="M30" s="1560"/>
      <c r="N30" s="1560"/>
      <c r="O30" s="1560"/>
      <c r="P30" s="3632"/>
      <c r="Q30" s="1560"/>
      <c r="R30" s="1560"/>
      <c r="S30" s="1560"/>
      <c r="T30" s="1560"/>
      <c r="U30" s="1560"/>
      <c r="V30" s="1560"/>
      <c r="W30" s="1560"/>
      <c r="X30" s="1560"/>
      <c r="Y30" s="1560"/>
      <c r="Z30" s="1560"/>
      <c r="AA30" s="1655"/>
      <c r="AB30" s="1656"/>
      <c r="AC30" s="1656"/>
      <c r="AD30" s="1656"/>
      <c r="AE30" s="1656"/>
      <c r="AF30" s="569"/>
      <c r="AG30" s="1657"/>
    </row>
    <row r="31" spans="1:33" ht="15.75" customHeight="1">
      <c r="A31" s="4404"/>
      <c r="B31" s="1723" t="s">
        <v>97</v>
      </c>
      <c r="C31" s="1733" t="s">
        <v>98</v>
      </c>
      <c r="D31" s="1658"/>
      <c r="E31" s="1552"/>
      <c r="F31" s="1552"/>
      <c r="G31" s="1552"/>
      <c r="H31" s="1552"/>
      <c r="I31" s="1552"/>
      <c r="J31" s="1552"/>
      <c r="K31" s="1552"/>
      <c r="L31" s="1552"/>
      <c r="M31" s="1552"/>
      <c r="N31" s="1552"/>
      <c r="O31" s="1552"/>
      <c r="P31" s="1552"/>
      <c r="Q31" s="1552"/>
      <c r="R31" s="1552"/>
      <c r="S31" s="1552"/>
      <c r="T31" s="1552"/>
      <c r="U31" s="1552"/>
      <c r="V31" s="1552"/>
      <c r="W31" s="1552"/>
      <c r="X31" s="1552"/>
      <c r="Y31" s="1552"/>
      <c r="Z31" s="1552"/>
      <c r="AA31" s="1659"/>
      <c r="AB31" s="1660"/>
      <c r="AC31" s="1660"/>
      <c r="AD31" s="1660"/>
      <c r="AE31" s="1660"/>
      <c r="AF31" s="1660"/>
      <c r="AG31" s="1661"/>
    </row>
    <row r="32" spans="1:33">
      <c r="A32" s="4676" t="s">
        <v>99</v>
      </c>
      <c r="B32" s="1734" t="s">
        <v>100</v>
      </c>
      <c r="C32" s="1728" t="s">
        <v>101</v>
      </c>
      <c r="D32" s="1662"/>
      <c r="E32" s="2770"/>
      <c r="F32" s="2770"/>
      <c r="G32" s="2770"/>
      <c r="H32" s="2770"/>
      <c r="I32" s="2770"/>
      <c r="J32" s="2770"/>
      <c r="K32" s="2770"/>
      <c r="L32" s="2770"/>
      <c r="M32" s="2770"/>
      <c r="N32" s="2770"/>
      <c r="O32" s="2770"/>
      <c r="P32" s="4550" t="s">
        <v>546</v>
      </c>
      <c r="Q32" s="4551"/>
      <c r="R32" s="4551"/>
      <c r="S32" s="4551"/>
      <c r="T32" s="4551"/>
      <c r="U32" s="4551"/>
      <c r="V32" s="4551"/>
      <c r="W32" s="4551"/>
      <c r="X32" s="4551"/>
      <c r="Y32" s="4551"/>
      <c r="Z32" s="4551"/>
      <c r="AA32" s="4551"/>
      <c r="AB32" s="4551"/>
      <c r="AC32" s="4551"/>
      <c r="AD32" s="4551"/>
      <c r="AE32" s="4551"/>
      <c r="AF32" s="4551"/>
      <c r="AG32" s="4826"/>
    </row>
    <row r="33" spans="1:33" ht="15.75" customHeight="1">
      <c r="A33" s="4676"/>
      <c r="B33" s="1735" t="s">
        <v>77</v>
      </c>
      <c r="C33" s="1730" t="s">
        <v>245</v>
      </c>
      <c r="D33" s="4416" t="s">
        <v>547</v>
      </c>
      <c r="E33" s="4411"/>
      <c r="F33" s="4411"/>
      <c r="G33" s="4334"/>
      <c r="H33" s="3685"/>
      <c r="I33" s="3685"/>
      <c r="J33" s="3685"/>
      <c r="K33" s="3685"/>
      <c r="L33" s="3685"/>
      <c r="M33" s="3685"/>
      <c r="N33" s="3685"/>
      <c r="O33" s="3685"/>
      <c r="P33" s="3685"/>
      <c r="Q33" s="3685"/>
      <c r="R33" s="3685"/>
      <c r="S33" s="3685"/>
      <c r="T33" s="3685"/>
      <c r="U33" s="3685"/>
      <c r="V33" s="3685"/>
      <c r="W33" s="3685"/>
      <c r="X33" s="3685"/>
      <c r="Y33" s="3685"/>
      <c r="Z33" s="3685"/>
      <c r="AA33" s="3685"/>
      <c r="AB33" s="1664" t="s">
        <v>55</v>
      </c>
      <c r="AC33" s="4856" t="s">
        <v>537</v>
      </c>
      <c r="AD33" s="4857"/>
      <c r="AE33" s="4813" t="s">
        <v>112</v>
      </c>
      <c r="AF33" s="3874"/>
      <c r="AG33" s="4814"/>
    </row>
    <row r="34" spans="1:33" ht="15.75" customHeight="1">
      <c r="A34" s="4676"/>
      <c r="B34" s="1735" t="s">
        <v>95</v>
      </c>
      <c r="C34" s="1730" t="s">
        <v>105</v>
      </c>
      <c r="D34" s="1663"/>
      <c r="E34" s="3685"/>
      <c r="F34" s="3685"/>
      <c r="G34" s="3685"/>
      <c r="H34" s="3685"/>
      <c r="I34" s="3685"/>
      <c r="J34" s="3685"/>
      <c r="K34" s="3685"/>
      <c r="L34" s="3685"/>
      <c r="M34" s="2385"/>
      <c r="N34" s="2385"/>
      <c r="O34" s="2385"/>
      <c r="P34" s="2385"/>
      <c r="Q34" s="2385"/>
      <c r="R34" s="2385"/>
      <c r="S34" s="2385"/>
      <c r="T34" s="2385"/>
      <c r="U34" s="2385"/>
      <c r="V34" s="2385"/>
      <c r="W34" s="2385"/>
      <c r="X34" s="2385"/>
      <c r="Y34" s="3685"/>
      <c r="Z34" s="3685"/>
      <c r="AA34" s="3685"/>
      <c r="AB34" s="1665"/>
      <c r="AC34" s="203"/>
      <c r="AD34" s="203"/>
      <c r="AE34" s="204"/>
      <c r="AF34" s="3604"/>
      <c r="AG34" s="1634"/>
    </row>
    <row r="35" spans="1:33" ht="15.75" customHeight="1">
      <c r="A35" s="4676"/>
      <c r="B35" s="1735" t="s">
        <v>95</v>
      </c>
      <c r="C35" s="1730" t="s">
        <v>548</v>
      </c>
      <c r="D35" s="1663"/>
      <c r="E35" s="3685"/>
      <c r="F35" s="3685"/>
      <c r="G35" s="3685"/>
      <c r="H35" s="3685"/>
      <c r="I35" s="3685"/>
      <c r="J35" s="3685"/>
      <c r="K35" s="3685"/>
      <c r="L35" s="3685"/>
      <c r="M35" s="2385"/>
      <c r="N35" s="2385"/>
      <c r="O35" s="2385"/>
      <c r="P35" s="2385"/>
      <c r="Q35" s="2385"/>
      <c r="R35" s="2385"/>
      <c r="S35" s="2385"/>
      <c r="T35" s="2385"/>
      <c r="U35" s="2385"/>
      <c r="V35" s="2385"/>
      <c r="W35" s="2385"/>
      <c r="X35" s="2385"/>
      <c r="Y35" s="3685"/>
      <c r="Z35" s="3685"/>
      <c r="AA35" s="3685"/>
      <c r="AB35" s="3685"/>
      <c r="AC35" s="2770"/>
      <c r="AD35" s="2770"/>
      <c r="AE35" s="2770"/>
      <c r="AF35" s="3685"/>
      <c r="AG35" s="1634"/>
    </row>
    <row r="36" spans="1:33" ht="15.75" customHeight="1">
      <c r="A36" s="4676"/>
      <c r="B36" s="1735" t="s">
        <v>106</v>
      </c>
      <c r="C36" s="1730" t="s">
        <v>107</v>
      </c>
      <c r="D36" s="1649"/>
      <c r="E36" s="2385"/>
      <c r="F36" s="2385"/>
      <c r="G36" s="2385"/>
      <c r="H36" s="2385"/>
      <c r="I36" s="2385"/>
      <c r="J36" s="2385"/>
      <c r="K36" s="2385"/>
      <c r="L36" s="2385"/>
      <c r="M36" s="2385"/>
      <c r="N36" s="2385"/>
      <c r="O36" s="2385"/>
      <c r="P36" s="2385"/>
      <c r="Q36" s="2385"/>
      <c r="R36" s="2385"/>
      <c r="S36" s="2385"/>
      <c r="T36" s="2385"/>
      <c r="U36" s="2385"/>
      <c r="V36" s="2385"/>
      <c r="W36" s="4333" t="s">
        <v>158</v>
      </c>
      <c r="X36" s="4411"/>
      <c r="Y36" s="4411"/>
      <c r="Z36" s="4411"/>
      <c r="AA36" s="4411"/>
      <c r="AB36" s="4411"/>
      <c r="AC36" s="4411"/>
      <c r="AD36" s="4411"/>
      <c r="AE36" s="4411"/>
      <c r="AF36" s="4334"/>
      <c r="AG36" s="1644"/>
    </row>
    <row r="37" spans="1:33" ht="15.75" customHeight="1">
      <c r="A37" s="4677"/>
      <c r="B37" s="1736" t="s">
        <v>108</v>
      </c>
      <c r="C37" s="1737" t="s">
        <v>109</v>
      </c>
      <c r="D37" s="1649"/>
      <c r="E37" s="2385"/>
      <c r="F37" s="2385"/>
      <c r="G37" s="2385"/>
      <c r="H37" s="2385"/>
      <c r="I37" s="2385"/>
      <c r="J37" s="2385"/>
      <c r="K37" s="2385"/>
      <c r="L37" s="2385"/>
      <c r="M37" s="2385"/>
      <c r="N37" s="2385"/>
      <c r="O37" s="2385"/>
      <c r="P37" s="2385"/>
      <c r="Q37" s="2385"/>
      <c r="R37" s="2385"/>
      <c r="S37" s="2385"/>
      <c r="T37" s="2385"/>
      <c r="U37" s="2385"/>
      <c r="V37" s="2385"/>
      <c r="W37" s="2385"/>
      <c r="X37" s="2385"/>
      <c r="Y37" s="2385"/>
      <c r="Z37" s="2385"/>
      <c r="AA37" s="2385"/>
      <c r="AB37" s="2385"/>
      <c r="AC37" s="2385"/>
      <c r="AD37" s="2385"/>
      <c r="AE37" s="2385"/>
      <c r="AF37" s="2385"/>
      <c r="AG37" s="1644"/>
    </row>
    <row r="38" spans="1:33" ht="15.75">
      <c r="A38" s="4407" t="s">
        <v>110</v>
      </c>
      <c r="B38" s="1738" t="s">
        <v>283</v>
      </c>
      <c r="C38" s="1739" t="s">
        <v>201</v>
      </c>
      <c r="D38" s="1670"/>
      <c r="E38" s="1671"/>
      <c r="F38" s="1671"/>
      <c r="G38" s="1671"/>
      <c r="H38" s="1671"/>
      <c r="I38" s="1671"/>
      <c r="J38" s="1671"/>
      <c r="K38" s="1671"/>
      <c r="L38" s="1671"/>
      <c r="M38" s="1671"/>
      <c r="N38" s="1671"/>
      <c r="O38" s="1671"/>
      <c r="P38" s="1671"/>
      <c r="Q38" s="1671"/>
      <c r="R38" s="1671"/>
      <c r="S38" s="1671"/>
      <c r="T38" s="1671"/>
      <c r="U38" s="1671"/>
      <c r="V38" s="1671"/>
      <c r="W38" s="1671"/>
      <c r="X38" s="1671"/>
      <c r="Y38" s="1671"/>
      <c r="Z38" s="1671"/>
      <c r="AA38" s="1671"/>
      <c r="AB38" s="1671"/>
      <c r="AC38" s="1671"/>
      <c r="AD38" s="1671"/>
      <c r="AE38" s="1671"/>
      <c r="AF38" s="1671"/>
      <c r="AG38" s="1672"/>
    </row>
    <row r="39" spans="1:33" ht="15.75">
      <c r="A39" s="4407"/>
      <c r="B39" s="1738" t="s">
        <v>283</v>
      </c>
      <c r="C39" s="1740" t="s">
        <v>549</v>
      </c>
      <c r="D39" s="1662"/>
      <c r="E39" s="2770"/>
      <c r="F39" s="2770"/>
      <c r="G39" s="2770"/>
      <c r="H39" s="2770"/>
      <c r="I39" s="2770"/>
      <c r="J39" s="2770"/>
      <c r="K39" s="2770"/>
      <c r="L39" s="2770"/>
      <c r="M39" s="2770"/>
      <c r="N39" s="2770"/>
      <c r="O39" s="2770"/>
      <c r="P39" s="2770"/>
      <c r="Q39" s="2770"/>
      <c r="R39" s="2770"/>
      <c r="S39" s="2770"/>
      <c r="T39" s="2770"/>
      <c r="U39" s="2770"/>
      <c r="V39" s="2770"/>
      <c r="W39" s="2770"/>
      <c r="X39" s="2770"/>
      <c r="Y39" s="2770"/>
      <c r="Z39" s="2770"/>
      <c r="AA39" s="2770"/>
      <c r="AB39" s="2770"/>
      <c r="AC39" s="2770"/>
      <c r="AD39" s="2770"/>
      <c r="AE39" s="2770"/>
      <c r="AF39" s="2770"/>
      <c r="AG39" s="1633"/>
    </row>
    <row r="40" spans="1:33" ht="15.75">
      <c r="A40" s="4407"/>
      <c r="B40" s="1738" t="s">
        <v>95</v>
      </c>
      <c r="C40" s="1741" t="s">
        <v>249</v>
      </c>
      <c r="D40" s="1663"/>
      <c r="E40" s="3685"/>
      <c r="F40" s="3685"/>
      <c r="G40" s="3685"/>
      <c r="H40" s="3685"/>
      <c r="I40" s="3685"/>
      <c r="J40" s="3685"/>
      <c r="K40" s="3685"/>
      <c r="L40" s="3685"/>
      <c r="M40" s="3685"/>
      <c r="N40" s="3685"/>
      <c r="O40" s="3685"/>
      <c r="P40" s="3685"/>
      <c r="Q40" s="3685"/>
      <c r="R40" s="3685"/>
      <c r="S40" s="3685"/>
      <c r="T40" s="3685"/>
      <c r="U40" s="3685"/>
      <c r="V40" s="3685"/>
      <c r="W40" s="3685"/>
      <c r="X40" s="3685"/>
      <c r="Y40" s="3685"/>
      <c r="Z40" s="3685"/>
      <c r="AA40" s="3685"/>
      <c r="AB40" s="3685"/>
      <c r="AC40" s="3685"/>
      <c r="AD40" s="3685"/>
      <c r="AE40" s="3685"/>
      <c r="AF40" s="3685"/>
      <c r="AG40" s="1634"/>
    </row>
    <row r="41" spans="1:33">
      <c r="A41" s="4407"/>
      <c r="B41" s="1729" t="s">
        <v>113</v>
      </c>
      <c r="C41" s="1730" t="s">
        <v>116</v>
      </c>
      <c r="D41" s="1663"/>
      <c r="E41" s="3685"/>
      <c r="F41" s="3685"/>
      <c r="G41" s="3685"/>
      <c r="H41" s="3685"/>
      <c r="I41" s="3685"/>
      <c r="J41" s="3685"/>
      <c r="K41" s="3685"/>
      <c r="L41" s="3685"/>
      <c r="M41" s="3685"/>
      <c r="N41" s="3685"/>
      <c r="O41" s="3685"/>
      <c r="P41" s="3685"/>
      <c r="Q41" s="3685"/>
      <c r="R41" s="3685"/>
      <c r="S41" s="3685"/>
      <c r="T41" s="3685"/>
      <c r="U41" s="3685"/>
      <c r="V41" s="3685"/>
      <c r="W41" s="3685"/>
      <c r="X41" s="3685"/>
      <c r="Y41" s="3685"/>
      <c r="Z41" s="3685"/>
      <c r="AA41" s="3685"/>
      <c r="AB41" s="3685"/>
      <c r="AC41" s="3685"/>
      <c r="AD41" s="3685"/>
      <c r="AE41" s="3685"/>
      <c r="AF41" s="3685"/>
      <c r="AG41" s="1634"/>
    </row>
    <row r="42" spans="1:33">
      <c r="A42" s="4407"/>
      <c r="B42" s="1729" t="s">
        <v>522</v>
      </c>
      <c r="C42" s="1730" t="s">
        <v>114</v>
      </c>
      <c r="D42" s="4514" t="s">
        <v>158</v>
      </c>
      <c r="E42" s="4475"/>
      <c r="F42" s="4475"/>
      <c r="G42" s="4475"/>
      <c r="H42" s="3685"/>
      <c r="I42" s="3685"/>
      <c r="J42" s="3685"/>
      <c r="K42" s="3685"/>
      <c r="L42" s="3685"/>
      <c r="M42" s="3685"/>
      <c r="N42" s="3685"/>
      <c r="O42" s="3685"/>
      <c r="P42" s="3685"/>
      <c r="Q42" s="3685"/>
      <c r="R42" s="3685"/>
      <c r="S42" s="3685"/>
      <c r="T42" s="3685"/>
      <c r="U42" s="3685"/>
      <c r="V42" s="3685"/>
      <c r="W42" s="3685"/>
      <c r="X42" s="3685"/>
      <c r="Y42" s="3685"/>
      <c r="Z42" s="3685"/>
      <c r="AA42" s="3685"/>
      <c r="AB42" s="3685"/>
      <c r="AC42" s="3685"/>
      <c r="AD42" s="3685"/>
      <c r="AE42" s="3685"/>
      <c r="AF42" s="3685"/>
      <c r="AG42" s="1634"/>
    </row>
    <row r="43" spans="1:33">
      <c r="A43" s="4407"/>
      <c r="B43" s="1729" t="s">
        <v>118</v>
      </c>
      <c r="C43" s="1730" t="s">
        <v>119</v>
      </c>
      <c r="D43" s="1663"/>
      <c r="E43" s="3685"/>
      <c r="F43" s="3685"/>
      <c r="G43" s="3685"/>
      <c r="H43" s="3685"/>
      <c r="I43" s="3685"/>
      <c r="J43" s="3685"/>
      <c r="K43" s="3685"/>
      <c r="L43" s="3685"/>
      <c r="M43" s="3685"/>
      <c r="N43" s="3685"/>
      <c r="O43" s="3685"/>
      <c r="P43" s="3685"/>
      <c r="Q43" s="3589" t="s">
        <v>251</v>
      </c>
      <c r="R43" s="4822" t="s">
        <v>550</v>
      </c>
      <c r="S43" s="4822"/>
      <c r="T43" s="4822"/>
      <c r="U43" s="4822"/>
      <c r="V43" s="4822"/>
      <c r="W43" s="4822"/>
      <c r="X43" s="4822"/>
      <c r="Y43" s="3589" t="s">
        <v>251</v>
      </c>
      <c r="Z43" s="3685"/>
      <c r="AA43" s="3685"/>
      <c r="AB43" s="3685"/>
      <c r="AC43" s="3685"/>
      <c r="AD43" s="3685"/>
      <c r="AE43" s="3685"/>
      <c r="AF43" s="3685"/>
      <c r="AG43" s="1634"/>
    </row>
    <row r="44" spans="1:33">
      <c r="A44" s="4407"/>
      <c r="B44" s="1729" t="s">
        <v>500</v>
      </c>
      <c r="C44" s="1730" t="s">
        <v>126</v>
      </c>
      <c r="D44" s="1666"/>
      <c r="E44" s="904"/>
      <c r="F44" s="904"/>
      <c r="G44" s="4822" t="s">
        <v>551</v>
      </c>
      <c r="H44" s="4822"/>
      <c r="I44" s="4822"/>
      <c r="J44" s="4822"/>
      <c r="K44" s="4822"/>
      <c r="L44" s="4822"/>
      <c r="M44" s="4822"/>
      <c r="N44" s="4822"/>
      <c r="O44" s="4822"/>
      <c r="P44" s="4822"/>
      <c r="Q44" s="4822"/>
      <c r="R44" s="4822"/>
      <c r="S44" s="4822"/>
      <c r="T44" s="4822"/>
      <c r="U44" s="4822"/>
      <c r="V44" s="4822"/>
      <c r="W44" s="4822"/>
      <c r="X44" s="4822"/>
      <c r="Y44" s="4822"/>
      <c r="Z44" s="4822"/>
      <c r="AA44" s="4822"/>
      <c r="AB44" s="3685"/>
      <c r="AC44" s="3685"/>
      <c r="AD44" s="3685"/>
      <c r="AE44" s="3685"/>
      <c r="AF44" s="3685"/>
      <c r="AG44" s="1634"/>
    </row>
    <row r="45" spans="1:33">
      <c r="A45" s="4407"/>
      <c r="B45" s="1729" t="s">
        <v>120</v>
      </c>
      <c r="C45" s="1730" t="s">
        <v>121</v>
      </c>
      <c r="D45" s="4821" t="s">
        <v>552</v>
      </c>
      <c r="E45" s="4286"/>
      <c r="F45" s="4286"/>
      <c r="G45" s="4286"/>
      <c r="H45" s="4286"/>
      <c r="I45" s="4286"/>
      <c r="J45" s="4286"/>
      <c r="K45" s="3589" t="s">
        <v>251</v>
      </c>
      <c r="L45" s="3685"/>
      <c r="M45" s="3685"/>
      <c r="N45" s="3685"/>
      <c r="O45" s="3685"/>
      <c r="P45" s="3685"/>
      <c r="Q45" s="3685"/>
      <c r="R45" s="3685"/>
      <c r="S45" s="3685"/>
      <c r="T45" s="3685"/>
      <c r="U45" s="3685"/>
      <c r="V45" s="3685"/>
      <c r="W45" s="3685"/>
      <c r="X45" s="3685"/>
      <c r="Y45" s="3685"/>
      <c r="Z45" s="3685"/>
      <c r="AA45" s="3685"/>
      <c r="AB45" s="3685"/>
      <c r="AC45" s="3685"/>
      <c r="AD45" s="3685"/>
      <c r="AE45" s="3685"/>
      <c r="AF45" s="3685"/>
      <c r="AG45" s="1634"/>
    </row>
    <row r="46" spans="1:33">
      <c r="A46" s="4407"/>
      <c r="B46" s="1729" t="s">
        <v>122</v>
      </c>
      <c r="C46" s="1730" t="s">
        <v>123</v>
      </c>
      <c r="D46" s="1663"/>
      <c r="E46" s="3685"/>
      <c r="F46" s="3685"/>
      <c r="G46" s="3685"/>
      <c r="H46" s="3685"/>
      <c r="I46" s="3685"/>
      <c r="J46" s="3685"/>
      <c r="K46" s="3685"/>
      <c r="L46" s="904"/>
      <c r="M46" s="904"/>
      <c r="N46" s="904"/>
      <c r="O46" s="904"/>
      <c r="P46" s="3589" t="s">
        <v>251</v>
      </c>
      <c r="Q46" s="3589"/>
      <c r="R46" s="4822" t="s">
        <v>550</v>
      </c>
      <c r="S46" s="4822"/>
      <c r="T46" s="4822"/>
      <c r="U46" s="4822"/>
      <c r="V46" s="4822"/>
      <c r="W46" s="4822"/>
      <c r="X46" s="4822"/>
      <c r="Y46" s="3589"/>
      <c r="Z46" s="3589"/>
      <c r="AA46" s="3589"/>
      <c r="AB46" s="3589"/>
      <c r="AC46" s="3589" t="s">
        <v>251</v>
      </c>
      <c r="AD46" s="1580"/>
      <c r="AE46" s="1580"/>
      <c r="AF46" s="1580"/>
      <c r="AG46" s="1581"/>
    </row>
    <row r="47" spans="1:33">
      <c r="A47" s="4407"/>
      <c r="B47" s="1729" t="s">
        <v>122</v>
      </c>
      <c r="C47" s="1730" t="s">
        <v>553</v>
      </c>
      <c r="D47" s="4815"/>
      <c r="E47" s="4816"/>
      <c r="F47" s="4816"/>
      <c r="G47" s="4816"/>
      <c r="H47" s="4816"/>
      <c r="I47" s="4816"/>
      <c r="J47" s="4816"/>
      <c r="K47" s="4816"/>
      <c r="L47" s="4816"/>
      <c r="M47" s="4816"/>
      <c r="N47" s="4816"/>
      <c r="O47" s="4816"/>
      <c r="P47" s="4816"/>
      <c r="Q47" s="4816"/>
      <c r="R47" s="4816"/>
      <c r="S47" s="4816"/>
      <c r="T47" s="4816"/>
      <c r="U47" s="4816"/>
      <c r="V47" s="4816"/>
      <c r="W47" s="4816"/>
      <c r="X47" s="4816"/>
      <c r="Y47" s="4817"/>
      <c r="Z47" s="1268"/>
      <c r="AA47" s="1268"/>
      <c r="AB47" s="1268"/>
      <c r="AC47" s="1757"/>
      <c r="AD47" s="1758"/>
      <c r="AE47" s="1758"/>
      <c r="AF47" s="1758"/>
      <c r="AG47" s="1759"/>
    </row>
    <row r="48" spans="1:33">
      <c r="A48" s="4407"/>
      <c r="B48" s="1729" t="s">
        <v>124</v>
      </c>
      <c r="C48" s="1730" t="s">
        <v>125</v>
      </c>
      <c r="D48" s="1663"/>
      <c r="E48" s="3685"/>
      <c r="F48" s="3685"/>
      <c r="G48" s="3685"/>
      <c r="H48" s="3685"/>
      <c r="I48" s="3685"/>
      <c r="J48" s="3685"/>
      <c r="K48" s="3685"/>
      <c r="L48" s="3685"/>
      <c r="M48" s="3685"/>
      <c r="N48" s="3685"/>
      <c r="O48" s="3685"/>
      <c r="P48" s="3685"/>
      <c r="Q48" s="3685"/>
      <c r="R48" s="3685"/>
      <c r="S48" s="3685"/>
      <c r="T48" s="3685"/>
      <c r="U48" s="3685"/>
      <c r="V48" s="3685"/>
      <c r="W48" s="3685"/>
      <c r="X48" s="3685"/>
      <c r="Y48" s="3685"/>
      <c r="Z48" s="3685"/>
      <c r="AA48" s="3685"/>
      <c r="AB48" s="3685"/>
      <c r="AC48" s="2831"/>
      <c r="AD48" s="904"/>
      <c r="AE48" s="374"/>
      <c r="AF48" s="374"/>
      <c r="AG48" s="976"/>
    </row>
    <row r="49" spans="1:33">
      <c r="A49" s="4407"/>
      <c r="B49" s="1729" t="s">
        <v>127</v>
      </c>
      <c r="C49" s="1730" t="s">
        <v>128</v>
      </c>
      <c r="D49" s="4514" t="s">
        <v>438</v>
      </c>
      <c r="E49" s="4475"/>
      <c r="F49" s="4475"/>
      <c r="G49" s="4475"/>
      <c r="H49" s="4475"/>
      <c r="I49" s="4475"/>
      <c r="J49" s="4475"/>
      <c r="K49" s="4475"/>
      <c r="L49" s="4475"/>
      <c r="M49" s="4475"/>
      <c r="N49" s="4475"/>
      <c r="O49" s="4475"/>
      <c r="P49" s="4475"/>
      <c r="Q49" s="4475"/>
      <c r="R49" s="4475"/>
      <c r="S49" s="4475"/>
      <c r="T49" s="4475"/>
      <c r="U49" s="4475"/>
      <c r="V49" s="4475"/>
      <c r="W49" s="904"/>
      <c r="X49" s="904"/>
      <c r="Y49" s="904"/>
      <c r="Z49" s="904"/>
      <c r="AA49" s="904"/>
      <c r="AB49" s="904"/>
      <c r="AC49" s="1497"/>
      <c r="AD49" s="904"/>
      <c r="AE49" s="904"/>
      <c r="AF49" s="904"/>
      <c r="AG49" s="1582"/>
    </row>
    <row r="50" spans="1:33">
      <c r="A50" s="4407"/>
      <c r="B50" s="1729" t="s">
        <v>554</v>
      </c>
      <c r="C50" s="1730" t="s">
        <v>555</v>
      </c>
      <c r="D50" s="1666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1497"/>
      <c r="AD50" s="904"/>
      <c r="AE50" s="904"/>
      <c r="AF50" s="904"/>
      <c r="AG50" s="1582"/>
    </row>
    <row r="51" spans="1:33">
      <c r="A51" s="4407"/>
      <c r="B51" s="1729" t="s">
        <v>129</v>
      </c>
      <c r="C51" s="1730" t="s">
        <v>130</v>
      </c>
      <c r="D51" s="1663" t="s">
        <v>556</v>
      </c>
      <c r="E51" s="3685"/>
      <c r="F51" s="3685"/>
      <c r="G51" s="3685"/>
      <c r="H51" s="3685"/>
      <c r="I51" s="3685"/>
      <c r="J51" s="3685"/>
      <c r="K51" s="3685"/>
      <c r="L51" s="3685"/>
      <c r="M51" s="3685"/>
      <c r="N51" s="3685"/>
      <c r="O51" s="3685"/>
      <c r="P51" s="3685"/>
      <c r="Q51" s="3685"/>
      <c r="R51" s="3685"/>
      <c r="S51" s="3685"/>
      <c r="T51" s="3685"/>
      <c r="U51" s="3685"/>
      <c r="V51" s="3685"/>
      <c r="W51" s="3685"/>
      <c r="X51" s="3685"/>
      <c r="Y51" s="3685"/>
      <c r="Z51" s="3685"/>
      <c r="AA51" s="3685"/>
      <c r="AB51" s="3685"/>
      <c r="AC51" s="2831"/>
      <c r="AD51" s="3685"/>
      <c r="AE51" s="3685"/>
      <c r="AF51" s="3685"/>
      <c r="AG51" s="1634"/>
    </row>
    <row r="52" spans="1:33">
      <c r="A52" s="4407"/>
      <c r="B52" s="1729" t="s">
        <v>129</v>
      </c>
      <c r="C52" s="1730" t="s">
        <v>474</v>
      </c>
      <c r="D52" s="1663"/>
      <c r="E52" s="3685"/>
      <c r="F52" s="3685"/>
      <c r="G52" s="3685"/>
      <c r="H52" s="3685"/>
      <c r="I52" s="3685"/>
      <c r="J52" s="3685"/>
      <c r="K52" s="3685"/>
      <c r="L52" s="3685"/>
      <c r="M52" s="3685"/>
      <c r="N52" s="3685"/>
      <c r="O52" s="3685"/>
      <c r="P52" s="3685"/>
      <c r="Q52" s="3685"/>
      <c r="R52" s="3685"/>
      <c r="S52" s="3685"/>
      <c r="T52" s="3685"/>
      <c r="U52" s="3685"/>
      <c r="V52" s="3685"/>
      <c r="W52" s="3685"/>
      <c r="X52" s="3685"/>
      <c r="Y52" s="3685"/>
      <c r="Z52" s="3685"/>
      <c r="AA52" s="3685"/>
      <c r="AB52" s="3685"/>
      <c r="AC52" s="2831"/>
      <c r="AD52" s="904"/>
      <c r="AE52" s="374"/>
      <c r="AF52" s="374"/>
      <c r="AG52" s="976"/>
    </row>
    <row r="53" spans="1:33">
      <c r="A53" s="4407"/>
      <c r="B53" s="1729" t="s">
        <v>134</v>
      </c>
      <c r="C53" s="1730" t="s">
        <v>135</v>
      </c>
      <c r="D53" s="1666"/>
      <c r="E53" s="904"/>
      <c r="F53" s="904"/>
      <c r="G53" s="4475" t="s">
        <v>112</v>
      </c>
      <c r="H53" s="4475"/>
      <c r="I53" s="4475"/>
      <c r="J53" s="4475"/>
      <c r="K53" s="4475"/>
      <c r="L53" s="4475"/>
      <c r="M53" s="4475"/>
      <c r="N53" s="4475"/>
      <c r="O53" s="4475"/>
      <c r="P53" s="4475"/>
      <c r="Q53" s="4475"/>
      <c r="R53" s="4475"/>
      <c r="S53" s="4475"/>
      <c r="T53" s="4475"/>
      <c r="U53" s="4475"/>
      <c r="V53" s="4475"/>
      <c r="W53" s="4475"/>
      <c r="X53" s="4475"/>
      <c r="Y53" s="4475"/>
      <c r="Z53" s="4475"/>
      <c r="AA53" s="4475"/>
      <c r="AB53" s="4475"/>
      <c r="AC53" s="4475"/>
      <c r="AD53" s="4645"/>
      <c r="AE53" s="4645"/>
      <c r="AF53" s="4645"/>
      <c r="AG53" s="4825"/>
    </row>
    <row r="54" spans="1:33">
      <c r="A54" s="4407"/>
      <c r="B54" s="1729" t="s">
        <v>333</v>
      </c>
      <c r="C54" s="1730" t="s">
        <v>334</v>
      </c>
      <c r="D54" s="1666"/>
      <c r="E54" s="904"/>
      <c r="F54" s="904"/>
      <c r="G54" s="904"/>
      <c r="H54" s="904"/>
      <c r="I54" s="904"/>
      <c r="J54" s="904"/>
      <c r="K54" s="3685"/>
      <c r="L54" s="3685"/>
      <c r="M54" s="3685"/>
      <c r="N54" s="3685"/>
      <c r="O54" s="3685"/>
      <c r="P54" s="3589" t="s">
        <v>251</v>
      </c>
      <c r="Q54" s="4822" t="s">
        <v>550</v>
      </c>
      <c r="R54" s="4822"/>
      <c r="S54" s="4822"/>
      <c r="T54" s="4822"/>
      <c r="U54" s="4822"/>
      <c r="V54" s="4822"/>
      <c r="W54" s="4822"/>
      <c r="X54" s="4822"/>
      <c r="Y54" s="4822"/>
      <c r="Z54" s="4822"/>
      <c r="AA54" s="4822"/>
      <c r="AB54" s="4822"/>
      <c r="AC54" s="3589" t="s">
        <v>251</v>
      </c>
      <c r="AD54" s="3685"/>
      <c r="AE54" s="3685"/>
      <c r="AF54" s="3685"/>
      <c r="AG54" s="1634"/>
    </row>
    <row r="55" spans="1:33" ht="15.75" customHeight="1">
      <c r="A55" s="4407"/>
      <c r="B55" s="1731" t="s">
        <v>131</v>
      </c>
      <c r="C55" s="1732" t="s">
        <v>132</v>
      </c>
      <c r="D55" s="1697"/>
      <c r="E55" s="1052"/>
      <c r="F55" s="1052"/>
      <c r="G55" s="4820" t="s">
        <v>551</v>
      </c>
      <c r="H55" s="4820"/>
      <c r="I55" s="4820"/>
      <c r="J55" s="4820"/>
      <c r="K55" s="4820"/>
      <c r="L55" s="4820"/>
      <c r="M55" s="4820"/>
      <c r="N55" s="4820"/>
      <c r="O55" s="4820"/>
      <c r="P55" s="4820"/>
      <c r="Q55" s="4820"/>
      <c r="R55" s="4820"/>
      <c r="S55" s="4820"/>
      <c r="T55" s="4820"/>
      <c r="U55" s="4820"/>
      <c r="V55" s="4820"/>
      <c r="W55" s="4820"/>
      <c r="X55" s="4820"/>
      <c r="Y55" s="4820"/>
      <c r="Z55" s="4820"/>
      <c r="AA55" s="4820"/>
      <c r="AB55" s="1646"/>
      <c r="AC55" s="1646"/>
      <c r="AD55" s="1646"/>
      <c r="AE55" s="1646"/>
      <c r="AF55" s="4423" t="s">
        <v>158</v>
      </c>
      <c r="AG55" s="4732"/>
    </row>
    <row r="56" spans="1:33" ht="15.75" customHeight="1">
      <c r="A56" s="4829" t="s">
        <v>136</v>
      </c>
      <c r="B56" s="1742" t="s">
        <v>77</v>
      </c>
      <c r="C56" s="1743" t="s">
        <v>137</v>
      </c>
      <c r="D56" s="4844" t="s">
        <v>557</v>
      </c>
      <c r="E56" s="4551"/>
      <c r="F56" s="4551"/>
      <c r="G56" s="4551"/>
      <c r="H56" s="4551"/>
      <c r="I56" s="4551"/>
      <c r="J56" s="2770"/>
      <c r="K56" s="2770"/>
      <c r="L56" s="2770"/>
      <c r="M56" s="2770"/>
      <c r="N56" s="2770"/>
      <c r="O56" s="2770"/>
      <c r="P56" s="2770"/>
      <c r="Q56" s="2770"/>
      <c r="R56" s="1640"/>
      <c r="S56" s="4823" t="s">
        <v>55</v>
      </c>
      <c r="T56" s="4824"/>
      <c r="U56" s="4808" t="s">
        <v>542</v>
      </c>
      <c r="V56" s="4809"/>
      <c r="W56" s="4809"/>
      <c r="X56" s="4809"/>
      <c r="Y56" s="4810"/>
      <c r="Z56" s="1630" t="s">
        <v>55</v>
      </c>
      <c r="AA56" s="2770"/>
      <c r="AB56" s="2770"/>
      <c r="AC56" s="2770"/>
      <c r="AD56" s="4550" t="s">
        <v>558</v>
      </c>
      <c r="AE56" s="4551"/>
      <c r="AF56" s="4551"/>
      <c r="AG56" s="4826"/>
    </row>
    <row r="57" spans="1:33" ht="15.75" customHeight="1">
      <c r="A57" s="4666"/>
      <c r="B57" s="1729" t="s">
        <v>95</v>
      </c>
      <c r="C57" s="1732" t="s">
        <v>139</v>
      </c>
      <c r="D57" s="1666"/>
      <c r="E57" s="3685"/>
      <c r="F57" s="3685"/>
      <c r="G57" s="3685"/>
      <c r="H57" s="3685"/>
      <c r="I57" s="3685"/>
      <c r="J57" s="3685"/>
      <c r="K57" s="2384"/>
      <c r="L57" s="2385"/>
      <c r="M57" s="2385"/>
      <c r="N57" s="2385"/>
      <c r="O57" s="2385"/>
      <c r="P57" s="2385"/>
      <c r="Q57" s="2385"/>
      <c r="R57" s="4333" t="s">
        <v>546</v>
      </c>
      <c r="S57" s="4413"/>
      <c r="T57" s="4413"/>
      <c r="U57" s="4413"/>
      <c r="V57" s="4413"/>
      <c r="W57" s="4413"/>
      <c r="X57" s="4413"/>
      <c r="Y57" s="4413"/>
      <c r="Z57" s="4413"/>
      <c r="AA57" s="4413"/>
      <c r="AB57" s="4413"/>
      <c r="AC57" s="4413"/>
      <c r="AD57" s="4413"/>
      <c r="AE57" s="4413"/>
      <c r="AF57" s="4413"/>
      <c r="AG57" s="4455"/>
    </row>
    <row r="58" spans="1:33" ht="15.75" customHeight="1">
      <c r="A58" s="4830"/>
      <c r="B58" s="1744" t="s">
        <v>142</v>
      </c>
      <c r="C58" s="1745" t="s">
        <v>143</v>
      </c>
      <c r="D58" s="1667"/>
      <c r="E58" s="1668"/>
      <c r="F58" s="1668"/>
      <c r="G58" s="1668"/>
      <c r="H58" s="1668"/>
      <c r="I58" s="1668"/>
      <c r="J58" s="1668"/>
      <c r="K58" s="4423" t="s">
        <v>112</v>
      </c>
      <c r="L58" s="4424"/>
      <c r="M58" s="4424"/>
      <c r="N58" s="4424"/>
      <c r="O58" s="4424"/>
      <c r="P58" s="4638"/>
      <c r="Q58" s="1646"/>
      <c r="R58" s="3668"/>
      <c r="S58" s="1646"/>
      <c r="T58" s="1646"/>
      <c r="U58" s="1646"/>
      <c r="V58" s="1646"/>
      <c r="W58" s="1646"/>
      <c r="X58" s="1646"/>
      <c r="Y58" s="1646"/>
      <c r="Z58" s="1646"/>
      <c r="AA58" s="1646"/>
      <c r="AB58" s="1646"/>
      <c r="AC58" s="1646"/>
      <c r="AD58" s="1646"/>
      <c r="AE58" s="1646"/>
      <c r="AF58" s="1646"/>
      <c r="AG58" s="1669"/>
    </row>
    <row r="59" spans="1:33">
      <c r="A59" s="4425"/>
      <c r="B59" s="1729" t="s">
        <v>145</v>
      </c>
      <c r="C59" s="1746" t="s">
        <v>148</v>
      </c>
      <c r="D59" s="1641"/>
      <c r="E59" s="1650"/>
      <c r="F59" s="2770"/>
      <c r="G59" s="2770"/>
      <c r="H59" s="2770"/>
      <c r="I59" s="2770"/>
      <c r="J59" s="2770"/>
      <c r="K59" s="2770"/>
      <c r="L59" s="2770"/>
      <c r="M59" s="2770"/>
      <c r="N59" s="2770"/>
      <c r="O59" s="2770"/>
      <c r="P59" s="2770"/>
      <c r="Q59" s="2770"/>
      <c r="R59" s="2770"/>
      <c r="S59" s="4853" t="s">
        <v>559</v>
      </c>
      <c r="T59" s="4854"/>
      <c r="U59" s="4854"/>
      <c r="V59" s="4854"/>
      <c r="W59" s="4854"/>
      <c r="X59" s="4854"/>
      <c r="Y59" s="4854"/>
      <c r="Z59" s="4854"/>
      <c r="AA59" s="4854"/>
      <c r="AB59" s="4854"/>
      <c r="AC59" s="4854"/>
      <c r="AD59" s="4855"/>
      <c r="AE59" s="2770"/>
      <c r="AF59" s="2770"/>
      <c r="AG59" s="1633"/>
    </row>
    <row r="60" spans="1:33" ht="15.75" customHeight="1">
      <c r="A60" s="4425"/>
      <c r="B60" s="1729" t="s">
        <v>149</v>
      </c>
      <c r="C60" s="1747" t="s">
        <v>150</v>
      </c>
      <c r="D60" s="3604"/>
      <c r="E60" s="2385"/>
      <c r="F60" s="3685"/>
      <c r="G60" s="3685"/>
      <c r="H60" s="3685"/>
      <c r="I60" s="3685"/>
      <c r="J60" s="3685"/>
      <c r="K60" s="3685"/>
      <c r="L60" s="3685"/>
      <c r="M60" s="2385"/>
      <c r="N60" s="2385"/>
      <c r="O60" s="2385"/>
      <c r="P60" s="2385"/>
      <c r="Q60" s="2385"/>
      <c r="R60" s="2385"/>
      <c r="S60" s="2385"/>
      <c r="T60" s="2385"/>
      <c r="U60" s="2385"/>
      <c r="V60" s="2385"/>
      <c r="W60" s="2385"/>
      <c r="X60" s="2385"/>
      <c r="Y60" s="2385"/>
      <c r="Z60" s="2385"/>
      <c r="AA60" s="2385"/>
      <c r="AB60" s="1664" t="s">
        <v>55</v>
      </c>
      <c r="AC60" s="4833" t="s">
        <v>537</v>
      </c>
      <c r="AD60" s="4834"/>
      <c r="AE60" s="1664" t="s">
        <v>55</v>
      </c>
      <c r="AF60" s="2385"/>
      <c r="AG60" s="1644"/>
    </row>
    <row r="61" spans="1:33">
      <c r="A61" s="4425"/>
      <c r="B61" s="1731" t="s">
        <v>149</v>
      </c>
      <c r="C61" s="1748" t="s">
        <v>151</v>
      </c>
      <c r="D61" s="4429" t="s">
        <v>560</v>
      </c>
      <c r="E61" s="4818"/>
      <c r="F61" s="4818"/>
      <c r="G61" s="4819"/>
      <c r="H61" s="2385"/>
      <c r="I61" s="2385"/>
      <c r="J61" s="2385"/>
      <c r="K61" s="2385"/>
      <c r="L61" s="2385"/>
      <c r="M61" s="2385"/>
      <c r="N61" s="2385"/>
      <c r="O61" s="2385"/>
      <c r="P61" s="2385"/>
      <c r="Q61" s="2385"/>
      <c r="R61" s="2385"/>
      <c r="S61" s="2384"/>
      <c r="T61" s="2385"/>
      <c r="U61" s="2385"/>
      <c r="V61" s="2385"/>
      <c r="W61" s="2385"/>
      <c r="X61" s="2385"/>
      <c r="Y61" s="2385"/>
      <c r="Z61" s="2385"/>
      <c r="AA61" s="2385"/>
      <c r="AB61" s="2385"/>
      <c r="AC61" s="2385"/>
      <c r="AD61" s="2385"/>
      <c r="AE61" s="2385"/>
      <c r="AF61" s="2385"/>
      <c r="AG61" s="1644"/>
    </row>
    <row r="62" spans="1:33" ht="15.75">
      <c r="A62" s="4675" t="s">
        <v>13</v>
      </c>
      <c r="B62" s="1749" t="s">
        <v>77</v>
      </c>
      <c r="C62" s="1724" t="s">
        <v>153</v>
      </c>
      <c r="D62" s="1670"/>
      <c r="E62" s="1671"/>
      <c r="F62" s="1671"/>
      <c r="G62" s="1671"/>
      <c r="H62" s="1671"/>
      <c r="I62" s="1671"/>
      <c r="J62" s="1671"/>
      <c r="K62" s="1671"/>
      <c r="L62" s="1671"/>
      <c r="M62" s="1671"/>
      <c r="N62" s="1671"/>
      <c r="O62" s="1671"/>
      <c r="P62" s="1671"/>
      <c r="Q62" s="1671"/>
      <c r="R62" s="1671"/>
      <c r="S62" s="4861" t="s">
        <v>55</v>
      </c>
      <c r="T62" s="4862"/>
      <c r="U62" s="4863" t="s">
        <v>542</v>
      </c>
      <c r="V62" s="4864"/>
      <c r="W62" s="4864"/>
      <c r="X62" s="4864"/>
      <c r="Y62" s="4865"/>
      <c r="Z62" s="3630" t="s">
        <v>55</v>
      </c>
      <c r="AA62" s="1671"/>
      <c r="AB62" s="1671"/>
      <c r="AC62" s="1671"/>
      <c r="AD62" s="1671"/>
      <c r="AE62" s="1671"/>
      <c r="AF62" s="1671"/>
      <c r="AG62" s="1672"/>
    </row>
    <row r="63" spans="1:33" ht="15.75">
      <c r="A63" s="4676"/>
      <c r="B63" s="1750" t="s">
        <v>100</v>
      </c>
      <c r="C63" s="1725" t="s">
        <v>78</v>
      </c>
      <c r="D63" s="3680"/>
      <c r="E63" s="3685"/>
      <c r="F63" s="3685"/>
      <c r="G63" s="3685"/>
      <c r="H63" s="3685"/>
      <c r="I63" s="3685"/>
      <c r="J63" s="3685"/>
      <c r="K63" s="3685"/>
      <c r="L63" s="3685"/>
      <c r="M63" s="1673" t="s">
        <v>55</v>
      </c>
      <c r="N63" s="4308" t="s">
        <v>272</v>
      </c>
      <c r="O63" s="4308"/>
      <c r="P63" s="4308"/>
      <c r="Q63" s="4308"/>
      <c r="R63" s="4308"/>
      <c r="S63" s="4308"/>
      <c r="T63" s="4308"/>
      <c r="U63" s="4308"/>
      <c r="V63" s="4308"/>
      <c r="W63" s="1673" t="s">
        <v>55</v>
      </c>
      <c r="X63" s="3685"/>
      <c r="Y63" s="1674" t="s">
        <v>536</v>
      </c>
      <c r="Z63" s="3685"/>
      <c r="AA63" s="3685"/>
      <c r="AB63" s="1673" t="s">
        <v>55</v>
      </c>
      <c r="AC63" s="4850" t="s">
        <v>537</v>
      </c>
      <c r="AD63" s="4850"/>
      <c r="AE63" s="1700" t="s">
        <v>112</v>
      </c>
      <c r="AF63" s="1701"/>
      <c r="AG63" s="1675" t="s">
        <v>55</v>
      </c>
    </row>
    <row r="64" spans="1:33">
      <c r="A64" s="4676"/>
      <c r="B64" s="1750" t="s">
        <v>248</v>
      </c>
      <c r="C64" s="1725" t="s">
        <v>86</v>
      </c>
      <c r="D64" s="1649"/>
      <c r="E64" s="2385"/>
      <c r="F64" s="2385"/>
      <c r="G64" s="3685"/>
      <c r="H64" s="3685"/>
      <c r="I64" s="2385"/>
      <c r="J64" s="3677" t="s">
        <v>539</v>
      </c>
      <c r="K64" s="3685"/>
      <c r="L64" s="3685"/>
      <c r="M64" s="3685"/>
      <c r="N64" s="3685"/>
      <c r="O64" s="3685"/>
      <c r="P64" s="3685"/>
      <c r="Q64" s="3685"/>
      <c r="R64" s="3685"/>
      <c r="S64" s="3685"/>
      <c r="T64" s="3685"/>
      <c r="U64" s="3685"/>
      <c r="V64" s="3685"/>
      <c r="W64" s="3685"/>
      <c r="X64" s="3685"/>
      <c r="Y64" s="1674" t="s">
        <v>536</v>
      </c>
      <c r="Z64" s="3685"/>
      <c r="AA64" s="3685"/>
      <c r="AB64" s="3685"/>
      <c r="AC64" s="3685"/>
      <c r="AD64" s="3685"/>
      <c r="AE64" s="3685"/>
      <c r="AF64" s="3685"/>
      <c r="AG64" s="1634"/>
    </row>
    <row r="65" spans="1:33" ht="15.75">
      <c r="A65" s="4676"/>
      <c r="B65" s="1750" t="s">
        <v>561</v>
      </c>
      <c r="C65" s="1725" t="s">
        <v>396</v>
      </c>
      <c r="D65" s="1676"/>
      <c r="E65" s="1677"/>
      <c r="F65" s="3628" t="s">
        <v>251</v>
      </c>
      <c r="G65" s="4836" t="s">
        <v>562</v>
      </c>
      <c r="H65" s="4837"/>
      <c r="I65" s="3628" t="s">
        <v>251</v>
      </c>
      <c r="J65" s="1678"/>
      <c r="K65" s="1673" t="s">
        <v>55</v>
      </c>
      <c r="L65" s="4782" t="s">
        <v>272</v>
      </c>
      <c r="M65" s="4843"/>
      <c r="N65" s="4843"/>
      <c r="O65" s="4843"/>
      <c r="P65" s="4843"/>
      <c r="Q65" s="4843"/>
      <c r="R65" s="4843"/>
      <c r="S65" s="4843"/>
      <c r="T65" s="4843"/>
      <c r="U65" s="4843"/>
      <c r="V65" s="4783"/>
      <c r="W65" s="1673" t="s">
        <v>55</v>
      </c>
      <c r="X65" s="3685"/>
      <c r="Y65" s="3685"/>
      <c r="Z65" s="3685"/>
      <c r="AA65" s="3685"/>
      <c r="AB65" s="1673" t="s">
        <v>55</v>
      </c>
      <c r="AC65" s="4850" t="s">
        <v>537</v>
      </c>
      <c r="AD65" s="4850"/>
      <c r="AE65" s="1673" t="s">
        <v>55</v>
      </c>
      <c r="AF65" s="3685"/>
      <c r="AG65" s="1634"/>
    </row>
    <row r="66" spans="1:33" ht="15.75">
      <c r="A66" s="4676"/>
      <c r="B66" s="1750" t="s">
        <v>95</v>
      </c>
      <c r="C66" s="1725" t="s">
        <v>303</v>
      </c>
      <c r="D66" s="1662"/>
      <c r="E66" s="2770"/>
      <c r="F66" s="2770"/>
      <c r="G66" s="3685"/>
      <c r="H66" s="3685"/>
      <c r="I66" s="2770"/>
      <c r="J66" s="3685"/>
      <c r="K66" s="3685"/>
      <c r="L66" s="2385"/>
      <c r="M66" s="2385"/>
      <c r="N66" s="2385"/>
      <c r="O66" s="2385"/>
      <c r="P66" s="2385"/>
      <c r="Q66" s="2385"/>
      <c r="R66" s="2385"/>
      <c r="S66" s="2385"/>
      <c r="T66" s="2385"/>
      <c r="U66" s="2385"/>
      <c r="V66" s="2385"/>
      <c r="W66" s="2385"/>
      <c r="X66" s="3685"/>
      <c r="Y66" s="3685"/>
      <c r="Z66" s="3685"/>
      <c r="AA66" s="3685"/>
      <c r="AB66" s="1673" t="s">
        <v>55</v>
      </c>
      <c r="AC66" s="4850" t="s">
        <v>537</v>
      </c>
      <c r="AD66" s="4850"/>
      <c r="AE66" s="1673" t="s">
        <v>55</v>
      </c>
      <c r="AF66" s="3685"/>
      <c r="AG66" s="1634"/>
    </row>
    <row r="67" spans="1:33">
      <c r="A67" s="4676"/>
      <c r="B67" s="1751" t="s">
        <v>155</v>
      </c>
      <c r="C67" s="1752" t="s">
        <v>156</v>
      </c>
      <c r="D67" s="1649"/>
      <c r="E67" s="2385"/>
      <c r="F67" s="2385"/>
      <c r="G67" s="2385"/>
      <c r="H67" s="2385"/>
      <c r="I67" s="2385"/>
      <c r="J67" s="4866"/>
      <c r="K67" s="4816"/>
      <c r="L67" s="4816"/>
      <c r="M67" s="4816"/>
      <c r="N67" s="4816"/>
      <c r="O67" s="4816"/>
      <c r="P67" s="4816"/>
      <c r="Q67" s="4816"/>
      <c r="R67" s="4816"/>
      <c r="S67" s="4816"/>
      <c r="T67" s="4816"/>
      <c r="U67" s="4816"/>
      <c r="V67" s="4816"/>
      <c r="W67" s="4816"/>
      <c r="X67" s="4816"/>
      <c r="Y67" s="4816"/>
      <c r="Z67" s="4816"/>
      <c r="AA67" s="4816"/>
      <c r="AB67" s="4816"/>
      <c r="AC67" s="4816"/>
      <c r="AD67" s="4816"/>
      <c r="AE67" s="4816"/>
      <c r="AF67" s="4816"/>
      <c r="AG67" s="4867"/>
    </row>
    <row r="68" spans="1:33">
      <c r="A68" s="4403"/>
      <c r="B68" s="1753" t="s">
        <v>155</v>
      </c>
      <c r="C68" s="1725" t="s">
        <v>532</v>
      </c>
      <c r="D68" s="1539"/>
      <c r="E68" s="569"/>
      <c r="F68" s="569"/>
      <c r="G68" s="569"/>
      <c r="H68" s="569"/>
      <c r="I68" s="569"/>
      <c r="J68" s="569"/>
      <c r="K68" s="1459"/>
      <c r="L68" s="1459"/>
      <c r="M68" s="569"/>
      <c r="N68" s="569"/>
      <c r="O68" s="569"/>
      <c r="P68" s="1459"/>
      <c r="Q68" s="569"/>
      <c r="R68" s="569"/>
      <c r="S68" s="569"/>
      <c r="T68" s="904"/>
      <c r="U68" s="904"/>
      <c r="V68" s="904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1644"/>
    </row>
    <row r="69" spans="1:33" ht="15.75">
      <c r="A69" s="4677"/>
      <c r="B69" s="1754" t="s">
        <v>283</v>
      </c>
      <c r="C69" s="1755" t="s">
        <v>340</v>
      </c>
      <c r="D69" s="1679"/>
      <c r="E69" s="1628"/>
      <c r="F69" s="1628"/>
      <c r="G69" s="1628"/>
      <c r="H69" s="1628"/>
      <c r="I69" s="1628"/>
      <c r="J69" s="1628"/>
      <c r="K69" s="1628"/>
      <c r="L69" s="1628"/>
      <c r="M69" s="1680" t="s">
        <v>55</v>
      </c>
      <c r="N69" s="4858" t="s">
        <v>272</v>
      </c>
      <c r="O69" s="4859"/>
      <c r="P69" s="4859"/>
      <c r="Q69" s="4860"/>
      <c r="R69" s="1680" t="s">
        <v>55</v>
      </c>
      <c r="S69" s="1628"/>
      <c r="T69" s="1628"/>
      <c r="U69" s="1628"/>
      <c r="V69" s="1628"/>
      <c r="W69" s="1628"/>
      <c r="X69" s="1628"/>
      <c r="Y69" s="1628"/>
      <c r="Z69" s="1628"/>
      <c r="AA69" s="1628"/>
      <c r="AB69" s="1628"/>
      <c r="AC69" s="1628"/>
      <c r="AD69" s="1628"/>
      <c r="AE69" s="4847" t="s">
        <v>112</v>
      </c>
      <c r="AF69" s="4848"/>
      <c r="AG69" s="4849"/>
    </row>
  </sheetData>
  <mergeCells count="82">
    <mergeCell ref="AE69:AG69"/>
    <mergeCell ref="AC63:AD63"/>
    <mergeCell ref="R57:AG57"/>
    <mergeCell ref="AC29:AD29"/>
    <mergeCell ref="P32:AG32"/>
    <mergeCell ref="S59:AD59"/>
    <mergeCell ref="AC33:AD33"/>
    <mergeCell ref="AC66:AD66"/>
    <mergeCell ref="AC60:AD60"/>
    <mergeCell ref="AC65:AD65"/>
    <mergeCell ref="N69:Q69"/>
    <mergeCell ref="K58:P58"/>
    <mergeCell ref="N63:V63"/>
    <mergeCell ref="S62:T62"/>
    <mergeCell ref="U62:Y62"/>
    <mergeCell ref="J67:AG67"/>
    <mergeCell ref="A5:C5"/>
    <mergeCell ref="A6:C6"/>
    <mergeCell ref="G65:H65"/>
    <mergeCell ref="D5:G5"/>
    <mergeCell ref="G6:AC6"/>
    <mergeCell ref="AC12:AD12"/>
    <mergeCell ref="AD7:AG7"/>
    <mergeCell ref="N10:V10"/>
    <mergeCell ref="G44:AA44"/>
    <mergeCell ref="L65:V65"/>
    <mergeCell ref="L24:O24"/>
    <mergeCell ref="D56:I56"/>
    <mergeCell ref="A7:C7"/>
    <mergeCell ref="A14:C14"/>
    <mergeCell ref="A8:C8"/>
    <mergeCell ref="A9:C9"/>
    <mergeCell ref="A17:C17"/>
    <mergeCell ref="A10:C10"/>
    <mergeCell ref="A11:C11"/>
    <mergeCell ref="A12:C12"/>
    <mergeCell ref="A13:C13"/>
    <mergeCell ref="A15:C15"/>
    <mergeCell ref="A16:C16"/>
    <mergeCell ref="D1:AG1"/>
    <mergeCell ref="A2:C2"/>
    <mergeCell ref="A3:C3"/>
    <mergeCell ref="A4:C4"/>
    <mergeCell ref="E4:H4"/>
    <mergeCell ref="A1:C1"/>
    <mergeCell ref="A62:A69"/>
    <mergeCell ref="A26:A28"/>
    <mergeCell ref="A32:A37"/>
    <mergeCell ref="A59:A61"/>
    <mergeCell ref="A56:A58"/>
    <mergeCell ref="A29:A31"/>
    <mergeCell ref="A38:A55"/>
    <mergeCell ref="A18:C18"/>
    <mergeCell ref="A19:C19"/>
    <mergeCell ref="A20:C20"/>
    <mergeCell ref="A21:C21"/>
    <mergeCell ref="A22:C22"/>
    <mergeCell ref="D61:G61"/>
    <mergeCell ref="W36:AF36"/>
    <mergeCell ref="G55:AA55"/>
    <mergeCell ref="D45:J45"/>
    <mergeCell ref="D42:G42"/>
    <mergeCell ref="R46:X46"/>
    <mergeCell ref="S56:T56"/>
    <mergeCell ref="U56:Y56"/>
    <mergeCell ref="Q54:AB54"/>
    <mergeCell ref="G53:AG53"/>
    <mergeCell ref="R43:X43"/>
    <mergeCell ref="AF55:AG55"/>
    <mergeCell ref="AD56:AG56"/>
    <mergeCell ref="AF8:AG8"/>
    <mergeCell ref="R7:Y7"/>
    <mergeCell ref="D33:G33"/>
    <mergeCell ref="R29:S29"/>
    <mergeCell ref="D49:V49"/>
    <mergeCell ref="U20:Y20"/>
    <mergeCell ref="S23:T23"/>
    <mergeCell ref="U23:Y23"/>
    <mergeCell ref="U29:Y29"/>
    <mergeCell ref="O29:P29"/>
    <mergeCell ref="AE33:AG33"/>
    <mergeCell ref="D47:Y47"/>
  </mergeCells>
  <pageMargins left="0.25" right="0.25" top="0.75" bottom="0.75" header="0.3" footer="0.3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4B91-9F7D-4EB2-9754-8D8EB4CD8BE7}">
  <dimension ref="A1:T42"/>
  <sheetViews>
    <sheetView workbookViewId="0">
      <selection activeCell="E25" sqref="E25"/>
    </sheetView>
  </sheetViews>
  <sheetFormatPr defaultRowHeight="15"/>
  <cols>
    <col min="3" max="3" width="10.85546875" bestFit="1" customWidth="1"/>
    <col min="4" max="4" width="10.85546875" customWidth="1"/>
  </cols>
  <sheetData>
    <row r="1" spans="1:20">
      <c r="A1" s="689"/>
      <c r="B1" s="4885" t="s">
        <v>563</v>
      </c>
      <c r="C1" s="4886"/>
      <c r="D1" s="4875">
        <v>2023</v>
      </c>
      <c r="E1" s="4887" t="s">
        <v>564</v>
      </c>
      <c r="F1" s="4890">
        <v>2022</v>
      </c>
      <c r="G1" s="4870"/>
      <c r="H1" s="4870"/>
      <c r="I1" s="4868" t="s">
        <v>565</v>
      </c>
      <c r="J1" s="4870">
        <v>2023</v>
      </c>
      <c r="K1" s="4870"/>
      <c r="L1" s="4871"/>
      <c r="M1" s="4868" t="s">
        <v>566</v>
      </c>
      <c r="N1" s="4870">
        <v>2023</v>
      </c>
      <c r="O1" s="4870"/>
      <c r="P1" s="4871"/>
      <c r="Q1" s="4868" t="s">
        <v>567</v>
      </c>
      <c r="R1" s="4870">
        <v>2023</v>
      </c>
      <c r="S1" s="4870"/>
      <c r="T1" s="4871"/>
    </row>
    <row r="2" spans="1:20">
      <c r="A2" s="690"/>
      <c r="B2" s="4885" t="s">
        <v>568</v>
      </c>
      <c r="C2" s="4886"/>
      <c r="D2" s="4876"/>
      <c r="E2" s="4888"/>
      <c r="F2" s="4891"/>
      <c r="G2" s="4874"/>
      <c r="H2" s="4874"/>
      <c r="I2" s="4869"/>
      <c r="J2" s="4872"/>
      <c r="K2" s="4872"/>
      <c r="L2" s="4873"/>
      <c r="M2" s="4869"/>
      <c r="N2" s="4872"/>
      <c r="O2" s="4872"/>
      <c r="P2" s="4873"/>
      <c r="Q2" s="4869"/>
      <c r="R2" s="4872"/>
      <c r="S2" s="4872"/>
      <c r="T2" s="4873"/>
    </row>
    <row r="3" spans="1:20">
      <c r="A3" s="691"/>
      <c r="B3" s="4885" t="s">
        <v>569</v>
      </c>
      <c r="C3" s="4886"/>
      <c r="D3" s="4877"/>
      <c r="E3" s="4889"/>
      <c r="F3" s="4892"/>
      <c r="G3" s="4893"/>
      <c r="H3" s="4893"/>
      <c r="I3" s="4869"/>
      <c r="J3" s="4874"/>
      <c r="K3" s="4874"/>
      <c r="L3" s="4873"/>
      <c r="M3" s="4869"/>
      <c r="N3" s="4874"/>
      <c r="O3" s="4874"/>
      <c r="P3" s="4873"/>
      <c r="Q3" s="4869"/>
      <c r="R3" s="4874"/>
      <c r="S3" s="4874"/>
      <c r="T3" s="4873"/>
    </row>
    <row r="4" spans="1:20">
      <c r="A4" s="4882" t="s">
        <v>570</v>
      </c>
      <c r="B4" s="4882"/>
      <c r="C4" s="4883"/>
      <c r="D4" s="1317"/>
      <c r="E4" s="1305" t="s">
        <v>571</v>
      </c>
      <c r="F4" s="692" t="s">
        <v>572</v>
      </c>
      <c r="G4" s="693" t="s">
        <v>573</v>
      </c>
      <c r="H4" s="694" t="s">
        <v>574</v>
      </c>
      <c r="I4" s="700" t="s">
        <v>575</v>
      </c>
      <c r="J4" s="701" t="s">
        <v>576</v>
      </c>
      <c r="K4" s="702" t="s">
        <v>577</v>
      </c>
      <c r="L4" s="703" t="s">
        <v>578</v>
      </c>
      <c r="M4" s="700" t="s">
        <v>575</v>
      </c>
      <c r="N4" s="701" t="s">
        <v>579</v>
      </c>
      <c r="O4" s="702" t="s">
        <v>580</v>
      </c>
      <c r="P4" s="703" t="s">
        <v>581</v>
      </c>
      <c r="Q4" s="700" t="s">
        <v>575</v>
      </c>
      <c r="R4" s="701" t="s">
        <v>582</v>
      </c>
      <c r="S4" s="702" t="s">
        <v>583</v>
      </c>
      <c r="T4" s="703" t="s">
        <v>584</v>
      </c>
    </row>
    <row r="5" spans="1:20" ht="15.75">
      <c r="A5" s="3631" t="s">
        <v>66</v>
      </c>
      <c r="B5" s="3631" t="s">
        <v>67</v>
      </c>
      <c r="C5" s="278" t="s">
        <v>68</v>
      </c>
      <c r="D5" s="1306"/>
      <c r="E5" s="1309">
        <f>AVERAGE(F5:H5)</f>
        <v>0.2931899641577061</v>
      </c>
      <c r="F5" s="685">
        <f>19/31</f>
        <v>0.61290322580645162</v>
      </c>
      <c r="G5" s="272">
        <f>8/30</f>
        <v>0.26666666666666666</v>
      </c>
      <c r="H5" s="697">
        <f>0/31</f>
        <v>0</v>
      </c>
      <c r="I5" s="704"/>
      <c r="J5" s="274"/>
      <c r="K5" s="461"/>
      <c r="L5" s="695"/>
      <c r="M5" s="704"/>
      <c r="N5" s="274"/>
      <c r="O5" s="461"/>
      <c r="P5" s="695"/>
      <c r="Q5" s="704"/>
      <c r="R5" s="274"/>
      <c r="S5" s="461"/>
      <c r="T5" s="695"/>
    </row>
    <row r="6" spans="1:20" ht="15.75">
      <c r="A6" s="3631" t="s">
        <v>73</v>
      </c>
      <c r="B6" s="3631" t="s">
        <v>67</v>
      </c>
      <c r="C6" s="278" t="s">
        <v>74</v>
      </c>
      <c r="D6" s="1307"/>
      <c r="E6" s="1310">
        <f t="shared" ref="E6:E12" si="0">AVERAGE(F6:L6)</f>
        <v>0.18458781362007168</v>
      </c>
      <c r="F6" s="273">
        <f>0/31</f>
        <v>0</v>
      </c>
      <c r="G6" s="271">
        <f>5/30</f>
        <v>0.16666666666666666</v>
      </c>
      <c r="H6" s="698">
        <f>12/31</f>
        <v>0.38709677419354838</v>
      </c>
      <c r="I6" s="276"/>
      <c r="J6" s="705"/>
      <c r="K6" s="2"/>
      <c r="L6" s="696"/>
      <c r="M6" s="276"/>
      <c r="N6" s="705"/>
      <c r="O6" s="2"/>
      <c r="P6" s="696"/>
      <c r="Q6" s="276"/>
      <c r="R6" s="705"/>
      <c r="S6" s="2"/>
      <c r="T6" s="696"/>
    </row>
    <row r="7" spans="1:20" ht="15.75">
      <c r="A7" s="3631" t="s">
        <v>76</v>
      </c>
      <c r="B7" s="3631" t="s">
        <v>283</v>
      </c>
      <c r="C7" s="278" t="s">
        <v>78</v>
      </c>
      <c r="D7" s="1307"/>
      <c r="E7" s="1310">
        <f t="shared" si="0"/>
        <v>0.12903225806451613</v>
      </c>
      <c r="F7" s="686"/>
      <c r="G7" s="271">
        <f>0/30</f>
        <v>0</v>
      </c>
      <c r="H7" s="698">
        <f>8/31</f>
        <v>0.25806451612903225</v>
      </c>
      <c r="I7" s="276"/>
      <c r="J7" s="705"/>
      <c r="K7" s="2"/>
      <c r="L7" s="696"/>
      <c r="M7" s="276"/>
      <c r="N7" s="705"/>
      <c r="O7" s="2"/>
      <c r="P7" s="696"/>
      <c r="Q7" s="276"/>
      <c r="R7" s="705"/>
      <c r="S7" s="2"/>
      <c r="T7" s="696"/>
    </row>
    <row r="8" spans="1:20" ht="15.75">
      <c r="A8" s="3631" t="s">
        <v>80</v>
      </c>
      <c r="B8" s="3631" t="s">
        <v>81</v>
      </c>
      <c r="C8" s="278" t="s">
        <v>82</v>
      </c>
      <c r="D8" s="1307"/>
      <c r="E8" s="1310">
        <f t="shared" si="0"/>
        <v>0.25806451612903225</v>
      </c>
      <c r="F8" s="273">
        <f>6/31</f>
        <v>0.19354838709677419</v>
      </c>
      <c r="G8" s="271">
        <f>0/30</f>
        <v>0</v>
      </c>
      <c r="H8" s="698">
        <f>18/31</f>
        <v>0.58064516129032262</v>
      </c>
      <c r="I8" s="276"/>
      <c r="J8" s="705"/>
      <c r="K8" s="2"/>
      <c r="L8" s="696"/>
      <c r="M8" s="276"/>
      <c r="N8" s="705"/>
      <c r="O8" s="2"/>
      <c r="P8" s="696"/>
      <c r="Q8" s="276"/>
      <c r="R8" s="705"/>
      <c r="S8" s="2"/>
      <c r="T8" s="696"/>
    </row>
    <row r="9" spans="1:20" ht="15.75">
      <c r="A9" s="4884" t="s">
        <v>84</v>
      </c>
      <c r="B9" s="3631" t="s">
        <v>85</v>
      </c>
      <c r="C9" s="278" t="s">
        <v>86</v>
      </c>
      <c r="D9" s="1307"/>
      <c r="E9" s="1310">
        <f t="shared" si="0"/>
        <v>0</v>
      </c>
      <c r="F9" s="273">
        <f>0/31</f>
        <v>0</v>
      </c>
      <c r="G9" s="271">
        <f t="shared" ref="G9:G11" si="1">0/30</f>
        <v>0</v>
      </c>
      <c r="H9" s="698">
        <f>0/31</f>
        <v>0</v>
      </c>
      <c r="I9" s="276"/>
      <c r="J9" s="705"/>
      <c r="K9" s="2"/>
      <c r="L9" s="696"/>
      <c r="M9" s="276"/>
      <c r="N9" s="705"/>
      <c r="O9" s="2"/>
      <c r="P9" s="696"/>
      <c r="Q9" s="276"/>
      <c r="R9" s="705"/>
      <c r="S9" s="2"/>
      <c r="T9" s="696"/>
    </row>
    <row r="10" spans="1:20" ht="15.75">
      <c r="A10" s="4884"/>
      <c r="B10" s="3631" t="s">
        <v>87</v>
      </c>
      <c r="C10" s="278" t="s">
        <v>88</v>
      </c>
      <c r="D10" s="1307"/>
      <c r="E10" s="1310">
        <f t="shared" si="0"/>
        <v>0</v>
      </c>
      <c r="F10" s="273">
        <f>0/31</f>
        <v>0</v>
      </c>
      <c r="G10" s="271">
        <f>0/30</f>
        <v>0</v>
      </c>
      <c r="H10" s="698">
        <f>0/31</f>
        <v>0</v>
      </c>
      <c r="I10" s="276"/>
      <c r="J10" s="705"/>
      <c r="K10" s="2"/>
      <c r="L10" s="696"/>
      <c r="M10" s="276"/>
      <c r="N10" s="705"/>
      <c r="O10" s="2"/>
      <c r="P10" s="696"/>
      <c r="Q10" s="276"/>
      <c r="R10" s="705"/>
      <c r="S10" s="2"/>
      <c r="T10" s="696"/>
    </row>
    <row r="11" spans="1:20" ht="15.75">
      <c r="A11" s="4884"/>
      <c r="B11" s="3631" t="s">
        <v>90</v>
      </c>
      <c r="C11" s="278" t="s">
        <v>91</v>
      </c>
      <c r="D11" s="1307"/>
      <c r="E11" s="1310">
        <f t="shared" si="0"/>
        <v>0.19354838709677422</v>
      </c>
      <c r="F11" s="273">
        <f>18/31</f>
        <v>0.58064516129032262</v>
      </c>
      <c r="G11" s="271">
        <f t="shared" si="1"/>
        <v>0</v>
      </c>
      <c r="H11" s="698">
        <f>0/31</f>
        <v>0</v>
      </c>
      <c r="I11" s="276"/>
      <c r="J11" s="705"/>
      <c r="K11" s="2"/>
      <c r="L11" s="696"/>
      <c r="M11" s="276"/>
      <c r="N11" s="705"/>
      <c r="O11" s="2"/>
      <c r="P11" s="696"/>
      <c r="Q11" s="276"/>
      <c r="R11" s="705"/>
      <c r="S11" s="2"/>
      <c r="T11" s="696"/>
    </row>
    <row r="12" spans="1:20" ht="15.75">
      <c r="A12" s="4884" t="s">
        <v>92</v>
      </c>
      <c r="B12" s="3631" t="s">
        <v>95</v>
      </c>
      <c r="C12" s="278" t="s">
        <v>93</v>
      </c>
      <c r="D12" s="1307"/>
      <c r="E12" s="1311">
        <f t="shared" si="0"/>
        <v>0.31362007168458783</v>
      </c>
      <c r="F12" s="273">
        <f>6/31</f>
        <v>0.19354838709677419</v>
      </c>
      <c r="G12" s="271">
        <f>5/30</f>
        <v>0.16666666666666666</v>
      </c>
      <c r="H12" s="698">
        <f>18/31</f>
        <v>0.58064516129032262</v>
      </c>
      <c r="I12" s="276"/>
      <c r="J12" s="705"/>
      <c r="K12" s="2"/>
      <c r="L12" s="696"/>
      <c r="M12" s="276"/>
      <c r="N12" s="705"/>
      <c r="O12" s="2"/>
      <c r="P12" s="696"/>
      <c r="Q12" s="276"/>
      <c r="R12" s="705"/>
      <c r="S12" s="2"/>
      <c r="T12" s="696"/>
    </row>
    <row r="13" spans="1:20" ht="15.75">
      <c r="A13" s="4884"/>
      <c r="B13" s="3631" t="s">
        <v>248</v>
      </c>
      <c r="C13" s="278" t="s">
        <v>96</v>
      </c>
      <c r="D13" s="1307"/>
      <c r="E13" s="1310">
        <f t="shared" ref="E13:E14" si="2">AVERAGE(F13:L13)</f>
        <v>0.27741935483870972</v>
      </c>
      <c r="F13" s="279"/>
      <c r="G13" s="687">
        <f>5/25</f>
        <v>0.2</v>
      </c>
      <c r="H13" s="698">
        <f>11/31</f>
        <v>0.35483870967741937</v>
      </c>
      <c r="I13" s="276"/>
      <c r="J13" s="705"/>
      <c r="K13" s="2"/>
      <c r="L13" s="696"/>
      <c r="M13" s="276"/>
      <c r="N13" s="705"/>
      <c r="O13" s="2"/>
      <c r="P13" s="696"/>
      <c r="Q13" s="276"/>
      <c r="R13" s="705"/>
      <c r="S13" s="2"/>
      <c r="T13" s="696"/>
    </row>
    <row r="14" spans="1:20" ht="15.75">
      <c r="A14" s="4884" t="s">
        <v>99</v>
      </c>
      <c r="B14" s="3631" t="s">
        <v>77</v>
      </c>
      <c r="C14" s="278" t="s">
        <v>101</v>
      </c>
      <c r="D14" s="1307"/>
      <c r="E14" s="1310">
        <f t="shared" si="2"/>
        <v>0.19354838709677422</v>
      </c>
      <c r="F14" s="273">
        <f>18/31</f>
        <v>0.58064516129032262</v>
      </c>
      <c r="G14" s="271">
        <f>0/30</f>
        <v>0</v>
      </c>
      <c r="H14" s="698">
        <f>0/31</f>
        <v>0</v>
      </c>
      <c r="I14" s="276"/>
      <c r="J14" s="705"/>
      <c r="K14" s="2"/>
      <c r="L14" s="696"/>
      <c r="M14" s="276"/>
      <c r="N14" s="705"/>
      <c r="O14" s="2"/>
      <c r="P14" s="696"/>
      <c r="Q14" s="276"/>
      <c r="R14" s="705"/>
      <c r="S14" s="2"/>
      <c r="T14" s="696"/>
    </row>
    <row r="15" spans="1:20" ht="15.75">
      <c r="A15" s="4884"/>
      <c r="B15" s="3631" t="s">
        <v>95</v>
      </c>
      <c r="C15" s="278" t="s">
        <v>102</v>
      </c>
      <c r="D15" s="1307"/>
      <c r="E15" s="1311">
        <f t="shared" ref="E15:E41" si="3">AVERAGE(F15:L15)</f>
        <v>0.30465949820788535</v>
      </c>
      <c r="F15" s="273">
        <f>18/31</f>
        <v>0.58064516129032262</v>
      </c>
      <c r="G15" s="271">
        <f>10/30</f>
        <v>0.33333333333333331</v>
      </c>
      <c r="H15" s="698">
        <f>0/31</f>
        <v>0</v>
      </c>
      <c r="I15" s="276"/>
      <c r="J15" s="705"/>
      <c r="K15" s="2"/>
      <c r="L15" s="696"/>
      <c r="M15" s="276"/>
      <c r="N15" s="705"/>
      <c r="O15" s="2"/>
      <c r="P15" s="696"/>
      <c r="Q15" s="276"/>
      <c r="R15" s="705"/>
      <c r="S15" s="2"/>
      <c r="T15" s="696"/>
    </row>
    <row r="16" spans="1:20" ht="15.75">
      <c r="A16" s="4884"/>
      <c r="B16" s="3631" t="s">
        <v>95</v>
      </c>
      <c r="C16" s="278" t="s">
        <v>105</v>
      </c>
      <c r="D16" s="1307"/>
      <c r="E16" s="1310">
        <f t="shared" si="3"/>
        <v>0.23655913978494625</v>
      </c>
      <c r="F16" s="273">
        <f>18/31</f>
        <v>0.58064516129032262</v>
      </c>
      <c r="G16" s="271">
        <f>0/30</f>
        <v>0</v>
      </c>
      <c r="H16" s="698">
        <f>4/31</f>
        <v>0.12903225806451613</v>
      </c>
      <c r="I16" s="276"/>
      <c r="J16" s="705"/>
      <c r="K16" s="2"/>
      <c r="L16" s="696"/>
      <c r="M16" s="276"/>
      <c r="N16" s="705"/>
      <c r="O16" s="2"/>
      <c r="P16" s="696"/>
      <c r="Q16" s="276"/>
      <c r="R16" s="705"/>
      <c r="S16" s="2"/>
      <c r="T16" s="696"/>
    </row>
    <row r="17" spans="1:20" ht="15.75">
      <c r="A17" s="4884"/>
      <c r="B17" s="3631" t="s">
        <v>106</v>
      </c>
      <c r="C17" s="278" t="s">
        <v>107</v>
      </c>
      <c r="D17" s="1307"/>
      <c r="E17" s="1310">
        <f t="shared" si="3"/>
        <v>0.19354838709677422</v>
      </c>
      <c r="F17" s="273">
        <f>18/31</f>
        <v>0.58064516129032262</v>
      </c>
      <c r="G17" s="271">
        <f t="shared" ref="G17:G29" si="4">0/30</f>
        <v>0</v>
      </c>
      <c r="H17" s="698">
        <f>0/31</f>
        <v>0</v>
      </c>
      <c r="I17" s="276"/>
      <c r="J17" s="705"/>
      <c r="K17" s="2"/>
      <c r="L17" s="696"/>
      <c r="M17" s="276"/>
      <c r="N17" s="705"/>
      <c r="O17" s="2"/>
      <c r="P17" s="696"/>
      <c r="Q17" s="276"/>
      <c r="R17" s="705"/>
      <c r="S17" s="2"/>
      <c r="T17" s="696"/>
    </row>
    <row r="18" spans="1:20" ht="15.75">
      <c r="A18" s="4884"/>
      <c r="B18" s="3631" t="s">
        <v>108</v>
      </c>
      <c r="C18" s="278" t="s">
        <v>109</v>
      </c>
      <c r="D18" s="1307"/>
      <c r="E18" s="1310">
        <f t="shared" si="3"/>
        <v>0.22580645161290325</v>
      </c>
      <c r="F18" s="273">
        <f>18/31</f>
        <v>0.58064516129032262</v>
      </c>
      <c r="G18" s="271">
        <f t="shared" si="4"/>
        <v>0</v>
      </c>
      <c r="H18" s="698">
        <f>3/31</f>
        <v>9.6774193548387094E-2</v>
      </c>
      <c r="I18" s="276"/>
      <c r="J18" s="705"/>
      <c r="K18" s="2"/>
      <c r="L18" s="696"/>
      <c r="M18" s="276"/>
      <c r="N18" s="705"/>
      <c r="O18" s="2"/>
      <c r="P18" s="696"/>
      <c r="Q18" s="276"/>
      <c r="R18" s="705"/>
      <c r="S18" s="2"/>
      <c r="T18" s="696"/>
    </row>
    <row r="19" spans="1:20" ht="15.75">
      <c r="A19" s="4879" t="s">
        <v>110</v>
      </c>
      <c r="B19" s="3631" t="s">
        <v>77</v>
      </c>
      <c r="C19" s="278" t="s">
        <v>585</v>
      </c>
      <c r="D19" s="1307"/>
      <c r="E19" s="1310">
        <f t="shared" si="3"/>
        <v>0</v>
      </c>
      <c r="F19" s="273">
        <f>0/31</f>
        <v>0</v>
      </c>
      <c r="G19" s="271">
        <f t="shared" si="4"/>
        <v>0</v>
      </c>
      <c r="H19" s="698">
        <f t="shared" ref="H19:H29" si="5">0/31</f>
        <v>0</v>
      </c>
      <c r="I19" s="276"/>
      <c r="J19" s="705"/>
      <c r="K19" s="2"/>
      <c r="L19" s="696"/>
      <c r="M19" s="276"/>
      <c r="N19" s="705"/>
      <c r="O19" s="2"/>
      <c r="P19" s="696"/>
      <c r="Q19" s="276"/>
      <c r="R19" s="705"/>
      <c r="S19" s="2"/>
      <c r="T19" s="696"/>
    </row>
    <row r="20" spans="1:20" ht="15.75">
      <c r="A20" s="4880"/>
      <c r="B20" s="3631" t="s">
        <v>283</v>
      </c>
      <c r="C20" s="278" t="s">
        <v>111</v>
      </c>
      <c r="D20" s="1307"/>
      <c r="E20" s="1310">
        <f t="shared" si="3"/>
        <v>8.6021505376344079E-2</v>
      </c>
      <c r="F20" s="273">
        <f>8/31</f>
        <v>0.25806451612903225</v>
      </c>
      <c r="G20" s="271">
        <f t="shared" si="4"/>
        <v>0</v>
      </c>
      <c r="H20" s="698">
        <f t="shared" si="5"/>
        <v>0</v>
      </c>
      <c r="I20" s="276"/>
      <c r="J20" s="705"/>
      <c r="K20" s="2"/>
      <c r="L20" s="696"/>
      <c r="M20" s="276"/>
      <c r="N20" s="705"/>
      <c r="O20" s="2"/>
      <c r="P20" s="696"/>
      <c r="Q20" s="276"/>
      <c r="R20" s="705"/>
      <c r="S20" s="2"/>
      <c r="T20" s="696"/>
    </row>
    <row r="21" spans="1:20" ht="15.75">
      <c r="A21" s="4880"/>
      <c r="B21" s="3631" t="s">
        <v>113</v>
      </c>
      <c r="C21" s="278" t="s">
        <v>116</v>
      </c>
      <c r="D21" s="1307"/>
      <c r="E21" s="1310">
        <f t="shared" si="3"/>
        <v>0.118279569892473</v>
      </c>
      <c r="F21" s="273">
        <f>0.354838709677419</f>
        <v>0.35483870967741898</v>
      </c>
      <c r="G21" s="271">
        <f t="shared" si="4"/>
        <v>0</v>
      </c>
      <c r="H21" s="698">
        <f t="shared" si="5"/>
        <v>0</v>
      </c>
      <c r="I21" s="276"/>
      <c r="J21" s="705"/>
      <c r="K21" s="2"/>
      <c r="L21" s="696"/>
      <c r="M21" s="276"/>
      <c r="N21" s="705"/>
      <c r="O21" s="2"/>
      <c r="P21" s="696"/>
      <c r="Q21" s="276"/>
      <c r="R21" s="705"/>
      <c r="S21" s="2"/>
      <c r="T21" s="696"/>
    </row>
    <row r="22" spans="1:20" ht="15.75">
      <c r="A22" s="4880"/>
      <c r="B22" s="3631" t="s">
        <v>113</v>
      </c>
      <c r="C22" s="278" t="s">
        <v>114</v>
      </c>
      <c r="D22" s="1307"/>
      <c r="E22" s="1310">
        <f t="shared" si="3"/>
        <v>0.11827956989247312</v>
      </c>
      <c r="F22" s="273">
        <f>0/31</f>
        <v>0</v>
      </c>
      <c r="G22" s="271">
        <f t="shared" si="4"/>
        <v>0</v>
      </c>
      <c r="H22" s="698">
        <f>11/31</f>
        <v>0.35483870967741937</v>
      </c>
      <c r="I22" s="276"/>
      <c r="J22" s="705"/>
      <c r="K22" s="2"/>
      <c r="L22" s="696"/>
      <c r="M22" s="276"/>
      <c r="N22" s="705"/>
      <c r="O22" s="2"/>
      <c r="P22" s="696"/>
      <c r="Q22" s="276"/>
      <c r="R22" s="705"/>
      <c r="S22" s="2"/>
      <c r="T22" s="696"/>
    </row>
    <row r="23" spans="1:20" ht="15.75">
      <c r="A23" s="4880"/>
      <c r="B23" s="3631" t="s">
        <v>118</v>
      </c>
      <c r="C23" s="278" t="s">
        <v>119</v>
      </c>
      <c r="D23" s="1307"/>
      <c r="E23" s="1310">
        <f t="shared" si="3"/>
        <v>0</v>
      </c>
      <c r="F23" s="273">
        <f>0/31</f>
        <v>0</v>
      </c>
      <c r="G23" s="271">
        <f t="shared" si="4"/>
        <v>0</v>
      </c>
      <c r="H23" s="698">
        <f t="shared" si="5"/>
        <v>0</v>
      </c>
      <c r="I23" s="276"/>
      <c r="J23" s="705"/>
      <c r="K23" s="2"/>
      <c r="L23" s="696"/>
      <c r="M23" s="276"/>
      <c r="N23" s="705"/>
      <c r="O23" s="2"/>
      <c r="P23" s="696"/>
      <c r="Q23" s="276"/>
      <c r="R23" s="705"/>
      <c r="S23" s="2"/>
      <c r="T23" s="696"/>
    </row>
    <row r="24" spans="1:20" ht="15.75">
      <c r="A24" s="4880"/>
      <c r="B24" s="3631" t="s">
        <v>120</v>
      </c>
      <c r="C24" s="278" t="s">
        <v>121</v>
      </c>
      <c r="D24" s="1307"/>
      <c r="E24" s="1310">
        <f t="shared" si="3"/>
        <v>0</v>
      </c>
      <c r="F24" s="273">
        <f>0/31</f>
        <v>0</v>
      </c>
      <c r="G24" s="271">
        <f t="shared" si="4"/>
        <v>0</v>
      </c>
      <c r="H24" s="698">
        <f t="shared" si="5"/>
        <v>0</v>
      </c>
      <c r="I24" s="276"/>
      <c r="J24" s="705"/>
      <c r="K24" s="2"/>
      <c r="L24" s="696"/>
      <c r="M24" s="276"/>
      <c r="N24" s="705"/>
      <c r="O24" s="2"/>
      <c r="P24" s="696"/>
      <c r="Q24" s="276"/>
      <c r="R24" s="705"/>
      <c r="S24" s="2"/>
      <c r="T24" s="696"/>
    </row>
    <row r="25" spans="1:20" ht="15.75">
      <c r="A25" s="4880"/>
      <c r="B25" s="3631" t="s">
        <v>124</v>
      </c>
      <c r="C25" s="278" t="s">
        <v>125</v>
      </c>
      <c r="D25" s="1307"/>
      <c r="E25" s="1310">
        <f t="shared" si="3"/>
        <v>0</v>
      </c>
      <c r="F25" s="273">
        <f>0/31</f>
        <v>0</v>
      </c>
      <c r="G25" s="271">
        <f t="shared" si="4"/>
        <v>0</v>
      </c>
      <c r="H25" s="698">
        <f>0/31</f>
        <v>0</v>
      </c>
      <c r="I25" s="276"/>
      <c r="J25" s="705"/>
      <c r="K25" s="2"/>
      <c r="L25" s="696"/>
      <c r="M25" s="276"/>
      <c r="N25" s="705"/>
      <c r="O25" s="2"/>
      <c r="P25" s="696"/>
      <c r="Q25" s="276"/>
      <c r="R25" s="705"/>
      <c r="S25" s="2"/>
      <c r="T25" s="696"/>
    </row>
    <row r="26" spans="1:20" ht="15.75">
      <c r="A26" s="4880"/>
      <c r="B26" s="3631" t="s">
        <v>124</v>
      </c>
      <c r="C26" s="278" t="s">
        <v>126</v>
      </c>
      <c r="D26" s="1307"/>
      <c r="E26" s="1310">
        <f t="shared" si="3"/>
        <v>9.6774193548387108E-2</v>
      </c>
      <c r="F26" s="273">
        <f>0/31</f>
        <v>0</v>
      </c>
      <c r="G26" s="271">
        <f>0/30</f>
        <v>0</v>
      </c>
      <c r="H26" s="698">
        <f>9/31</f>
        <v>0.29032258064516131</v>
      </c>
      <c r="I26" s="276"/>
      <c r="J26" s="705"/>
      <c r="K26" s="2"/>
      <c r="L26" s="696"/>
      <c r="M26" s="276"/>
      <c r="N26" s="705"/>
      <c r="O26" s="2"/>
      <c r="P26" s="696"/>
      <c r="Q26" s="276"/>
      <c r="R26" s="705"/>
      <c r="S26" s="2"/>
      <c r="T26" s="696"/>
    </row>
    <row r="27" spans="1:20" ht="15.75">
      <c r="A27" s="4880"/>
      <c r="B27" s="3631" t="s">
        <v>127</v>
      </c>
      <c r="C27" s="278" t="s">
        <v>128</v>
      </c>
      <c r="D27" s="1307"/>
      <c r="E27" s="1310">
        <f t="shared" si="3"/>
        <v>6.4516129032258063E-2</v>
      </c>
      <c r="F27" s="273">
        <f>6/31</f>
        <v>0.19354838709677419</v>
      </c>
      <c r="G27" s="271">
        <f t="shared" si="4"/>
        <v>0</v>
      </c>
      <c r="H27" s="698">
        <f t="shared" si="5"/>
        <v>0</v>
      </c>
      <c r="I27" s="276"/>
      <c r="J27" s="705"/>
      <c r="K27" s="2"/>
      <c r="L27" s="696"/>
      <c r="M27" s="276"/>
      <c r="N27" s="705"/>
      <c r="O27" s="2"/>
      <c r="P27" s="696"/>
      <c r="Q27" s="276"/>
      <c r="R27" s="705"/>
      <c r="S27" s="2"/>
      <c r="T27" s="696"/>
    </row>
    <row r="28" spans="1:20" ht="15.75">
      <c r="A28" s="4880"/>
      <c r="B28" s="3631" t="s">
        <v>129</v>
      </c>
      <c r="C28" s="278" t="s">
        <v>130</v>
      </c>
      <c r="D28" s="1307"/>
      <c r="E28" s="1310">
        <f t="shared" si="3"/>
        <v>0</v>
      </c>
      <c r="F28" s="273">
        <f>0/31</f>
        <v>0</v>
      </c>
      <c r="G28" s="271">
        <f t="shared" si="4"/>
        <v>0</v>
      </c>
      <c r="H28" s="698">
        <f t="shared" si="5"/>
        <v>0</v>
      </c>
      <c r="I28" s="276"/>
      <c r="J28" s="705"/>
      <c r="K28" s="2"/>
      <c r="L28" s="696"/>
      <c r="M28" s="276"/>
      <c r="N28" s="705"/>
      <c r="O28" s="2"/>
      <c r="P28" s="696"/>
      <c r="Q28" s="276"/>
      <c r="R28" s="705"/>
      <c r="S28" s="2"/>
      <c r="T28" s="696"/>
    </row>
    <row r="29" spans="1:20" ht="15.75">
      <c r="A29" s="4880"/>
      <c r="B29" s="3631" t="s">
        <v>586</v>
      </c>
      <c r="C29" s="278" t="s">
        <v>587</v>
      </c>
      <c r="D29" s="1307"/>
      <c r="E29" s="1310">
        <f t="shared" si="3"/>
        <v>0</v>
      </c>
      <c r="F29" s="273">
        <f>0/31</f>
        <v>0</v>
      </c>
      <c r="G29" s="271">
        <f t="shared" si="4"/>
        <v>0</v>
      </c>
      <c r="H29" s="698">
        <f t="shared" si="5"/>
        <v>0</v>
      </c>
      <c r="I29" s="276"/>
      <c r="J29" s="705"/>
      <c r="K29" s="2"/>
      <c r="L29" s="696"/>
      <c r="M29" s="276"/>
      <c r="N29" s="705"/>
      <c r="O29" s="2"/>
      <c r="P29" s="696"/>
      <c r="Q29" s="276"/>
      <c r="R29" s="705"/>
      <c r="S29" s="2"/>
      <c r="T29" s="696"/>
    </row>
    <row r="30" spans="1:20" ht="15.75">
      <c r="A30" s="4880"/>
      <c r="B30" s="3631" t="s">
        <v>131</v>
      </c>
      <c r="C30" s="278" t="s">
        <v>132</v>
      </c>
      <c r="D30" s="1307"/>
      <c r="E30" s="1311">
        <f t="shared" si="3"/>
        <v>0.36738351254480284</v>
      </c>
      <c r="F30" s="273">
        <f>18/31</f>
        <v>0.58064516129032262</v>
      </c>
      <c r="G30" s="271">
        <f>5/30</f>
        <v>0.16666666666666666</v>
      </c>
      <c r="H30" s="698">
        <f>11/31</f>
        <v>0.35483870967741937</v>
      </c>
      <c r="I30" s="276"/>
      <c r="J30" s="705"/>
      <c r="K30" s="2"/>
      <c r="L30" s="696"/>
      <c r="M30" s="276"/>
      <c r="N30" s="705"/>
      <c r="O30" s="2"/>
      <c r="P30" s="696"/>
      <c r="Q30" s="276"/>
      <c r="R30" s="705"/>
      <c r="S30" s="2"/>
      <c r="T30" s="696"/>
    </row>
    <row r="31" spans="1:20" ht="15.75">
      <c r="A31" s="4881"/>
      <c r="B31" s="3631" t="s">
        <v>134</v>
      </c>
      <c r="C31" s="278" t="s">
        <v>135</v>
      </c>
      <c r="D31" s="1315"/>
      <c r="E31" s="1310">
        <f t="shared" si="3"/>
        <v>0</v>
      </c>
      <c r="F31" s="273">
        <f>0/31</f>
        <v>0</v>
      </c>
      <c r="G31" s="271">
        <f>0/30</f>
        <v>0</v>
      </c>
      <c r="H31" s="698">
        <f>0/31</f>
        <v>0</v>
      </c>
      <c r="I31" s="276"/>
      <c r="J31" s="705"/>
      <c r="K31" s="2"/>
      <c r="L31" s="696"/>
      <c r="M31" s="276"/>
      <c r="N31" s="705"/>
      <c r="O31" s="2"/>
      <c r="P31" s="696"/>
      <c r="Q31" s="276"/>
      <c r="R31" s="705"/>
      <c r="S31" s="2"/>
      <c r="T31" s="696"/>
    </row>
    <row r="32" spans="1:20" ht="15.75">
      <c r="A32" s="4879" t="s">
        <v>136</v>
      </c>
      <c r="B32" s="3631" t="s">
        <v>77</v>
      </c>
      <c r="C32" s="278" t="s">
        <v>137</v>
      </c>
      <c r="D32" s="1314">
        <f>AVERAGE(E32,I32,M32)</f>
        <v>0.46832345841562423</v>
      </c>
      <c r="E32" s="1312">
        <f t="shared" si="3"/>
        <v>0.43377221856484527</v>
      </c>
      <c r="F32" s="273">
        <f>18/31</f>
        <v>0.58064516129032262</v>
      </c>
      <c r="G32" s="271">
        <f>11/30</f>
        <v>0.36666666666666664</v>
      </c>
      <c r="H32" s="698">
        <f>13/31</f>
        <v>0.41935483870967744</v>
      </c>
      <c r="I32" s="688">
        <f>AVERAGE(J32:L32)</f>
        <v>0.41743471582181257</v>
      </c>
      <c r="J32" s="271">
        <f>5/31</f>
        <v>0.16129032258064516</v>
      </c>
      <c r="K32" s="271">
        <f>17/28</f>
        <v>0.6071428571428571</v>
      </c>
      <c r="L32" s="271">
        <f>15/31</f>
        <v>0.4838709677419355</v>
      </c>
      <c r="M32" s="1304">
        <f>AVERAGE(N32:P32)</f>
        <v>0.55376344086021501</v>
      </c>
      <c r="N32" s="271">
        <f>25/30</f>
        <v>0.83333333333333337</v>
      </c>
      <c r="O32" s="271">
        <f>5/31</f>
        <v>0.16129032258064516</v>
      </c>
      <c r="P32" s="271">
        <f>20/30</f>
        <v>0.66666666666666663</v>
      </c>
      <c r="Q32" s="276">
        <f>AVERAGE(R32:T32)</f>
        <v>0.22580645161290322</v>
      </c>
      <c r="R32" s="271">
        <f>17/31</f>
        <v>0.54838709677419351</v>
      </c>
      <c r="S32" s="271">
        <f>4/31</f>
        <v>0.12903225806451613</v>
      </c>
      <c r="T32" s="271">
        <f>0/30</f>
        <v>0</v>
      </c>
    </row>
    <row r="33" spans="1:20" ht="15.75">
      <c r="A33" s="4880"/>
      <c r="B33" s="3631" t="s">
        <v>95</v>
      </c>
      <c r="C33" s="278" t="s">
        <v>139</v>
      </c>
      <c r="D33" s="1316"/>
      <c r="E33" s="1311">
        <f t="shared" si="3"/>
        <v>0.30430107526881717</v>
      </c>
      <c r="F33" s="273">
        <f>18/31</f>
        <v>0.58064516129032262</v>
      </c>
      <c r="G33" s="271">
        <f>9/30</f>
        <v>0.3</v>
      </c>
      <c r="H33" s="698">
        <f>1/31</f>
        <v>3.2258064516129031E-2</v>
      </c>
      <c r="I33" s="276"/>
      <c r="J33" s="705"/>
      <c r="K33" s="2"/>
      <c r="L33" s="696"/>
      <c r="M33" s="276"/>
      <c r="N33" s="705"/>
      <c r="O33" s="2"/>
      <c r="P33" s="696"/>
      <c r="Q33" s="276"/>
      <c r="R33" s="705"/>
      <c r="S33" s="2"/>
      <c r="T33" s="696"/>
    </row>
    <row r="34" spans="1:20" ht="15.75">
      <c r="A34" s="4881"/>
      <c r="B34" s="3631" t="s">
        <v>142</v>
      </c>
      <c r="C34" s="278" t="s">
        <v>143</v>
      </c>
      <c r="D34" s="1307"/>
      <c r="E34" s="1310">
        <f t="shared" si="3"/>
        <v>0.20430107526881722</v>
      </c>
      <c r="F34" s="273">
        <f>19/31</f>
        <v>0.61290322580645162</v>
      </c>
      <c r="G34" s="271">
        <f>0/30</f>
        <v>0</v>
      </c>
      <c r="H34" s="698">
        <f>0/31</f>
        <v>0</v>
      </c>
      <c r="I34" s="276"/>
      <c r="J34" s="705"/>
      <c r="K34" s="2"/>
      <c r="L34" s="696"/>
      <c r="M34" s="276"/>
      <c r="N34" s="705"/>
      <c r="O34" s="2"/>
      <c r="P34" s="696"/>
      <c r="Q34" s="276"/>
      <c r="R34" s="705"/>
      <c r="S34" s="2"/>
      <c r="T34" s="696"/>
    </row>
    <row r="35" spans="1:20" ht="15.75">
      <c r="A35" s="4879" t="s">
        <v>144</v>
      </c>
      <c r="B35" s="3631" t="s">
        <v>145</v>
      </c>
      <c r="C35" s="278" t="s">
        <v>146</v>
      </c>
      <c r="D35" s="1307"/>
      <c r="E35" s="1311">
        <f t="shared" si="3"/>
        <v>0.31182795698924731</v>
      </c>
      <c r="F35" s="273">
        <f>19/31</f>
        <v>0.61290322580645162</v>
      </c>
      <c r="G35" s="271">
        <f>0/30</f>
        <v>0</v>
      </c>
      <c r="H35" s="698">
        <f>10/31</f>
        <v>0.32258064516129031</v>
      </c>
      <c r="I35" s="276"/>
      <c r="J35" s="705"/>
      <c r="K35" s="2"/>
      <c r="L35" s="696"/>
      <c r="M35" s="276"/>
      <c r="N35" s="705"/>
      <c r="O35" s="2"/>
      <c r="P35" s="696"/>
      <c r="Q35" s="276"/>
      <c r="R35" s="705"/>
      <c r="S35" s="2"/>
      <c r="T35" s="696"/>
    </row>
    <row r="36" spans="1:20" ht="15.75">
      <c r="A36" s="4880"/>
      <c r="B36" s="3631" t="s">
        <v>145</v>
      </c>
      <c r="C36" s="278" t="s">
        <v>148</v>
      </c>
      <c r="D36" s="1307"/>
      <c r="E36" s="1310">
        <f t="shared" si="3"/>
        <v>0.15232974910394267</v>
      </c>
      <c r="F36" s="273">
        <f>0/31</f>
        <v>0</v>
      </c>
      <c r="G36" s="271">
        <f>5/30</f>
        <v>0.16666666666666666</v>
      </c>
      <c r="H36" s="698">
        <f>9/31</f>
        <v>0.29032258064516131</v>
      </c>
      <c r="I36" s="276"/>
      <c r="J36" s="705"/>
      <c r="K36" s="2"/>
      <c r="L36" s="696"/>
      <c r="M36" s="276"/>
      <c r="N36" s="705"/>
      <c r="O36" s="2"/>
      <c r="P36" s="696"/>
      <c r="Q36" s="276"/>
      <c r="R36" s="705"/>
      <c r="S36" s="2"/>
      <c r="T36" s="696"/>
    </row>
    <row r="37" spans="1:20" ht="15.75">
      <c r="A37" s="4880"/>
      <c r="B37" s="3631" t="s">
        <v>149</v>
      </c>
      <c r="C37" s="278" t="s">
        <v>150</v>
      </c>
      <c r="D37" s="1307"/>
      <c r="E37" s="1310">
        <f t="shared" si="3"/>
        <v>0</v>
      </c>
      <c r="F37" s="273">
        <f>0/31</f>
        <v>0</v>
      </c>
      <c r="G37" s="271">
        <f>0/30</f>
        <v>0</v>
      </c>
      <c r="H37" s="698">
        <f t="shared" ref="H37" si="6">0/31</f>
        <v>0</v>
      </c>
      <c r="I37" s="276"/>
      <c r="J37" s="705"/>
      <c r="K37" s="2"/>
      <c r="L37" s="696"/>
      <c r="M37" s="276"/>
      <c r="N37" s="705"/>
      <c r="O37" s="2"/>
      <c r="P37" s="696"/>
      <c r="Q37" s="276"/>
      <c r="R37" s="705"/>
      <c r="S37" s="2"/>
      <c r="T37" s="696"/>
    </row>
    <row r="38" spans="1:20" ht="15.75">
      <c r="A38" s="4881"/>
      <c r="B38" s="3631" t="s">
        <v>149</v>
      </c>
      <c r="C38" s="278" t="s">
        <v>151</v>
      </c>
      <c r="D38" s="1307"/>
      <c r="E38" s="1310">
        <f t="shared" si="3"/>
        <v>4.301075268817204E-2</v>
      </c>
      <c r="F38" s="273">
        <f>0/31</f>
        <v>0</v>
      </c>
      <c r="G38" s="271">
        <f t="shared" ref="G38" si="7">0/30</f>
        <v>0</v>
      </c>
      <c r="H38" s="698">
        <f>4/31</f>
        <v>0.12903225806451613</v>
      </c>
      <c r="I38" s="276"/>
      <c r="J38" s="705"/>
      <c r="K38" s="2"/>
      <c r="L38" s="696"/>
      <c r="M38" s="276"/>
      <c r="N38" s="705"/>
      <c r="O38" s="2"/>
      <c r="P38" s="696"/>
      <c r="Q38" s="276"/>
      <c r="R38" s="705"/>
      <c r="S38" s="2"/>
      <c r="T38" s="696"/>
    </row>
    <row r="39" spans="1:20" ht="15.75">
      <c r="A39" s="4879" t="s">
        <v>13</v>
      </c>
      <c r="B39" s="3631" t="s">
        <v>77</v>
      </c>
      <c r="C39" s="278" t="s">
        <v>153</v>
      </c>
      <c r="D39" s="1307"/>
      <c r="E39" s="1310">
        <f t="shared" si="3"/>
        <v>0.27060931899641577</v>
      </c>
      <c r="F39" s="273">
        <f>10/31</f>
        <v>0.32258064516129031</v>
      </c>
      <c r="G39" s="271">
        <f>5/30</f>
        <v>0.16666666666666666</v>
      </c>
      <c r="H39" s="698">
        <f>10/31</f>
        <v>0.32258064516129031</v>
      </c>
      <c r="I39" s="276"/>
      <c r="J39" s="705"/>
      <c r="K39" s="2"/>
      <c r="L39" s="696"/>
      <c r="M39" s="276"/>
      <c r="N39" s="705"/>
      <c r="O39" s="2"/>
      <c r="P39" s="696"/>
      <c r="Q39" s="276"/>
      <c r="R39" s="705"/>
      <c r="S39" s="2"/>
      <c r="T39" s="696"/>
    </row>
    <row r="40" spans="1:20" ht="15.75">
      <c r="A40" s="4880"/>
      <c r="B40" s="3631" t="s">
        <v>95</v>
      </c>
      <c r="C40" s="278" t="s">
        <v>86</v>
      </c>
      <c r="D40" s="1307"/>
      <c r="E40" s="1310">
        <f t="shared" si="3"/>
        <v>0.15232974910394265</v>
      </c>
      <c r="F40" s="273">
        <f>5/31</f>
        <v>0.16129032258064516</v>
      </c>
      <c r="G40" s="271">
        <f>5/30</f>
        <v>0.16666666666666666</v>
      </c>
      <c r="H40" s="698">
        <f>4/31</f>
        <v>0.12903225806451613</v>
      </c>
      <c r="I40" s="276"/>
      <c r="J40" s="705"/>
      <c r="K40" s="2"/>
      <c r="L40" s="696"/>
      <c r="M40" s="276"/>
      <c r="N40" s="705"/>
      <c r="O40" s="2"/>
      <c r="P40" s="696"/>
      <c r="Q40" s="276"/>
      <c r="R40" s="705"/>
      <c r="S40" s="2"/>
      <c r="T40" s="696"/>
    </row>
    <row r="41" spans="1:20" ht="15.75">
      <c r="A41" s="4881"/>
      <c r="B41" s="3631" t="s">
        <v>155</v>
      </c>
      <c r="C41" s="278" t="s">
        <v>156</v>
      </c>
      <c r="D41" s="1308"/>
      <c r="E41" s="1313">
        <f t="shared" si="3"/>
        <v>0.16308243727598568</v>
      </c>
      <c r="F41" s="275">
        <f>0/31</f>
        <v>0</v>
      </c>
      <c r="G41" s="271">
        <f>5/30</f>
        <v>0.16666666666666666</v>
      </c>
      <c r="H41" s="699">
        <f>10/31</f>
        <v>0.32258064516129031</v>
      </c>
      <c r="I41" s="277"/>
      <c r="J41" s="706"/>
      <c r="K41" s="321"/>
      <c r="L41" s="322"/>
      <c r="M41" s="277"/>
      <c r="N41" s="706"/>
      <c r="O41" s="321"/>
      <c r="P41" s="322"/>
      <c r="Q41" s="277"/>
      <c r="R41" s="706"/>
      <c r="S41" s="321"/>
      <c r="T41" s="322"/>
    </row>
    <row r="42" spans="1:20">
      <c r="A42" s="4878"/>
      <c r="B42" s="4878"/>
      <c r="C42" s="4878"/>
      <c r="D42" s="3696"/>
      <c r="E42" s="248"/>
    </row>
  </sheetData>
  <mergeCells count="21">
    <mergeCell ref="A4:C4"/>
    <mergeCell ref="A9:A11"/>
    <mergeCell ref="A14:A18"/>
    <mergeCell ref="A12:A13"/>
    <mergeCell ref="I1:I3"/>
    <mergeCell ref="B1:C1"/>
    <mergeCell ref="B2:C2"/>
    <mergeCell ref="B3:C3"/>
    <mergeCell ref="E1:E3"/>
    <mergeCell ref="F1:H3"/>
    <mergeCell ref="A42:C42"/>
    <mergeCell ref="A19:A31"/>
    <mergeCell ref="A32:A34"/>
    <mergeCell ref="A35:A38"/>
    <mergeCell ref="A39:A41"/>
    <mergeCell ref="M1:M3"/>
    <mergeCell ref="N1:P3"/>
    <mergeCell ref="D1:D3"/>
    <mergeCell ref="Q1:Q3"/>
    <mergeCell ref="R1:T3"/>
    <mergeCell ref="J1:L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1CE47-848E-40AC-B8AA-2D42A8ADE735}">
  <sheetPr>
    <pageSetUpPr fitToPage="1"/>
  </sheetPr>
  <dimension ref="A1:AI71"/>
  <sheetViews>
    <sheetView workbookViewId="0">
      <pane xSplit="3" ySplit="4" topLeftCell="D33" activePane="bottomRight" state="frozen"/>
      <selection pane="bottomRight" activeCell="A33" sqref="A33"/>
      <selection pane="bottomLeft"/>
      <selection pane="topRight"/>
    </sheetView>
  </sheetViews>
  <sheetFormatPr defaultRowHeight="15"/>
  <cols>
    <col min="3" max="3" width="11.5703125" bestFit="1" customWidth="1"/>
  </cols>
  <sheetData>
    <row r="1" spans="1:35">
      <c r="A1" s="4375" t="s">
        <v>29</v>
      </c>
      <c r="B1" s="4375"/>
      <c r="C1" s="4375"/>
      <c r="D1" s="4376" t="s">
        <v>588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608"/>
    </row>
    <row r="2" spans="1:35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0">
        <v>30</v>
      </c>
      <c r="AH2" s="41">
        <v>31</v>
      </c>
    </row>
    <row r="3" spans="1:35">
      <c r="A3" s="4378" t="s">
        <v>32</v>
      </c>
      <c r="B3" s="4378"/>
      <c r="C3" s="4378"/>
      <c r="D3" s="19" t="s">
        <v>36</v>
      </c>
      <c r="E3" s="3703" t="s">
        <v>37</v>
      </c>
      <c r="F3" s="3703" t="s">
        <v>33</v>
      </c>
      <c r="G3" s="3703" t="s">
        <v>34</v>
      </c>
      <c r="H3" s="3703" t="s">
        <v>33</v>
      </c>
      <c r="I3" s="3703" t="s">
        <v>35</v>
      </c>
      <c r="J3" s="19" t="s">
        <v>36</v>
      </c>
      <c r="K3" s="19" t="s">
        <v>36</v>
      </c>
      <c r="L3" s="19" t="s">
        <v>37</v>
      </c>
      <c r="M3" s="19" t="s">
        <v>33</v>
      </c>
      <c r="N3" s="3703" t="s">
        <v>34</v>
      </c>
      <c r="O3" s="40" t="s">
        <v>33</v>
      </c>
      <c r="P3" s="3703" t="s">
        <v>35</v>
      </c>
      <c r="Q3" s="19" t="s">
        <v>36</v>
      </c>
      <c r="R3" s="19" t="s">
        <v>36</v>
      </c>
      <c r="S3" s="3703" t="s">
        <v>37</v>
      </c>
      <c r="T3" s="3703" t="s">
        <v>33</v>
      </c>
      <c r="U3" s="41" t="s">
        <v>34</v>
      </c>
      <c r="V3" s="41" t="s">
        <v>33</v>
      </c>
      <c r="W3" s="41" t="s">
        <v>35</v>
      </c>
      <c r="X3" s="19" t="s">
        <v>36</v>
      </c>
      <c r="Y3" s="19" t="s">
        <v>36</v>
      </c>
      <c r="Z3" s="3703" t="s">
        <v>37</v>
      </c>
      <c r="AA3" s="41" t="s">
        <v>33</v>
      </c>
      <c r="AB3" s="41" t="s">
        <v>34</v>
      </c>
      <c r="AC3" s="41" t="s">
        <v>33</v>
      </c>
      <c r="AD3" s="41" t="s">
        <v>35</v>
      </c>
      <c r="AE3" s="19" t="s">
        <v>36</v>
      </c>
      <c r="AF3" s="19" t="s">
        <v>36</v>
      </c>
      <c r="AG3" s="40" t="s">
        <v>37</v>
      </c>
      <c r="AH3" s="41" t="s">
        <v>33</v>
      </c>
    </row>
    <row r="4" spans="1:35" ht="15.75">
      <c r="A4" s="4966" t="s">
        <v>38</v>
      </c>
      <c r="B4" s="4966"/>
      <c r="C4" s="4966"/>
      <c r="D4" s="1766"/>
      <c r="E4" s="1767"/>
      <c r="F4" s="1768"/>
      <c r="G4" s="1768"/>
      <c r="H4" s="1768"/>
      <c r="I4" s="1769"/>
      <c r="J4" s="4609" t="s">
        <v>589</v>
      </c>
      <c r="K4" s="4610"/>
      <c r="L4" s="4610"/>
      <c r="M4" s="4610"/>
      <c r="N4" s="1810"/>
      <c r="O4" s="1810"/>
      <c r="P4" s="1810"/>
      <c r="Q4" s="1767"/>
      <c r="R4" s="1767"/>
      <c r="S4" s="4993" t="s">
        <v>590</v>
      </c>
      <c r="T4" s="4994"/>
      <c r="U4" s="4994"/>
      <c r="V4" s="4994"/>
      <c r="W4" s="4995"/>
      <c r="X4" s="1767"/>
      <c r="Y4" s="1767"/>
      <c r="Z4" s="1768"/>
      <c r="AA4" s="1811"/>
      <c r="AB4" s="1811"/>
      <c r="AC4" s="1811"/>
      <c r="AD4" s="1770"/>
      <c r="AE4" s="1810"/>
      <c r="AF4" s="1768"/>
      <c r="AG4" s="1769"/>
      <c r="AH4" s="1812"/>
    </row>
    <row r="5" spans="1:35">
      <c r="A5" s="4967" t="s">
        <v>42</v>
      </c>
      <c r="B5" s="4968"/>
      <c r="C5" s="4969"/>
      <c r="D5" s="1813"/>
      <c r="E5" s="1813"/>
      <c r="F5" s="1813"/>
      <c r="G5" s="1813"/>
      <c r="H5" s="1813"/>
      <c r="I5" s="1813"/>
      <c r="J5" s="1813"/>
      <c r="K5" s="1813"/>
      <c r="L5" s="1813"/>
      <c r="M5" s="1813"/>
      <c r="N5" s="1813"/>
      <c r="O5" s="1813"/>
      <c r="P5" s="1813"/>
      <c r="Q5" s="1813"/>
      <c r="R5" s="1813"/>
      <c r="S5" s="1813"/>
      <c r="T5" s="1813"/>
      <c r="U5" s="1813"/>
      <c r="V5" s="1813"/>
      <c r="W5" s="1813"/>
      <c r="X5" s="1813"/>
      <c r="Y5" s="1813"/>
      <c r="Z5" s="1814"/>
      <c r="AA5" s="1773"/>
      <c r="AB5" s="1773"/>
      <c r="AC5" s="750"/>
      <c r="AD5" s="750"/>
      <c r="AE5" s="1773"/>
      <c r="AF5" s="1773"/>
      <c r="AG5" s="1775"/>
      <c r="AH5" s="1776"/>
    </row>
    <row r="6" spans="1:35">
      <c r="A6" s="4970" t="s">
        <v>165</v>
      </c>
      <c r="B6" s="4970"/>
      <c r="C6" s="4970"/>
      <c r="D6" s="1815"/>
      <c r="E6" s="1786"/>
      <c r="F6" s="1772"/>
      <c r="G6" s="1772"/>
      <c r="H6" s="1772"/>
      <c r="I6" s="1772"/>
      <c r="J6" s="1772"/>
      <c r="K6" s="1772"/>
      <c r="L6" s="1772"/>
      <c r="M6" s="1773"/>
      <c r="N6" s="750"/>
      <c r="O6" s="750"/>
      <c r="P6" s="1773"/>
      <c r="Q6" s="1773"/>
      <c r="R6" s="1773"/>
      <c r="S6" s="1773"/>
      <c r="T6" s="1773"/>
      <c r="U6" s="1772"/>
      <c r="V6" s="1786"/>
      <c r="W6" s="1786"/>
      <c r="X6" s="1786"/>
      <c r="Y6" s="1786"/>
      <c r="Z6" s="1786"/>
      <c r="AA6" s="1786"/>
      <c r="AB6" s="1786"/>
      <c r="AC6" s="1786"/>
      <c r="AD6" s="1786"/>
      <c r="AE6" s="1786"/>
      <c r="AF6" s="1786"/>
      <c r="AG6" s="1789"/>
      <c r="AH6" s="1776"/>
    </row>
    <row r="7" spans="1:35">
      <c r="A7" s="4980" t="s">
        <v>407</v>
      </c>
      <c r="B7" s="4981"/>
      <c r="C7" s="4981"/>
      <c r="D7" s="4980" t="s">
        <v>224</v>
      </c>
      <c r="E7" s="4981"/>
      <c r="F7" s="4981"/>
      <c r="G7" s="4981"/>
      <c r="H7" s="4981"/>
      <c r="I7" s="4999"/>
      <c r="J7" s="1816"/>
      <c r="K7" s="1816"/>
      <c r="L7" s="1816"/>
      <c r="M7" s="1816"/>
      <c r="N7" s="1816"/>
      <c r="O7" s="1816"/>
      <c r="P7" s="1774"/>
      <c r="Q7" s="1774"/>
      <c r="R7" s="1774"/>
      <c r="S7" s="4894" t="s">
        <v>591</v>
      </c>
      <c r="T7" s="4895"/>
      <c r="U7" s="4895"/>
      <c r="V7" s="4895"/>
      <c r="W7" s="4895"/>
      <c r="X7" s="4895"/>
      <c r="Y7" s="4895"/>
      <c r="Z7" s="4895"/>
      <c r="AA7" s="4895"/>
      <c r="AB7" s="4895"/>
      <c r="AC7" s="4895"/>
      <c r="AD7" s="4895"/>
      <c r="AE7" s="4895"/>
      <c r="AF7" s="4895"/>
      <c r="AG7" s="4895"/>
      <c r="AH7" s="4896"/>
    </row>
    <row r="8" spans="1:35">
      <c r="A8" s="4989" t="s">
        <v>262</v>
      </c>
      <c r="B8" s="4989"/>
      <c r="C8" s="4989"/>
      <c r="D8" s="5005" t="s">
        <v>164</v>
      </c>
      <c r="E8" s="5006"/>
      <c r="F8" s="5006"/>
      <c r="G8" s="5007"/>
      <c r="H8" s="5008" t="s">
        <v>221</v>
      </c>
      <c r="I8" s="5009"/>
      <c r="J8" s="5009"/>
      <c r="K8" s="5009"/>
      <c r="L8" s="5009"/>
      <c r="M8" s="5009"/>
      <c r="N8" s="5009"/>
      <c r="O8" s="5009"/>
      <c r="P8" s="5009"/>
      <c r="Q8" s="5010"/>
      <c r="R8" s="1773"/>
      <c r="S8" s="1773"/>
      <c r="T8" s="1773"/>
      <c r="U8" s="1773"/>
      <c r="V8" s="1773"/>
      <c r="W8" s="1773"/>
      <c r="X8" s="1773"/>
      <c r="Y8" s="1773"/>
      <c r="Z8" s="750"/>
      <c r="AA8" s="750"/>
      <c r="AB8" s="1773"/>
      <c r="AC8" s="750"/>
      <c r="AD8" s="750"/>
      <c r="AE8" s="750"/>
      <c r="AF8" s="750"/>
      <c r="AG8" s="1817"/>
      <c r="AH8" s="1776"/>
    </row>
    <row r="9" spans="1:35">
      <c r="A9" s="4982" t="s">
        <v>225</v>
      </c>
      <c r="B9" s="4982"/>
      <c r="C9" s="4982"/>
      <c r="D9" s="1815"/>
      <c r="E9" s="750"/>
      <c r="F9" s="750"/>
      <c r="G9" s="1773"/>
      <c r="H9" s="1773"/>
      <c r="I9" s="1779"/>
      <c r="J9" s="1779"/>
      <c r="K9" s="1779"/>
      <c r="L9" s="1779"/>
      <c r="M9" s="1779"/>
      <c r="N9" s="1786"/>
      <c r="O9" s="1786"/>
      <c r="P9" s="1773"/>
      <c r="Q9" s="1773"/>
      <c r="R9" s="1773"/>
      <c r="S9" s="1773"/>
      <c r="T9" s="1773"/>
      <c r="U9" s="1773"/>
      <c r="V9" s="1773"/>
      <c r="W9" s="1773"/>
      <c r="X9" s="1773"/>
      <c r="Y9" s="1773"/>
      <c r="Z9" s="1773"/>
      <c r="AA9" s="1773"/>
      <c r="AB9" s="1773"/>
      <c r="AC9" s="750"/>
      <c r="AD9" s="750"/>
      <c r="AE9" s="1773"/>
      <c r="AF9" s="1773"/>
      <c r="AG9" s="1775"/>
      <c r="AH9" s="1776"/>
    </row>
    <row r="10" spans="1:35">
      <c r="A10" s="4983" t="s">
        <v>272</v>
      </c>
      <c r="B10" s="4984"/>
      <c r="C10" s="4984"/>
      <c r="D10" s="1798"/>
      <c r="E10" s="1773"/>
      <c r="F10" s="1773"/>
      <c r="G10" s="1773"/>
      <c r="H10" s="1773"/>
      <c r="I10" s="1773"/>
      <c r="J10" s="1773"/>
      <c r="K10" s="1773"/>
      <c r="L10" s="1773"/>
      <c r="M10" s="1773"/>
      <c r="N10" s="750"/>
      <c r="O10" s="750"/>
      <c r="P10" s="1773"/>
      <c r="Q10" s="1773"/>
      <c r="R10" s="1773"/>
      <c r="S10" s="1773"/>
      <c r="T10" s="1773"/>
      <c r="U10" s="1773"/>
      <c r="V10" s="750"/>
      <c r="W10" s="1773"/>
      <c r="X10" s="1773"/>
      <c r="Y10" s="1773"/>
      <c r="Z10" s="1773"/>
      <c r="AA10" s="1773"/>
      <c r="AB10" s="1773"/>
      <c r="AC10" s="750"/>
      <c r="AD10" s="750"/>
      <c r="AE10" s="1773"/>
      <c r="AF10" s="1773"/>
      <c r="AG10" s="1775"/>
      <c r="AH10" s="1776"/>
    </row>
    <row r="11" spans="1:35">
      <c r="A11" s="4985" t="s">
        <v>265</v>
      </c>
      <c r="B11" s="4985"/>
      <c r="C11" s="4985"/>
      <c r="D11" s="1798"/>
      <c r="E11" s="1773"/>
      <c r="F11" s="1773"/>
      <c r="G11" s="1773"/>
      <c r="H11" s="1773"/>
      <c r="I11" s="1773"/>
      <c r="J11" s="1773"/>
      <c r="K11" s="1773"/>
      <c r="L11" s="1773"/>
      <c r="M11" s="1773"/>
      <c r="N11" s="750"/>
      <c r="O11" s="1773"/>
      <c r="P11" s="1773"/>
      <c r="Q11" s="1773"/>
      <c r="R11" s="1773"/>
      <c r="S11" s="1773"/>
      <c r="T11" s="1773"/>
      <c r="U11" s="1773"/>
      <c r="V11" s="750"/>
      <c r="W11" s="1773"/>
      <c r="X11" s="1773"/>
      <c r="Y11" s="1773"/>
      <c r="Z11" s="1773"/>
      <c r="AA11" s="1773"/>
      <c r="AB11" s="1773"/>
      <c r="AC11" s="750"/>
      <c r="AD11" s="750"/>
      <c r="AE11" s="1773"/>
      <c r="AF11" s="1773"/>
      <c r="AG11" s="1775"/>
      <c r="AH11" s="1776"/>
    </row>
    <row r="12" spans="1:35" ht="31.5">
      <c r="A12" s="4833" t="s">
        <v>60</v>
      </c>
      <c r="B12" s="4834"/>
      <c r="C12" s="4834"/>
      <c r="D12" s="1798"/>
      <c r="E12" s="1771"/>
      <c r="F12" s="1771"/>
      <c r="G12" s="1773"/>
      <c r="H12" s="1773"/>
      <c r="I12" s="1773"/>
      <c r="J12" s="1773"/>
      <c r="K12" s="1773"/>
      <c r="L12" s="1773"/>
      <c r="M12" s="1773"/>
      <c r="N12" s="1773"/>
      <c r="O12" s="1773"/>
      <c r="P12" s="1773"/>
      <c r="Q12" s="1773"/>
      <c r="R12" s="1773"/>
      <c r="S12" s="1773"/>
      <c r="T12" s="1356" t="s">
        <v>592</v>
      </c>
      <c r="U12" s="1773"/>
      <c r="V12" s="1773"/>
      <c r="W12" s="1773"/>
      <c r="X12" s="1773"/>
      <c r="Y12" s="1773"/>
      <c r="Z12" s="1773"/>
      <c r="AA12" s="1773"/>
      <c r="AB12" s="1773"/>
      <c r="AC12" s="750"/>
      <c r="AD12" s="750"/>
      <c r="AE12" s="1773"/>
      <c r="AF12" s="1773"/>
      <c r="AG12" s="1775"/>
      <c r="AH12" s="1776"/>
    </row>
    <row r="13" spans="1:35" ht="15.75">
      <c r="A13" s="4835" t="s">
        <v>593</v>
      </c>
      <c r="B13" s="4835"/>
      <c r="C13" s="4835"/>
      <c r="D13" s="1798"/>
      <c r="E13" s="4997" t="s">
        <v>593</v>
      </c>
      <c r="F13" s="4998"/>
      <c r="G13" s="4998"/>
      <c r="H13" s="4998"/>
      <c r="I13" s="4998"/>
      <c r="J13" s="4998"/>
      <c r="K13" s="4998"/>
      <c r="L13" s="4998"/>
      <c r="M13" s="4998"/>
      <c r="N13" s="4998"/>
      <c r="O13" s="4998"/>
      <c r="P13" s="4998"/>
      <c r="Q13" s="1773"/>
      <c r="R13" s="1773"/>
      <c r="S13" s="1773"/>
      <c r="T13" s="1773"/>
      <c r="U13" s="1773"/>
      <c r="V13" s="1773"/>
      <c r="W13" s="1773"/>
      <c r="X13" s="1773"/>
      <c r="Y13" s="1773"/>
      <c r="Z13" s="1773"/>
      <c r="AA13" s="1773"/>
      <c r="AB13" s="1773"/>
      <c r="AC13" s="750"/>
      <c r="AD13" s="1778"/>
      <c r="AE13" s="1778"/>
      <c r="AF13" s="1773"/>
      <c r="AG13" s="1775"/>
      <c r="AH13" s="1776"/>
    </row>
    <row r="14" spans="1:35">
      <c r="A14" s="4271" t="s">
        <v>63</v>
      </c>
      <c r="B14" s="4271"/>
      <c r="C14" s="4974"/>
      <c r="D14" s="1798"/>
      <c r="E14" s="1779"/>
      <c r="F14" s="1779"/>
      <c r="G14" s="1773"/>
      <c r="H14" s="1773"/>
      <c r="I14" s="1773"/>
      <c r="J14" s="1773"/>
      <c r="K14" s="1773"/>
      <c r="L14" s="1773"/>
      <c r="M14" s="1773"/>
      <c r="N14" s="1773"/>
      <c r="O14" s="1773"/>
      <c r="P14" s="1773"/>
      <c r="Q14" s="1773"/>
      <c r="R14" s="1773"/>
      <c r="S14" s="1773"/>
      <c r="T14" s="1773"/>
      <c r="U14" s="1773"/>
      <c r="V14" s="1886"/>
      <c r="W14" s="1773"/>
      <c r="X14" s="794"/>
      <c r="Y14" s="1773"/>
      <c r="Z14" s="1773"/>
      <c r="AA14" s="1773"/>
      <c r="AB14" s="1886"/>
      <c r="AC14" s="750"/>
      <c r="AD14" s="750"/>
      <c r="AE14" s="1773"/>
      <c r="AF14" s="1773"/>
      <c r="AG14" s="1773"/>
      <c r="AH14" s="1776"/>
    </row>
    <row r="15" spans="1:35">
      <c r="A15" s="4975" t="s">
        <v>54</v>
      </c>
      <c r="B15" s="4975"/>
      <c r="C15" s="4975"/>
      <c r="D15" s="1798"/>
      <c r="E15" s="1773"/>
      <c r="F15" s="1773"/>
      <c r="G15" s="1773"/>
      <c r="H15" s="1773"/>
      <c r="I15" s="1773"/>
      <c r="J15" s="1773"/>
      <c r="K15" s="1773"/>
      <c r="L15" s="1773"/>
      <c r="M15" s="1773"/>
      <c r="N15" s="1773"/>
      <c r="O15" s="1773"/>
      <c r="P15" s="1773"/>
      <c r="Q15" s="1773"/>
      <c r="R15" s="1773"/>
      <c r="S15" s="1773"/>
      <c r="T15" s="750"/>
      <c r="U15" s="1773"/>
      <c r="V15" s="1773"/>
      <c r="W15" s="1773"/>
      <c r="X15" s="1773"/>
      <c r="Y15" s="1773"/>
      <c r="Z15" s="1773"/>
      <c r="AA15" s="1773"/>
      <c r="AB15" s="1773"/>
      <c r="AC15" s="750"/>
      <c r="AD15" s="750"/>
      <c r="AE15" s="1773"/>
      <c r="AF15" s="1773"/>
      <c r="AG15" s="1775"/>
      <c r="AH15" s="1776"/>
      <c r="AI15" s="921"/>
    </row>
    <row r="16" spans="1:35" ht="36">
      <c r="A16" s="4976" t="s">
        <v>365</v>
      </c>
      <c r="B16" s="4976"/>
      <c r="C16" s="4976"/>
      <c r="D16" s="1798"/>
      <c r="E16" s="1773"/>
      <c r="F16" s="1773"/>
      <c r="G16" s="1773"/>
      <c r="H16" s="1773"/>
      <c r="I16" s="1773"/>
      <c r="J16" s="1773"/>
      <c r="K16" s="1773"/>
      <c r="L16" s="1773"/>
      <c r="M16" s="1773"/>
      <c r="N16" s="1773"/>
      <c r="O16" s="1773"/>
      <c r="P16" s="1773"/>
      <c r="Q16" s="1773"/>
      <c r="R16" s="1773"/>
      <c r="S16" s="1773"/>
      <c r="T16" s="750"/>
      <c r="U16" s="1773"/>
      <c r="V16" s="1773"/>
      <c r="W16" s="1773"/>
      <c r="X16" s="794"/>
      <c r="Y16" s="1773"/>
      <c r="Z16" s="1773"/>
      <c r="AA16" s="1773"/>
      <c r="AB16" s="1773"/>
      <c r="AC16" s="750"/>
      <c r="AD16" s="750"/>
      <c r="AE16" s="1773"/>
      <c r="AF16" s="1773"/>
      <c r="AG16" s="1771"/>
      <c r="AH16" s="1818" t="s">
        <v>594</v>
      </c>
    </row>
    <row r="17" spans="1:35">
      <c r="A17" s="4978" t="s">
        <v>520</v>
      </c>
      <c r="B17" s="4978"/>
      <c r="C17" s="4979"/>
      <c r="D17" s="1798"/>
      <c r="E17" s="1773"/>
      <c r="F17" s="1773"/>
      <c r="G17" s="1771"/>
      <c r="H17" s="1773"/>
      <c r="I17" s="1773"/>
      <c r="J17" s="1773"/>
      <c r="K17" s="1773"/>
      <c r="L17" s="1773"/>
      <c r="M17" s="1773"/>
      <c r="N17" s="1773"/>
      <c r="O17" s="1773"/>
      <c r="P17" s="1773"/>
      <c r="Q17" s="1773"/>
      <c r="R17" s="1773"/>
      <c r="S17" s="1773"/>
      <c r="T17" s="750"/>
      <c r="U17" s="1773"/>
      <c r="V17" s="1773"/>
      <c r="W17" s="1773"/>
      <c r="X17" s="794"/>
      <c r="Y17" s="1773"/>
      <c r="Z17" s="1773"/>
      <c r="AA17" s="1773"/>
      <c r="AB17" s="1773"/>
      <c r="AC17" s="750"/>
      <c r="AD17" s="1782"/>
      <c r="AE17" s="1773"/>
      <c r="AF17" s="1773"/>
      <c r="AG17" s="1819"/>
      <c r="AH17" s="1776"/>
    </row>
    <row r="18" spans="1:35">
      <c r="A18" s="4977" t="s">
        <v>366</v>
      </c>
      <c r="B18" s="4977"/>
      <c r="C18" s="4977"/>
      <c r="D18" s="1798"/>
      <c r="E18" s="1773"/>
      <c r="F18" s="1778"/>
      <c r="G18" s="1781"/>
      <c r="H18" s="1773"/>
      <c r="I18" s="1773"/>
      <c r="J18" s="1773"/>
      <c r="K18" s="1773"/>
      <c r="L18" s="1773"/>
      <c r="M18" s="1773"/>
      <c r="N18" s="750"/>
      <c r="O18" s="750"/>
      <c r="P18" s="1778"/>
      <c r="Q18" s="1778"/>
      <c r="R18" s="1773"/>
      <c r="S18" s="1773"/>
      <c r="T18" s="1773"/>
      <c r="U18" s="1773"/>
      <c r="V18" s="1773"/>
      <c r="W18" s="1773"/>
      <c r="X18" s="1773"/>
      <c r="Y18" s="1773"/>
      <c r="Z18" s="1773"/>
      <c r="AA18" s="1773"/>
      <c r="AB18" s="1773"/>
      <c r="AC18" s="750"/>
      <c r="AD18" s="750"/>
      <c r="AE18" s="1773"/>
      <c r="AF18" s="1773"/>
      <c r="AG18" s="1775"/>
      <c r="AH18" s="1776"/>
    </row>
    <row r="19" spans="1:35">
      <c r="A19" s="4986" t="s">
        <v>540</v>
      </c>
      <c r="B19" s="4987"/>
      <c r="C19" s="4988"/>
      <c r="D19" s="1803"/>
      <c r="E19" s="1779"/>
      <c r="F19" s="1788"/>
      <c r="G19" s="1773"/>
      <c r="H19" s="1783"/>
      <c r="I19" s="1779"/>
      <c r="J19" s="1779"/>
      <c r="K19" s="1788"/>
      <c r="L19" s="1779"/>
      <c r="M19" s="1787"/>
      <c r="N19" s="1787"/>
      <c r="O19" s="1787"/>
      <c r="P19" s="1787"/>
      <c r="Q19" s="1787"/>
      <c r="R19" s="1787"/>
      <c r="S19" s="1787"/>
      <c r="T19" s="1782"/>
      <c r="U19" s="1782"/>
      <c r="V19" s="1782"/>
      <c r="W19" s="1782"/>
      <c r="X19" s="1782"/>
      <c r="Y19" s="1782"/>
      <c r="Z19" s="1782"/>
      <c r="AA19" s="1782"/>
      <c r="AB19" s="1782"/>
      <c r="AC19" s="1782"/>
      <c r="AD19" s="1782"/>
      <c r="AE19" s="1782"/>
      <c r="AF19" s="1779"/>
      <c r="AG19" s="1788"/>
      <c r="AH19" s="1776"/>
    </row>
    <row r="20" spans="1:35">
      <c r="A20" s="4971" t="s">
        <v>541</v>
      </c>
      <c r="B20" s="4972"/>
      <c r="C20" s="4973"/>
      <c r="D20" s="1798"/>
      <c r="E20" s="1773"/>
      <c r="F20" s="1773"/>
      <c r="G20" s="1779"/>
      <c r="H20" s="1773"/>
      <c r="I20" s="1773"/>
      <c r="J20" s="1773"/>
      <c r="K20" s="1773"/>
      <c r="L20" s="1779"/>
      <c r="M20" s="1779"/>
      <c r="N20" s="1779"/>
      <c r="O20" s="1779"/>
      <c r="P20" s="1779"/>
      <c r="Q20" s="1779"/>
      <c r="R20" s="1779"/>
      <c r="S20" s="1779"/>
      <c r="T20" s="1779"/>
      <c r="U20" s="1773"/>
      <c r="V20" s="1773"/>
      <c r="W20" s="1773"/>
      <c r="X20" s="1773"/>
      <c r="Y20" s="1773"/>
      <c r="Z20" s="1773"/>
      <c r="AA20" s="1773"/>
      <c r="AB20" s="1773"/>
      <c r="AC20" s="1773"/>
      <c r="AD20" s="1773"/>
      <c r="AE20" s="1773"/>
      <c r="AF20" s="1773"/>
      <c r="AG20" s="1775"/>
      <c r="AH20" s="1776"/>
      <c r="AI20" s="283"/>
    </row>
    <row r="21" spans="1:35">
      <c r="A21" s="4916" t="s">
        <v>322</v>
      </c>
      <c r="B21" s="4917"/>
      <c r="C21" s="4917"/>
      <c r="D21" s="1802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1"/>
      <c r="T21" s="1771"/>
      <c r="U21" s="1771"/>
      <c r="V21" s="1771"/>
      <c r="W21" s="1771"/>
      <c r="X21" s="1771"/>
      <c r="Y21" s="1771"/>
      <c r="Z21" s="4916" t="s">
        <v>595</v>
      </c>
      <c r="AA21" s="4917"/>
      <c r="AB21" s="4917"/>
      <c r="AC21" s="4917"/>
      <c r="AD21" s="4918"/>
      <c r="AE21" s="1771"/>
      <c r="AF21" s="1771"/>
      <c r="AG21" s="1819"/>
      <c r="AH21" s="1790"/>
    </row>
    <row r="22" spans="1:35">
      <c r="A22" s="4945" t="s">
        <v>596</v>
      </c>
      <c r="B22" s="4906"/>
      <c r="C22" s="4907"/>
      <c r="D22" s="1802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71"/>
      <c r="T22" s="1771"/>
      <c r="U22" s="1771"/>
      <c r="V22" s="1771"/>
      <c r="W22" s="1771"/>
      <c r="X22" s="1771"/>
      <c r="Y22" s="1771"/>
      <c r="Z22" s="1819"/>
      <c r="AA22" s="4906" t="s">
        <v>597</v>
      </c>
      <c r="AB22" s="4906"/>
      <c r="AC22" s="4907"/>
      <c r="AD22" s="1771"/>
      <c r="AE22" s="1771"/>
      <c r="AF22" s="1771"/>
      <c r="AG22" s="1819"/>
      <c r="AH22" s="1795"/>
    </row>
    <row r="23" spans="1:35" ht="15.75">
      <c r="A23" s="1820" t="s">
        <v>66</v>
      </c>
      <c r="B23" s="1821" t="s">
        <v>67</v>
      </c>
      <c r="C23" s="1822" t="s">
        <v>74</v>
      </c>
      <c r="D23" s="1801"/>
      <c r="E23" s="1792"/>
      <c r="F23" s="1792"/>
      <c r="G23" s="1792"/>
      <c r="H23" s="1792"/>
      <c r="I23" s="1792"/>
      <c r="J23" s="1792"/>
      <c r="K23" s="1792"/>
      <c r="L23" s="1792"/>
      <c r="M23" s="1792"/>
      <c r="N23" s="1792"/>
      <c r="O23" s="1792"/>
      <c r="P23" s="1792"/>
      <c r="Q23" s="1792"/>
      <c r="R23" s="1792"/>
      <c r="S23" s="1792"/>
      <c r="T23" s="1792"/>
      <c r="U23" s="1792"/>
      <c r="V23" s="1792"/>
      <c r="W23" s="1792"/>
      <c r="X23" s="1792"/>
      <c r="Y23" s="1792"/>
      <c r="Z23" s="1792"/>
      <c r="AA23" s="1792"/>
      <c r="AB23" s="1792"/>
      <c r="AC23" s="1792"/>
      <c r="AD23" s="1792"/>
      <c r="AE23" s="1792"/>
      <c r="AF23" s="1792"/>
      <c r="AG23" s="1792"/>
      <c r="AH23" s="1708" t="s">
        <v>55</v>
      </c>
    </row>
    <row r="24" spans="1:35" ht="15.75">
      <c r="A24" s="1821" t="s">
        <v>73</v>
      </c>
      <c r="B24" s="1821" t="s">
        <v>67</v>
      </c>
      <c r="C24" s="1822" t="s">
        <v>458</v>
      </c>
      <c r="D24" s="621" t="s">
        <v>55</v>
      </c>
      <c r="E24" s="4955" t="s">
        <v>593</v>
      </c>
      <c r="F24" s="4955"/>
      <c r="G24" s="610" t="s">
        <v>55</v>
      </c>
      <c r="H24" s="1773"/>
      <c r="I24" s="1773"/>
      <c r="J24" s="1773"/>
      <c r="K24" s="1773"/>
      <c r="L24" s="1773"/>
      <c r="M24" s="1773"/>
      <c r="N24" s="1773"/>
      <c r="O24" s="1773"/>
      <c r="P24" s="1773"/>
      <c r="Q24" s="1773"/>
      <c r="R24" s="1773"/>
      <c r="S24" s="4911" t="s">
        <v>598</v>
      </c>
      <c r="T24" s="4912"/>
      <c r="U24" s="4912"/>
      <c r="V24" s="4912"/>
      <c r="W24" s="4913"/>
      <c r="X24" s="1773"/>
      <c r="Y24" s="1773"/>
      <c r="Z24" s="1773"/>
      <c r="AA24" s="1773"/>
      <c r="AB24" s="1773"/>
      <c r="AC24" s="1773"/>
      <c r="AD24" s="1773"/>
      <c r="AE24" s="1773"/>
      <c r="AF24" s="1773"/>
      <c r="AG24" s="1773"/>
      <c r="AH24" s="1776"/>
    </row>
    <row r="25" spans="1:35" s="1704" customFormat="1" ht="15.75" customHeight="1">
      <c r="A25" s="1823" t="s">
        <v>599</v>
      </c>
      <c r="B25" s="1705" t="s">
        <v>543</v>
      </c>
      <c r="C25" s="1824" t="s">
        <v>544</v>
      </c>
      <c r="D25" s="1796"/>
      <c r="E25" s="1797"/>
      <c r="F25" s="1797"/>
      <c r="G25" s="1797"/>
      <c r="H25" s="1797"/>
      <c r="I25" s="1797"/>
      <c r="J25" s="1797"/>
      <c r="K25" s="1797"/>
      <c r="L25" s="1797"/>
      <c r="M25" s="1797"/>
      <c r="N25" s="1797"/>
      <c r="O25" s="1797"/>
      <c r="P25" s="1797"/>
      <c r="Q25" s="1797"/>
      <c r="R25" s="1797"/>
      <c r="S25" s="1797"/>
      <c r="T25" s="1797"/>
      <c r="U25" s="1797"/>
      <c r="V25" s="1797"/>
      <c r="W25" s="1797"/>
      <c r="X25" s="1797"/>
      <c r="Y25" s="1797"/>
      <c r="Z25" s="1797"/>
      <c r="AA25" s="1797"/>
      <c r="AB25" s="1797"/>
      <c r="AC25" s="1797"/>
      <c r="AD25" s="1797"/>
      <c r="AE25" s="1797"/>
      <c r="AF25" s="1797"/>
      <c r="AG25" s="1797"/>
      <c r="AH25" s="1825"/>
    </row>
    <row r="26" spans="1:35">
      <c r="A26" s="4946" t="s">
        <v>84</v>
      </c>
      <c r="B26" s="1820" t="s">
        <v>85</v>
      </c>
      <c r="C26" s="1826" t="s">
        <v>86</v>
      </c>
      <c r="D26" s="1803"/>
      <c r="E26" s="1779"/>
      <c r="F26" s="1779"/>
      <c r="G26" s="1779"/>
      <c r="H26" s="1779"/>
      <c r="I26" s="1779"/>
      <c r="J26" s="1779"/>
      <c r="K26" s="1684" t="s">
        <v>251</v>
      </c>
      <c r="L26" s="4947" t="s">
        <v>600</v>
      </c>
      <c r="M26" s="4948"/>
      <c r="N26" s="4948"/>
      <c r="O26" s="4948"/>
      <c r="P26" s="4948"/>
      <c r="Q26" s="4949"/>
      <c r="R26" s="5000" t="s">
        <v>601</v>
      </c>
      <c r="S26" s="4948"/>
      <c r="T26" s="4948"/>
      <c r="U26" s="4948"/>
      <c r="V26" s="4949"/>
      <c r="W26" s="1466" t="s">
        <v>251</v>
      </c>
      <c r="X26" s="1779"/>
      <c r="Y26" s="1779"/>
      <c r="Z26" s="1779"/>
      <c r="AA26" s="1779"/>
      <c r="AB26" s="1779"/>
      <c r="AC26" s="1779"/>
      <c r="AD26" s="1779"/>
      <c r="AE26" s="1779"/>
      <c r="AF26" s="1779"/>
      <c r="AG26" s="1788"/>
      <c r="AH26" s="1790"/>
    </row>
    <row r="27" spans="1:35">
      <c r="A27" s="4946"/>
      <c r="B27" s="1821" t="s">
        <v>554</v>
      </c>
      <c r="C27" s="1822" t="s">
        <v>88</v>
      </c>
      <c r="D27" s="1802"/>
      <c r="E27" s="1771"/>
      <c r="F27" s="1771"/>
      <c r="G27" s="1771"/>
      <c r="H27" s="1771"/>
      <c r="I27" s="1771"/>
      <c r="J27" s="1771"/>
      <c r="K27" s="1771"/>
      <c r="L27" s="1771"/>
      <c r="M27" s="1771"/>
      <c r="N27" s="1771"/>
      <c r="O27" s="1771"/>
      <c r="P27" s="1771"/>
      <c r="Q27" s="1771"/>
      <c r="R27" s="1771"/>
      <c r="S27" s="1771"/>
      <c r="T27" s="1771"/>
      <c r="U27" s="1771"/>
      <c r="V27" s="1771"/>
      <c r="W27" s="1771"/>
      <c r="X27" s="1771"/>
      <c r="Y27" s="1771"/>
      <c r="Z27" s="1771"/>
      <c r="AA27" s="1771"/>
      <c r="AB27" s="1771"/>
      <c r="AC27" s="1771"/>
      <c r="AD27" s="1771"/>
      <c r="AE27" s="1771"/>
      <c r="AF27" s="1771"/>
      <c r="AG27" s="1819"/>
      <c r="AH27" s="1776"/>
    </row>
    <row r="28" spans="1:35">
      <c r="A28" s="4946"/>
      <c r="B28" s="1827" t="s">
        <v>602</v>
      </c>
      <c r="C28" s="1828" t="s">
        <v>91</v>
      </c>
      <c r="D28" s="1807"/>
      <c r="E28" s="1808"/>
      <c r="F28" s="1808"/>
      <c r="G28" s="1808"/>
      <c r="H28" s="1808"/>
      <c r="I28" s="1808"/>
      <c r="J28" s="1808"/>
      <c r="K28" s="1808"/>
      <c r="L28" s="1808"/>
      <c r="M28" s="1808"/>
      <c r="N28" s="1808"/>
      <c r="O28" s="1808"/>
      <c r="P28" s="1808"/>
      <c r="Q28" s="1808"/>
      <c r="R28" s="1808"/>
      <c r="S28" s="1808"/>
      <c r="T28" s="1808"/>
      <c r="U28" s="1808"/>
      <c r="V28" s="1808"/>
      <c r="W28" s="1808"/>
      <c r="X28" s="1808"/>
      <c r="Y28" s="1808"/>
      <c r="Z28" s="1808"/>
      <c r="AA28" s="1808"/>
      <c r="AB28" s="1808"/>
      <c r="AC28" s="1808"/>
      <c r="AD28" s="4919" t="s">
        <v>603</v>
      </c>
      <c r="AE28" s="4920"/>
      <c r="AF28" s="4920"/>
      <c r="AG28" s="4921"/>
      <c r="AH28" s="1800"/>
    </row>
    <row r="29" spans="1:35" ht="15.75">
      <c r="A29" s="4954" t="s">
        <v>92</v>
      </c>
      <c r="B29" s="1830" t="s">
        <v>95</v>
      </c>
      <c r="C29" s="1831" t="s">
        <v>96</v>
      </c>
      <c r="D29" s="1794"/>
      <c r="E29" s="1784"/>
      <c r="F29" s="1784"/>
      <c r="G29" s="1784"/>
      <c r="H29" s="1784"/>
      <c r="I29" s="4930" t="s">
        <v>604</v>
      </c>
      <c r="J29" s="4931"/>
      <c r="K29" s="4931"/>
      <c r="L29" s="4932"/>
      <c r="M29" s="1784"/>
      <c r="N29" s="1784"/>
      <c r="O29" s="1784"/>
      <c r="P29" s="1784"/>
      <c r="Q29" s="1784"/>
      <c r="R29" s="1783"/>
      <c r="S29" s="1779"/>
      <c r="T29" s="1779"/>
      <c r="U29" s="1779"/>
      <c r="V29" s="1779"/>
      <c r="W29" s="1779"/>
      <c r="X29" s="1779"/>
      <c r="Y29" s="1779"/>
      <c r="Z29" s="1779"/>
      <c r="AA29" s="1779"/>
      <c r="AB29" s="1779"/>
      <c r="AC29" s="1779"/>
      <c r="AD29" s="1779"/>
      <c r="AE29" s="1779"/>
      <c r="AF29" s="1779"/>
      <c r="AG29" s="1779"/>
      <c r="AH29" s="1683" t="s">
        <v>55</v>
      </c>
    </row>
    <row r="30" spans="1:35">
      <c r="A30" s="4954"/>
      <c r="B30" s="1832" t="s">
        <v>326</v>
      </c>
      <c r="C30" s="1833" t="s">
        <v>327</v>
      </c>
      <c r="D30" s="1798"/>
      <c r="E30" s="1773"/>
      <c r="F30" s="1773"/>
      <c r="G30" s="1773"/>
      <c r="H30" s="1773"/>
      <c r="I30" s="1773"/>
      <c r="J30" s="1773"/>
      <c r="K30" s="1773"/>
      <c r="L30" s="1773"/>
      <c r="M30" s="1773"/>
      <c r="N30" s="1773"/>
      <c r="O30" s="1773"/>
      <c r="P30" s="1775"/>
      <c r="Q30" s="1773"/>
      <c r="R30" s="1777"/>
      <c r="S30" s="1773"/>
      <c r="T30" s="1773"/>
      <c r="U30" s="1773"/>
      <c r="V30" s="1773"/>
      <c r="W30" s="4939" t="s">
        <v>605</v>
      </c>
      <c r="X30" s="4940"/>
      <c r="Y30" s="4940"/>
      <c r="Z30" s="4940"/>
      <c r="AA30" s="4940"/>
      <c r="AB30" s="4940"/>
      <c r="AC30" s="4940"/>
      <c r="AD30" s="4940"/>
      <c r="AE30" s="4941"/>
      <c r="AF30" s="1773"/>
      <c r="AG30" s="1773"/>
      <c r="AH30" s="1776"/>
    </row>
    <row r="31" spans="1:35" ht="15.75">
      <c r="A31" s="4954"/>
      <c r="B31" s="1834" t="s">
        <v>606</v>
      </c>
      <c r="C31" s="1835" t="s">
        <v>98</v>
      </c>
      <c r="D31" s="1468" t="s">
        <v>55</v>
      </c>
      <c r="E31" s="4933" t="s">
        <v>593</v>
      </c>
      <c r="F31" s="4934"/>
      <c r="G31" s="4935"/>
      <c r="H31" s="1053" t="s">
        <v>55</v>
      </c>
      <c r="I31" s="4938" t="s">
        <v>607</v>
      </c>
      <c r="J31" s="4920"/>
      <c r="K31" s="4921"/>
      <c r="L31" s="1808"/>
      <c r="M31" s="1808"/>
      <c r="N31" s="1808"/>
      <c r="O31" s="1808"/>
      <c r="P31" s="1808"/>
      <c r="Q31" s="1808"/>
      <c r="R31" s="1836"/>
      <c r="S31" s="1808"/>
      <c r="T31" s="1808"/>
      <c r="U31" s="1808"/>
      <c r="V31" s="1808"/>
      <c r="W31" s="1808"/>
      <c r="X31" s="1808"/>
      <c r="Y31" s="1808"/>
      <c r="Z31" s="1808"/>
      <c r="AA31" s="1808"/>
      <c r="AB31" s="1808"/>
      <c r="AC31" s="1808"/>
      <c r="AD31" s="1808"/>
      <c r="AE31" s="1808"/>
      <c r="AF31" s="1808"/>
      <c r="AG31" s="1808"/>
      <c r="AH31" s="1809"/>
    </row>
    <row r="32" spans="1:35">
      <c r="A32" s="4956" t="s">
        <v>99</v>
      </c>
      <c r="B32" s="1837" t="s">
        <v>100</v>
      </c>
      <c r="C32" s="1838" t="s">
        <v>101</v>
      </c>
      <c r="D32" s="4963" t="s">
        <v>608</v>
      </c>
      <c r="E32" s="4964"/>
      <c r="F32" s="4964"/>
      <c r="G32" s="4964"/>
      <c r="H32" s="4964"/>
      <c r="I32" s="1779"/>
      <c r="J32" s="1779"/>
      <c r="K32" s="1779"/>
      <c r="L32" s="1779"/>
      <c r="M32" s="1779"/>
      <c r="N32" s="1779"/>
      <c r="O32" s="1779"/>
      <c r="P32" s="1779"/>
      <c r="Q32" s="1779"/>
      <c r="R32" s="1779"/>
      <c r="S32" s="1779"/>
      <c r="T32" s="1779"/>
      <c r="U32" s="1779"/>
      <c r="V32" s="1779"/>
      <c r="W32" s="1779"/>
      <c r="X32" s="1779"/>
      <c r="Y32" s="1779"/>
      <c r="Z32" s="1779"/>
      <c r="AA32" s="1779"/>
      <c r="AB32" s="1779"/>
      <c r="AC32" s="1779"/>
      <c r="AD32" s="1779"/>
      <c r="AE32" s="1779"/>
      <c r="AF32" s="1779"/>
      <c r="AG32" s="1788"/>
      <c r="AH32" s="1780"/>
    </row>
    <row r="33" spans="1:34">
      <c r="A33" s="4956"/>
      <c r="B33" s="1839" t="s">
        <v>77</v>
      </c>
      <c r="C33" s="1822" t="s">
        <v>245</v>
      </c>
      <c r="D33" s="1903" t="s">
        <v>112</v>
      </c>
      <c r="E33" s="1771"/>
      <c r="F33" s="1771"/>
      <c r="G33" s="1771"/>
      <c r="H33" s="1771"/>
      <c r="I33" s="1771"/>
      <c r="J33" s="1771"/>
      <c r="K33" s="1771"/>
      <c r="L33" s="1771"/>
      <c r="M33" s="1771"/>
      <c r="N33" s="1771"/>
      <c r="O33" s="1771"/>
      <c r="P33" s="1771"/>
      <c r="Q33" s="1773"/>
      <c r="R33" s="1773"/>
      <c r="S33" s="1773"/>
      <c r="T33" s="1773"/>
      <c r="U33" s="1773"/>
      <c r="V33" s="1773"/>
      <c r="W33" s="1773"/>
      <c r="X33" s="1773"/>
      <c r="Y33" s="1773"/>
      <c r="Z33" s="1773"/>
      <c r="AA33" s="1773"/>
      <c r="AB33" s="1773"/>
      <c r="AC33" s="750"/>
      <c r="AD33" s="1773"/>
      <c r="AE33" s="1773"/>
      <c r="AF33" s="1773"/>
      <c r="AG33" s="1775"/>
      <c r="AH33" s="1776"/>
    </row>
    <row r="34" spans="1:34">
      <c r="A34" s="4956"/>
      <c r="B34" s="1839" t="s">
        <v>95</v>
      </c>
      <c r="C34" s="1828" t="s">
        <v>105</v>
      </c>
      <c r="D34" s="1798"/>
      <c r="E34" s="1773"/>
      <c r="F34" s="1773"/>
      <c r="G34" s="1773"/>
      <c r="H34" s="1773"/>
      <c r="I34" s="1773"/>
      <c r="J34" s="1773"/>
      <c r="K34" s="1773"/>
      <c r="L34" s="1773"/>
      <c r="M34" s="1773"/>
      <c r="N34" s="1773"/>
      <c r="O34" s="4922" t="s">
        <v>609</v>
      </c>
      <c r="P34" s="4923"/>
      <c r="Q34" s="4923"/>
      <c r="R34" s="4923"/>
      <c r="S34" s="4923"/>
      <c r="T34" s="4923"/>
      <c r="U34" s="4923"/>
      <c r="V34" s="4923"/>
      <c r="W34" s="4923"/>
      <c r="X34" s="4923"/>
      <c r="Y34" s="4923"/>
      <c r="Z34" s="4923"/>
      <c r="AA34" s="4923"/>
      <c r="AB34" s="4923"/>
      <c r="AC34" s="4923"/>
      <c r="AD34" s="4923"/>
      <c r="AE34" s="4923"/>
      <c r="AF34" s="4923"/>
      <c r="AG34" s="4923"/>
      <c r="AH34" s="4924"/>
    </row>
    <row r="35" spans="1:34" ht="15.75" customHeight="1">
      <c r="A35" s="4956"/>
      <c r="B35" s="1839" t="s">
        <v>95</v>
      </c>
      <c r="C35" s="1833" t="s">
        <v>548</v>
      </c>
      <c r="D35" s="1682" t="s">
        <v>55</v>
      </c>
      <c r="E35" s="4936" t="s">
        <v>593</v>
      </c>
      <c r="F35" s="4937"/>
      <c r="G35" s="4937"/>
      <c r="H35" s="4937"/>
      <c r="I35" s="4937"/>
      <c r="J35" s="1415" t="s">
        <v>55</v>
      </c>
      <c r="K35" s="1771"/>
      <c r="L35" s="1773"/>
      <c r="M35" s="1773"/>
      <c r="N35" s="1773"/>
      <c r="O35" s="1773"/>
      <c r="P35" s="1773"/>
      <c r="Q35" s="1840"/>
      <c r="R35" s="1771"/>
      <c r="S35" s="1771"/>
      <c r="T35" s="1771"/>
      <c r="U35" s="1771"/>
      <c r="V35" s="1771"/>
      <c r="W35" s="1771"/>
      <c r="X35" s="1771"/>
      <c r="Y35" s="1771"/>
      <c r="Z35" s="1771"/>
      <c r="AA35" s="1771"/>
      <c r="AB35" s="1771"/>
      <c r="AC35" s="1771"/>
      <c r="AD35" s="1771"/>
      <c r="AE35" s="1771"/>
      <c r="AF35" s="1771"/>
      <c r="AG35" s="1819"/>
      <c r="AH35" s="1795"/>
    </row>
    <row r="36" spans="1:34">
      <c r="A36" s="4956"/>
      <c r="B36" s="1839" t="s">
        <v>106</v>
      </c>
      <c r="C36" s="1838" t="s">
        <v>107</v>
      </c>
      <c r="D36" s="1798"/>
      <c r="E36" s="1773"/>
      <c r="F36" s="1773"/>
      <c r="G36" s="1773"/>
      <c r="H36" s="1773"/>
      <c r="I36" s="1773"/>
      <c r="J36" s="1773"/>
      <c r="K36" s="1773"/>
      <c r="L36" s="1773"/>
      <c r="M36" s="1773"/>
      <c r="N36" s="1773"/>
      <c r="O36" s="1773"/>
      <c r="P36" s="1773"/>
      <c r="Q36" s="1840"/>
      <c r="R36" s="1771"/>
      <c r="S36" s="1771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819"/>
      <c r="AH36" s="1776"/>
    </row>
    <row r="37" spans="1:34">
      <c r="A37" s="4956"/>
      <c r="B37" s="1841" t="s">
        <v>108</v>
      </c>
      <c r="C37" s="1842" t="s">
        <v>109</v>
      </c>
      <c r="D37" s="1794"/>
      <c r="E37" s="1784"/>
      <c r="F37" s="1784"/>
      <c r="G37" s="1784"/>
      <c r="H37" s="1784"/>
      <c r="I37" s="1784"/>
      <c r="J37" s="1784"/>
      <c r="K37" s="1784"/>
      <c r="L37" s="1784"/>
      <c r="M37" s="1784"/>
      <c r="N37" s="1784"/>
      <c r="O37" s="1784"/>
      <c r="P37" s="1784"/>
      <c r="Q37" s="1771"/>
      <c r="R37" s="1771"/>
      <c r="S37" s="1771"/>
      <c r="T37" s="1771"/>
      <c r="U37" s="1771"/>
      <c r="V37" s="1771"/>
      <c r="W37" s="1771"/>
      <c r="X37" s="1771"/>
      <c r="Y37" s="1771"/>
      <c r="Z37" s="1771"/>
      <c r="AA37" s="1771"/>
      <c r="AB37" s="1771"/>
      <c r="AC37" s="1771"/>
      <c r="AD37" s="1771"/>
      <c r="AE37" s="1771"/>
      <c r="AF37" s="1771"/>
      <c r="AG37" s="1819"/>
      <c r="AH37" s="1795"/>
    </row>
    <row r="38" spans="1:34" ht="15.75">
      <c r="A38" s="4965" t="s">
        <v>110</v>
      </c>
      <c r="B38" s="213" t="s">
        <v>283</v>
      </c>
      <c r="C38" s="214" t="s">
        <v>201</v>
      </c>
      <c r="D38" s="1801"/>
      <c r="E38" s="1792"/>
      <c r="F38" s="1792"/>
      <c r="G38" s="1792"/>
      <c r="H38" s="1792"/>
      <c r="I38" s="1792"/>
      <c r="J38" s="1792"/>
      <c r="K38" s="1792"/>
      <c r="L38" s="1792"/>
      <c r="M38" s="1792"/>
      <c r="N38" s="3611" t="s">
        <v>112</v>
      </c>
      <c r="O38" s="1792"/>
      <c r="P38" s="1792"/>
      <c r="Q38" s="1792"/>
      <c r="R38" s="1792"/>
      <c r="S38" s="1792"/>
      <c r="T38" s="1792"/>
      <c r="U38" s="1792"/>
      <c r="V38" s="1792"/>
      <c r="W38" s="1792"/>
      <c r="X38" s="1792"/>
      <c r="Y38" s="1792"/>
      <c r="Z38" s="1792"/>
      <c r="AA38" s="1792"/>
      <c r="AB38" s="1792"/>
      <c r="AC38" s="1792"/>
      <c r="AD38" s="1792"/>
      <c r="AE38" s="1792"/>
      <c r="AF38" s="1792"/>
      <c r="AG38" s="1792"/>
      <c r="AH38" s="1793"/>
    </row>
    <row r="39" spans="1:34" ht="15.75">
      <c r="A39" s="4965"/>
      <c r="B39" s="213" t="s">
        <v>283</v>
      </c>
      <c r="C39" s="1698" t="s">
        <v>610</v>
      </c>
      <c r="D39" s="1798"/>
      <c r="E39" s="1773"/>
      <c r="F39" s="1773"/>
      <c r="G39" s="1773"/>
      <c r="H39" s="1773"/>
      <c r="I39" s="1773"/>
      <c r="J39" s="1773"/>
      <c r="K39" s="1773"/>
      <c r="L39" s="1773"/>
      <c r="M39" s="1773"/>
      <c r="N39" s="1773"/>
      <c r="O39" s="1773"/>
      <c r="P39" s="1773"/>
      <c r="Q39" s="1773"/>
      <c r="R39" s="1773"/>
      <c r="S39" s="1773"/>
      <c r="T39" s="1773"/>
      <c r="U39" s="1773"/>
      <c r="V39" s="1773"/>
      <c r="W39" s="1773"/>
      <c r="X39" s="1773"/>
      <c r="Y39" s="1773"/>
      <c r="Z39" s="1773"/>
      <c r="AA39" s="1773"/>
      <c r="AB39" s="1773"/>
      <c r="AC39" s="1773"/>
      <c r="AD39" s="1773"/>
      <c r="AE39" s="1773"/>
      <c r="AF39" s="1773"/>
      <c r="AG39" s="1773"/>
      <c r="AH39" s="1776"/>
    </row>
    <row r="40" spans="1:34" ht="15.75">
      <c r="A40" s="4965"/>
      <c r="B40" s="213" t="s">
        <v>95</v>
      </c>
      <c r="C40" s="441" t="s">
        <v>249</v>
      </c>
      <c r="D40" s="1798"/>
      <c r="E40" s="1773"/>
      <c r="F40" s="1773"/>
      <c r="G40" s="1773"/>
      <c r="H40" s="1773"/>
      <c r="I40" s="1773"/>
      <c r="J40" s="4914" t="s">
        <v>611</v>
      </c>
      <c r="K40" s="4928"/>
      <c r="L40" s="4928"/>
      <c r="M40" s="4929"/>
      <c r="N40" s="1773"/>
      <c r="O40" s="1773"/>
      <c r="P40" s="1773"/>
      <c r="Q40" s="1773"/>
      <c r="R40" s="1773"/>
      <c r="S40" s="1773"/>
      <c r="T40" s="1773"/>
      <c r="U40" s="1773"/>
      <c r="V40" s="1773"/>
      <c r="W40" s="1773"/>
      <c r="X40" s="1773"/>
      <c r="Y40" s="1773"/>
      <c r="Z40" s="1773"/>
      <c r="AA40" s="1773"/>
      <c r="AB40" s="1773"/>
      <c r="AC40" s="1773"/>
      <c r="AD40" s="1773"/>
      <c r="AE40" s="1773"/>
      <c r="AF40" s="1773"/>
      <c r="AG40" s="1773"/>
      <c r="AH40" s="1776"/>
    </row>
    <row r="41" spans="1:34" ht="15.75">
      <c r="A41" s="4965"/>
      <c r="B41" s="1821" t="s">
        <v>113</v>
      </c>
      <c r="C41" s="1822" t="s">
        <v>116</v>
      </c>
      <c r="D41" s="1798"/>
      <c r="E41" s="1773"/>
      <c r="F41" s="1773"/>
      <c r="G41" s="1773"/>
      <c r="H41" s="1773"/>
      <c r="I41" s="1773"/>
      <c r="J41" s="1773"/>
      <c r="K41" s="1773"/>
      <c r="L41" s="1773"/>
      <c r="M41" s="1773"/>
      <c r="N41" s="1773"/>
      <c r="O41" s="1773"/>
      <c r="P41" s="1773"/>
      <c r="Q41" s="1773"/>
      <c r="R41" s="3636" t="s">
        <v>251</v>
      </c>
      <c r="S41" s="4712" t="s">
        <v>612</v>
      </c>
      <c r="T41" s="4712"/>
      <c r="U41" s="4712"/>
      <c r="V41" s="4712"/>
      <c r="W41" s="4712"/>
      <c r="X41" s="4712"/>
      <c r="Y41" s="4712"/>
      <c r="Z41" s="4712"/>
      <c r="AA41" s="4712"/>
      <c r="AB41" s="4712"/>
      <c r="AC41" s="4712"/>
      <c r="AD41" s="4712"/>
      <c r="AE41" s="3636" t="s">
        <v>251</v>
      </c>
      <c r="AF41" s="1773"/>
      <c r="AG41" s="1773"/>
      <c r="AH41" s="1776"/>
    </row>
    <row r="42" spans="1:34">
      <c r="A42" s="4965"/>
      <c r="B42" s="1821" t="s">
        <v>118</v>
      </c>
      <c r="C42" s="1822" t="s">
        <v>119</v>
      </c>
      <c r="D42" s="4990" t="s">
        <v>613</v>
      </c>
      <c r="E42" s="4991"/>
      <c r="F42" s="4991"/>
      <c r="G42" s="4991"/>
      <c r="H42" s="4991"/>
      <c r="I42" s="4991"/>
      <c r="J42" s="4991"/>
      <c r="K42" s="4991"/>
      <c r="L42" s="4991"/>
      <c r="M42" s="4991"/>
      <c r="N42" s="4991"/>
      <c r="O42" s="4991"/>
      <c r="P42" s="4992"/>
      <c r="Q42" s="1773"/>
      <c r="R42" s="1773"/>
      <c r="S42" s="1773"/>
      <c r="T42" s="1773"/>
      <c r="U42" s="1773"/>
      <c r="V42" s="1773"/>
      <c r="W42" s="1773"/>
      <c r="X42" s="1773"/>
      <c r="Y42" s="4901" t="s">
        <v>614</v>
      </c>
      <c r="Z42" s="4901"/>
      <c r="AA42" s="4901"/>
      <c r="AB42" s="4901"/>
      <c r="AC42" s="4901"/>
      <c r="AD42" s="4901"/>
      <c r="AE42" s="4901"/>
      <c r="AF42" s="4901"/>
      <c r="AG42" s="4901"/>
      <c r="AH42" s="4902"/>
    </row>
    <row r="43" spans="1:34">
      <c r="A43" s="4965"/>
      <c r="B43" s="1821" t="s">
        <v>500</v>
      </c>
      <c r="C43" s="1822" t="s">
        <v>126</v>
      </c>
      <c r="D43" s="1798"/>
      <c r="E43" s="1773"/>
      <c r="F43" s="1773"/>
      <c r="G43" s="1773"/>
      <c r="H43" s="1773"/>
      <c r="I43" s="1773"/>
      <c r="J43" s="4914" t="s">
        <v>615</v>
      </c>
      <c r="K43" s="4928"/>
      <c r="L43" s="4929"/>
      <c r="M43" s="1773"/>
      <c r="N43" s="1773"/>
      <c r="O43" s="1773"/>
      <c r="P43" s="1773"/>
      <c r="Q43" s="1773"/>
      <c r="R43" s="1773"/>
      <c r="S43" s="1773"/>
      <c r="T43" s="1773"/>
      <c r="U43" s="1773"/>
      <c r="V43" s="1773"/>
      <c r="W43" s="1773"/>
      <c r="X43" s="1773"/>
      <c r="Y43" s="1773"/>
      <c r="Z43" s="1773"/>
      <c r="AA43" s="1773"/>
      <c r="AB43" s="1773"/>
      <c r="AC43" s="1773"/>
      <c r="AD43" s="1773"/>
      <c r="AE43" s="1773"/>
      <c r="AF43" s="1773"/>
      <c r="AG43" s="4914" t="s">
        <v>616</v>
      </c>
      <c r="AH43" s="4915"/>
    </row>
    <row r="44" spans="1:34">
      <c r="A44" s="4965"/>
      <c r="B44" s="1821" t="s">
        <v>120</v>
      </c>
      <c r="C44" s="1822" t="s">
        <v>121</v>
      </c>
      <c r="D44" s="1798"/>
      <c r="E44" s="1773"/>
      <c r="F44" s="1773"/>
      <c r="G44" s="1773"/>
      <c r="H44" s="1773"/>
      <c r="I44" s="1773"/>
      <c r="J44" s="1773"/>
      <c r="K44" s="1773"/>
      <c r="L44" s="1773"/>
      <c r="M44" s="1773"/>
      <c r="N44" s="1773"/>
      <c r="O44" s="1771"/>
      <c r="P44" s="1771"/>
      <c r="Q44" s="1771"/>
      <c r="R44" s="1771"/>
      <c r="S44" s="1773"/>
      <c r="T44" s="1773"/>
      <c r="U44" s="1773"/>
      <c r="V44" s="1773"/>
      <c r="W44" s="1773"/>
      <c r="X44" s="1773"/>
      <c r="Y44" s="1773"/>
      <c r="Z44" s="1773"/>
      <c r="AA44" s="1773"/>
      <c r="AB44" s="1773"/>
      <c r="AC44" s="1773"/>
      <c r="AD44" s="1773"/>
      <c r="AE44" s="1773"/>
      <c r="AF44" s="1773"/>
      <c r="AG44" s="1773"/>
      <c r="AH44" s="1776"/>
    </row>
    <row r="45" spans="1:34">
      <c r="A45" s="4965"/>
      <c r="B45" s="1821" t="s">
        <v>122</v>
      </c>
      <c r="C45" s="1822" t="s">
        <v>123</v>
      </c>
      <c r="D45" s="1798"/>
      <c r="E45" s="1773"/>
      <c r="F45" s="1773"/>
      <c r="G45" s="1773"/>
      <c r="H45" s="1773"/>
      <c r="I45" s="1773"/>
      <c r="J45" s="1778"/>
      <c r="K45" s="1778"/>
      <c r="L45" s="1778"/>
      <c r="M45" s="1778"/>
      <c r="N45" s="1905"/>
      <c r="O45" s="1778"/>
      <c r="P45" s="1778"/>
      <c r="Q45" s="1778"/>
      <c r="R45" s="1778"/>
      <c r="S45" s="1777"/>
      <c r="T45" s="1778"/>
      <c r="U45" s="1778"/>
      <c r="V45" s="1778"/>
      <c r="W45" s="1778"/>
      <c r="X45" s="1778"/>
      <c r="Y45" s="4901" t="s">
        <v>591</v>
      </c>
      <c r="Z45" s="4901"/>
      <c r="AA45" s="4901"/>
      <c r="AB45" s="4901"/>
      <c r="AC45" s="4901"/>
      <c r="AD45" s="4901"/>
      <c r="AE45" s="4901"/>
      <c r="AF45" s="4901"/>
      <c r="AG45" s="4901"/>
      <c r="AH45" s="4902"/>
    </row>
    <row r="46" spans="1:34">
      <c r="A46" s="4965"/>
      <c r="B46" s="1821" t="s">
        <v>122</v>
      </c>
      <c r="C46" s="1822" t="s">
        <v>553</v>
      </c>
      <c r="D46" s="1843"/>
      <c r="E46" s="1805"/>
      <c r="F46" s="1805"/>
      <c r="G46" s="1805"/>
      <c r="H46" s="1805"/>
      <c r="I46" s="1805"/>
      <c r="J46" s="1804"/>
      <c r="K46" s="1804"/>
      <c r="L46" s="1804"/>
      <c r="M46" s="1804"/>
      <c r="N46" s="1804"/>
      <c r="O46" s="1906"/>
      <c r="P46" s="1906"/>
      <c r="Q46" s="1906"/>
      <c r="R46" s="1906"/>
      <c r="S46" s="1804"/>
      <c r="T46" s="1844"/>
      <c r="U46" s="1844"/>
      <c r="V46" s="1844"/>
      <c r="W46" s="1844"/>
      <c r="X46" s="1844"/>
      <c r="Y46" s="1804"/>
      <c r="Z46" s="1804"/>
      <c r="AA46" s="1804"/>
      <c r="AB46" s="1804"/>
      <c r="AC46" s="1804"/>
      <c r="AD46" s="1804"/>
      <c r="AE46" s="1804"/>
      <c r="AF46" s="1804"/>
      <c r="AG46" s="1804"/>
      <c r="AH46" s="1845"/>
    </row>
    <row r="47" spans="1:34">
      <c r="A47" s="4965"/>
      <c r="B47" s="1821" t="s">
        <v>124</v>
      </c>
      <c r="C47" s="1822" t="s">
        <v>125</v>
      </c>
      <c r="D47" s="1846"/>
      <c r="E47" s="1778"/>
      <c r="F47" s="1778"/>
      <c r="G47" s="1778"/>
      <c r="H47" s="1778"/>
      <c r="I47" s="730"/>
      <c r="J47" s="1778"/>
      <c r="K47" s="1778"/>
      <c r="L47" s="1778"/>
      <c r="M47" s="1778"/>
      <c r="N47" s="1778"/>
      <c r="O47" s="1778"/>
      <c r="P47" s="1778"/>
      <c r="Q47" s="1778"/>
      <c r="R47" s="730"/>
      <c r="S47" s="1773"/>
      <c r="T47" s="1773"/>
      <c r="U47" s="1773"/>
      <c r="V47" s="1773"/>
      <c r="W47" s="1773"/>
      <c r="X47" s="1773"/>
      <c r="Y47" s="1773"/>
      <c r="Z47" s="1773"/>
      <c r="AA47" s="1773"/>
      <c r="AB47" s="1773"/>
      <c r="AC47" s="1773"/>
      <c r="AD47" s="1773"/>
      <c r="AE47" s="1773"/>
      <c r="AF47" s="1773"/>
      <c r="AG47" s="1773"/>
      <c r="AH47" s="1776"/>
    </row>
    <row r="48" spans="1:34">
      <c r="A48" s="4965"/>
      <c r="B48" s="1821" t="s">
        <v>127</v>
      </c>
      <c r="C48" s="1822" t="s">
        <v>128</v>
      </c>
      <c r="D48" s="1798"/>
      <c r="E48" s="1773"/>
      <c r="F48" s="1773"/>
      <c r="G48" s="1773"/>
      <c r="H48" s="1773"/>
      <c r="I48" s="1773"/>
      <c r="J48" s="1773"/>
      <c r="K48" s="1773"/>
      <c r="L48" s="1773"/>
      <c r="M48" s="1773"/>
      <c r="N48" s="1773"/>
      <c r="O48" s="1773"/>
      <c r="P48" s="1773"/>
      <c r="Q48" s="1773"/>
      <c r="R48" s="1773"/>
      <c r="S48" s="1778"/>
      <c r="T48" s="1778"/>
      <c r="U48" s="1778"/>
      <c r="V48" s="1778"/>
      <c r="W48" s="1778"/>
      <c r="X48" s="1778"/>
      <c r="Y48" s="4901" t="s">
        <v>591</v>
      </c>
      <c r="Z48" s="4901"/>
      <c r="AA48" s="4901"/>
      <c r="AB48" s="4901"/>
      <c r="AC48" s="4901"/>
      <c r="AD48" s="4901"/>
      <c r="AE48" s="4901"/>
      <c r="AF48" s="4901"/>
      <c r="AG48" s="4901"/>
      <c r="AH48" s="4902"/>
    </row>
    <row r="49" spans="1:34">
      <c r="A49" s="4965"/>
      <c r="B49" s="1827" t="s">
        <v>127</v>
      </c>
      <c r="C49" s="1822" t="s">
        <v>132</v>
      </c>
      <c r="D49" s="4925" t="s">
        <v>112</v>
      </c>
      <c r="E49" s="4920"/>
      <c r="F49" s="4920"/>
      <c r="G49" s="4920"/>
      <c r="H49" s="4921"/>
      <c r="I49" s="1808"/>
      <c r="J49" s="1808"/>
      <c r="K49" s="1808"/>
      <c r="L49" s="1808"/>
      <c r="M49" s="1808"/>
      <c r="N49" s="1808"/>
      <c r="O49" s="1808"/>
      <c r="P49" s="1808"/>
      <c r="Q49" s="1808"/>
      <c r="R49" s="1808"/>
      <c r="S49" s="1808"/>
      <c r="T49" s="1808"/>
      <c r="U49" s="1808"/>
      <c r="V49" s="1808"/>
      <c r="W49" s="1808"/>
      <c r="X49" s="1808"/>
      <c r="Y49" s="1808"/>
      <c r="Z49" s="1808"/>
      <c r="AA49" s="1808"/>
      <c r="AB49" s="1808"/>
      <c r="AC49" s="1808"/>
      <c r="AD49" s="1808"/>
      <c r="AE49" s="1808"/>
      <c r="AF49" s="1808"/>
      <c r="AG49" s="1808"/>
      <c r="AH49" s="1809"/>
    </row>
    <row r="50" spans="1:34">
      <c r="A50" s="4965"/>
      <c r="B50" s="1821" t="s">
        <v>554</v>
      </c>
      <c r="C50" s="1822" t="s">
        <v>555</v>
      </c>
      <c r="D50" s="1798"/>
      <c r="E50" s="1773"/>
      <c r="F50" s="1773"/>
      <c r="G50" s="1773"/>
      <c r="H50" s="1773"/>
      <c r="I50" s="1773"/>
      <c r="J50" s="1773"/>
      <c r="K50" s="1773"/>
      <c r="L50" s="1773"/>
      <c r="M50" s="1773"/>
      <c r="N50" s="1773"/>
      <c r="O50" s="1773"/>
      <c r="P50" s="1773"/>
      <c r="Q50" s="1773"/>
      <c r="R50" s="1773"/>
      <c r="S50" s="1778"/>
      <c r="T50" s="1778"/>
      <c r="U50" s="1778"/>
      <c r="V50" s="1778"/>
      <c r="W50" s="1778"/>
      <c r="X50" s="1778"/>
      <c r="Y50" s="1778"/>
      <c r="Z50" s="1778"/>
      <c r="AA50" s="1778"/>
      <c r="AB50" s="1778"/>
      <c r="AC50" s="1778"/>
      <c r="AD50" s="1778"/>
      <c r="AE50" s="1778"/>
      <c r="AF50" s="1778"/>
      <c r="AG50" s="1778"/>
      <c r="AH50" s="1847"/>
    </row>
    <row r="51" spans="1:34" s="1" customFormat="1">
      <c r="A51" s="4965"/>
      <c r="B51" s="1848" t="s">
        <v>129</v>
      </c>
      <c r="C51" s="1849" t="s">
        <v>474</v>
      </c>
      <c r="D51" s="1846"/>
      <c r="E51" s="1778"/>
      <c r="F51" s="1778"/>
      <c r="G51" s="1778"/>
      <c r="H51" s="1778"/>
      <c r="I51" s="730"/>
      <c r="J51" s="1805"/>
      <c r="K51" s="1805"/>
      <c r="L51" s="1805"/>
      <c r="M51" s="1805"/>
      <c r="N51" s="1805"/>
      <c r="O51" s="1805"/>
      <c r="P51" s="1805"/>
      <c r="Q51" s="1805"/>
      <c r="R51" s="1805"/>
      <c r="S51" s="1778"/>
      <c r="T51" s="1778"/>
      <c r="U51" s="1778"/>
      <c r="V51" s="1778"/>
      <c r="W51" s="1778"/>
      <c r="X51" s="1778"/>
      <c r="Y51" s="4901" t="s">
        <v>591</v>
      </c>
      <c r="Z51" s="4901"/>
      <c r="AA51" s="4901"/>
      <c r="AB51" s="4901"/>
      <c r="AC51" s="4901"/>
      <c r="AD51" s="4901"/>
      <c r="AE51" s="4901"/>
      <c r="AF51" s="4901"/>
      <c r="AG51" s="4901"/>
      <c r="AH51" s="4902"/>
    </row>
    <row r="52" spans="1:34">
      <c r="A52" s="4965"/>
      <c r="B52" s="1821" t="s">
        <v>134</v>
      </c>
      <c r="C52" s="1822" t="s">
        <v>135</v>
      </c>
      <c r="D52" s="4926" t="s">
        <v>112</v>
      </c>
      <c r="E52" s="4899"/>
      <c r="F52" s="4899"/>
      <c r="G52" s="4899"/>
      <c r="H52" s="1773"/>
      <c r="I52" s="1773"/>
      <c r="J52" s="1773"/>
      <c r="K52" s="1773"/>
      <c r="L52" s="1773"/>
      <c r="M52" s="1773"/>
      <c r="N52" s="1773"/>
      <c r="O52" s="1773"/>
      <c r="P52" s="1773"/>
      <c r="Q52" s="1773"/>
      <c r="R52" s="1773"/>
      <c r="S52" s="1773"/>
      <c r="T52" s="1773"/>
      <c r="U52" s="1773"/>
      <c r="V52" s="1773"/>
      <c r="W52" s="1773"/>
      <c r="X52" s="1773"/>
      <c r="Y52" s="1773"/>
      <c r="Z52" s="1773"/>
      <c r="AA52" s="1773"/>
      <c r="AB52" s="1773"/>
      <c r="AC52" s="1773"/>
      <c r="AD52" s="1773"/>
      <c r="AE52" s="1773"/>
      <c r="AF52" s="1773"/>
      <c r="AG52" s="1773"/>
      <c r="AH52" s="1776"/>
    </row>
    <row r="53" spans="1:34">
      <c r="A53" s="4965"/>
      <c r="B53" s="1821" t="s">
        <v>333</v>
      </c>
      <c r="C53" s="1822" t="s">
        <v>334</v>
      </c>
      <c r="D53" s="1798"/>
      <c r="E53" s="1773"/>
      <c r="F53" s="1773"/>
      <c r="G53" s="1773"/>
      <c r="H53" s="1773"/>
      <c r="I53" s="1773"/>
      <c r="J53" s="1773"/>
      <c r="K53" s="1773"/>
      <c r="L53" s="1773"/>
      <c r="M53" s="1773"/>
      <c r="N53" s="1773"/>
      <c r="O53" s="1773"/>
      <c r="P53" s="1773"/>
      <c r="Q53" s="1773"/>
      <c r="R53" s="1773"/>
      <c r="S53" s="1778"/>
      <c r="T53" s="1778"/>
      <c r="U53" s="1778"/>
      <c r="V53" s="1778"/>
      <c r="W53" s="1778"/>
      <c r="X53" s="1778"/>
      <c r="Y53" s="4901" t="s">
        <v>591</v>
      </c>
      <c r="Z53" s="4901"/>
      <c r="AA53" s="4901"/>
      <c r="AB53" s="4901"/>
      <c r="AC53" s="4901"/>
      <c r="AD53" s="4901"/>
      <c r="AE53" s="4901"/>
      <c r="AF53" s="4901"/>
      <c r="AG53" s="4901"/>
      <c r="AH53" s="4902"/>
    </row>
    <row r="54" spans="1:34">
      <c r="A54" s="4962" t="s">
        <v>136</v>
      </c>
      <c r="B54" s="1850" t="s">
        <v>77</v>
      </c>
      <c r="C54" s="1851" t="s">
        <v>137</v>
      </c>
      <c r="D54" s="4957" t="s">
        <v>30</v>
      </c>
      <c r="E54" s="4958"/>
      <c r="F54" s="4958"/>
      <c r="G54" s="4958"/>
      <c r="H54" s="1852"/>
      <c r="I54" s="1852"/>
      <c r="J54" s="1852"/>
      <c r="K54" s="1852"/>
      <c r="L54" s="1852"/>
      <c r="M54" s="1852"/>
      <c r="N54" s="1852"/>
      <c r="O54" s="1852"/>
      <c r="P54" s="1852"/>
      <c r="Q54" s="1852"/>
      <c r="R54" s="1852"/>
      <c r="S54" s="1852"/>
      <c r="T54" s="1852"/>
      <c r="U54" s="1852"/>
      <c r="V54" s="4903" t="s">
        <v>30</v>
      </c>
      <c r="W54" s="4904"/>
      <c r="X54" s="4904"/>
      <c r="Y54" s="4904"/>
      <c r="Z54" s="4904"/>
      <c r="AA54" s="4904"/>
      <c r="AB54" s="4904"/>
      <c r="AC54" s="4904"/>
      <c r="AD54" s="4904"/>
      <c r="AE54" s="4904"/>
      <c r="AF54" s="4904"/>
      <c r="AG54" s="4904"/>
      <c r="AH54" s="4905"/>
    </row>
    <row r="55" spans="1:34" ht="15.75">
      <c r="A55" s="4950"/>
      <c r="B55" s="1853" t="s">
        <v>95</v>
      </c>
      <c r="C55" s="1854" t="s">
        <v>139</v>
      </c>
      <c r="D55" s="4926" t="s">
        <v>325</v>
      </c>
      <c r="E55" s="4899"/>
      <c r="F55" s="4899"/>
      <c r="G55" s="610" t="s">
        <v>55</v>
      </c>
      <c r="H55" s="4955" t="s">
        <v>593</v>
      </c>
      <c r="I55" s="4955"/>
      <c r="J55" s="610" t="s">
        <v>55</v>
      </c>
      <c r="K55" s="1773"/>
      <c r="L55" s="1773"/>
      <c r="M55" s="4899" t="s">
        <v>617</v>
      </c>
      <c r="N55" s="4899"/>
      <c r="O55" s="4899"/>
      <c r="P55" s="4899"/>
      <c r="Q55" s="1773"/>
      <c r="R55" s="1773"/>
      <c r="S55" s="4899" t="s">
        <v>617</v>
      </c>
      <c r="T55" s="4899"/>
      <c r="U55" s="4899"/>
      <c r="V55" s="4899"/>
      <c r="W55" s="4899"/>
      <c r="X55" s="1773"/>
      <c r="Y55" s="1773"/>
      <c r="Z55" s="1773"/>
      <c r="AA55" s="1773"/>
      <c r="AB55" s="1773"/>
      <c r="AC55" s="1773"/>
      <c r="AD55" s="1773"/>
      <c r="AE55" s="1773"/>
      <c r="AF55" s="1773"/>
      <c r="AG55" s="1773"/>
      <c r="AH55" s="1776"/>
    </row>
    <row r="56" spans="1:34">
      <c r="A56" s="4951"/>
      <c r="B56" s="1855" t="s">
        <v>142</v>
      </c>
      <c r="C56" s="1854" t="s">
        <v>143</v>
      </c>
      <c r="D56" s="1807"/>
      <c r="E56" s="1808"/>
      <c r="F56" s="1808"/>
      <c r="G56" s="1808"/>
      <c r="H56" s="1808"/>
      <c r="I56" s="1808"/>
      <c r="J56" s="1808"/>
      <c r="K56" s="1808"/>
      <c r="L56" s="1808"/>
      <c r="M56" s="4900" t="s">
        <v>617</v>
      </c>
      <c r="N56" s="4900"/>
      <c r="O56" s="4900"/>
      <c r="P56" s="4900"/>
      <c r="Q56" s="1808"/>
      <c r="R56" s="1808"/>
      <c r="S56" s="4900" t="s">
        <v>617</v>
      </c>
      <c r="T56" s="4900"/>
      <c r="U56" s="4900"/>
      <c r="V56" s="4900"/>
      <c r="W56" s="4900"/>
      <c r="X56" s="1771"/>
      <c r="Y56" s="1808"/>
      <c r="Z56" s="1808"/>
      <c r="AA56" s="1808"/>
      <c r="AB56" s="1808"/>
      <c r="AC56" s="1808"/>
      <c r="AD56" s="1808"/>
      <c r="AE56" s="1808"/>
      <c r="AF56" s="1808"/>
      <c r="AG56" s="1808"/>
      <c r="AH56" s="1809"/>
    </row>
    <row r="57" spans="1:34" ht="15.75">
      <c r="A57" s="4950" t="s">
        <v>144</v>
      </c>
      <c r="B57" s="1838" t="s">
        <v>145</v>
      </c>
      <c r="C57" s="1856" t="s">
        <v>148</v>
      </c>
      <c r="D57" s="1685" t="s">
        <v>55</v>
      </c>
      <c r="E57" s="4952" t="s">
        <v>593</v>
      </c>
      <c r="F57" s="4953"/>
      <c r="G57" s="4953"/>
      <c r="H57" s="4953"/>
      <c r="I57" s="4953"/>
      <c r="J57" s="4953"/>
      <c r="K57" s="4953"/>
      <c r="L57" s="4953"/>
      <c r="M57" s="4953"/>
      <c r="N57" s="4953"/>
      <c r="O57" s="4953"/>
      <c r="P57" s="4953"/>
      <c r="Q57" s="4908" t="s">
        <v>112</v>
      </c>
      <c r="R57" s="4909"/>
      <c r="S57" s="4909"/>
      <c r="T57" s="4909"/>
      <c r="U57" s="4909"/>
      <c r="V57" s="4909"/>
      <c r="W57" s="4910"/>
      <c r="X57" s="1857"/>
      <c r="Y57" s="1762"/>
      <c r="Z57" s="1784"/>
      <c r="AA57" s="1784"/>
      <c r="AB57" s="1784"/>
      <c r="AC57" s="1784"/>
      <c r="AD57" s="1784"/>
      <c r="AE57" s="1791"/>
      <c r="AF57" s="1784"/>
      <c r="AG57" s="1784"/>
      <c r="AH57" s="1858"/>
    </row>
    <row r="58" spans="1:34" ht="15.75">
      <c r="A58" s="4950"/>
      <c r="B58" s="1838" t="s">
        <v>145</v>
      </c>
      <c r="C58" s="1859" t="s">
        <v>618</v>
      </c>
      <c r="D58" s="1760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1761"/>
      <c r="R58" s="1761"/>
      <c r="S58" s="1761"/>
      <c r="T58" s="1761"/>
      <c r="U58" s="1761"/>
      <c r="V58" s="1761"/>
      <c r="W58" s="1761"/>
      <c r="X58" s="1860"/>
      <c r="Y58" s="1157"/>
      <c r="Z58" s="1805"/>
      <c r="AA58" s="1805"/>
      <c r="AB58" s="1805"/>
      <c r="AC58" s="1805"/>
      <c r="AD58" s="1805"/>
      <c r="AE58" s="1805"/>
      <c r="AF58" s="1805"/>
      <c r="AG58" s="1805"/>
      <c r="AH58" s="1805"/>
    </row>
    <row r="59" spans="1:34">
      <c r="A59" s="4950"/>
      <c r="B59" s="1822" t="s">
        <v>149</v>
      </c>
      <c r="C59" s="1861" t="s">
        <v>150</v>
      </c>
      <c r="D59" s="1791"/>
      <c r="E59" s="1784"/>
      <c r="F59" s="1779"/>
      <c r="G59" s="1779"/>
      <c r="H59" s="1779"/>
      <c r="I59" s="1779"/>
      <c r="J59" s="1779"/>
      <c r="K59" s="1779"/>
      <c r="L59" s="1779"/>
      <c r="M59" s="1779"/>
      <c r="N59" s="1779"/>
      <c r="O59" s="1779"/>
      <c r="P59" s="1779"/>
      <c r="Q59" s="1791"/>
      <c r="R59" s="1784"/>
      <c r="S59" s="1784"/>
      <c r="T59" s="1784"/>
      <c r="U59" s="1784"/>
      <c r="V59" s="1784"/>
      <c r="W59" s="1784"/>
      <c r="X59" s="1784"/>
      <c r="Y59" s="1784"/>
      <c r="Z59" s="1784"/>
      <c r="AA59" s="1779"/>
      <c r="AB59" s="1779"/>
      <c r="AC59" s="1786"/>
      <c r="AD59" s="1784"/>
      <c r="AE59" s="1784"/>
      <c r="AF59" s="1784"/>
      <c r="AG59" s="1785"/>
      <c r="AH59" s="1806" t="s">
        <v>251</v>
      </c>
    </row>
    <row r="60" spans="1:34">
      <c r="A60" s="4951"/>
      <c r="B60" s="1842" t="s">
        <v>149</v>
      </c>
      <c r="C60" s="1862" t="s">
        <v>151</v>
      </c>
      <c r="D60" s="1836"/>
      <c r="E60" s="1808"/>
      <c r="F60" s="1863"/>
      <c r="G60" s="1799"/>
      <c r="H60" s="1799"/>
      <c r="I60" s="1799"/>
      <c r="J60" s="1799"/>
      <c r="K60" s="1799"/>
      <c r="L60" s="1799"/>
      <c r="M60" s="1799"/>
      <c r="N60" s="1799"/>
      <c r="O60" s="1799"/>
      <c r="P60" s="1799"/>
      <c r="Q60" s="1808"/>
      <c r="R60" s="1829"/>
      <c r="S60" s="1864"/>
      <c r="T60" s="1836"/>
      <c r="U60" s="1808"/>
      <c r="V60" s="1808"/>
      <c r="W60" s="1808"/>
      <c r="X60" s="1808"/>
      <c r="Y60" s="1808"/>
      <c r="Z60" s="1808"/>
      <c r="AA60" s="1808"/>
      <c r="AB60" s="1808"/>
      <c r="AC60" s="1808"/>
      <c r="AD60" s="1808"/>
      <c r="AE60" s="1808"/>
      <c r="AF60" s="1808"/>
      <c r="AG60" s="1829"/>
      <c r="AH60" s="1809"/>
    </row>
    <row r="61" spans="1:34" ht="15.75">
      <c r="A61" s="4942" t="s">
        <v>13</v>
      </c>
      <c r="B61" s="1838" t="s">
        <v>77</v>
      </c>
      <c r="C61" s="1865" t="s">
        <v>153</v>
      </c>
      <c r="D61" s="1866"/>
      <c r="E61" s="1867"/>
      <c r="F61" s="1868"/>
      <c r="G61" s="1867"/>
      <c r="H61" s="1867"/>
      <c r="I61" s="1867"/>
      <c r="J61" s="1867"/>
      <c r="K61" s="1867"/>
      <c r="L61" s="1869"/>
      <c r="M61" s="1867"/>
      <c r="N61" s="1870"/>
      <c r="O61" s="1871"/>
      <c r="P61" s="1871"/>
      <c r="Q61" s="1871"/>
      <c r="R61" s="1871"/>
      <c r="S61" s="1871"/>
      <c r="T61" s="1871"/>
      <c r="U61" s="1871"/>
      <c r="V61" s="1871"/>
      <c r="W61" s="1871"/>
      <c r="X61" s="1871"/>
      <c r="Y61" s="1871"/>
      <c r="Z61" s="1415" t="s">
        <v>55</v>
      </c>
      <c r="AA61" s="4897" t="s">
        <v>597</v>
      </c>
      <c r="AB61" s="4897"/>
      <c r="AC61" s="4898"/>
      <c r="AD61" s="1415" t="s">
        <v>55</v>
      </c>
      <c r="AE61" s="1871"/>
      <c r="AF61" s="1871"/>
      <c r="AG61" s="1871"/>
      <c r="AH61" s="1872"/>
    </row>
    <row r="62" spans="1:34" ht="15.75">
      <c r="A62" s="4943"/>
      <c r="B62" s="1873" t="s">
        <v>392</v>
      </c>
      <c r="C62" s="1874" t="s">
        <v>78</v>
      </c>
      <c r="D62" s="1681" t="s">
        <v>55</v>
      </c>
      <c r="E62" s="4959" t="s">
        <v>593</v>
      </c>
      <c r="F62" s="4960"/>
      <c r="G62" s="4960"/>
      <c r="H62" s="4960"/>
      <c r="I62" s="4960"/>
      <c r="J62" s="4260"/>
      <c r="K62" s="4260"/>
      <c r="L62" s="4260"/>
      <c r="M62" s="4260"/>
      <c r="N62" s="4260"/>
      <c r="O62" s="4260"/>
      <c r="P62" s="4996"/>
      <c r="Q62" s="1687" t="s">
        <v>55</v>
      </c>
      <c r="R62" s="1875"/>
      <c r="S62" s="1876"/>
      <c r="T62" s="1690" t="s">
        <v>592</v>
      </c>
      <c r="U62" s="4914" t="s">
        <v>482</v>
      </c>
      <c r="V62" s="4928"/>
      <c r="W62" s="4929"/>
      <c r="X62" s="1877"/>
      <c r="Y62" s="1877"/>
      <c r="Z62" s="1877"/>
      <c r="AA62" s="1779"/>
      <c r="AB62" s="1779"/>
      <c r="AC62" s="1786"/>
      <c r="AD62" s="1878"/>
      <c r="AE62" s="1878"/>
      <c r="AF62" s="1878"/>
      <c r="AG62" s="1878"/>
      <c r="AH62" s="3637" t="s">
        <v>251</v>
      </c>
    </row>
    <row r="63" spans="1:34" ht="15.75">
      <c r="A63" s="4943"/>
      <c r="B63" s="1828" t="s">
        <v>81</v>
      </c>
      <c r="C63" s="1879" t="s">
        <v>396</v>
      </c>
      <c r="D63" s="1681" t="s">
        <v>55</v>
      </c>
      <c r="E63" s="4959" t="s">
        <v>593</v>
      </c>
      <c r="F63" s="4960"/>
      <c r="G63" s="4960"/>
      <c r="H63" s="4961"/>
      <c r="I63" s="610" t="s">
        <v>55</v>
      </c>
      <c r="J63" s="1476"/>
      <c r="K63" s="1686"/>
      <c r="L63" s="5001" t="s">
        <v>619</v>
      </c>
      <c r="M63" s="5002"/>
      <c r="N63" s="5003"/>
      <c r="O63" s="5003"/>
      <c r="P63" s="5003"/>
      <c r="Q63" s="5003"/>
      <c r="R63" s="5003"/>
      <c r="S63" s="5003"/>
      <c r="T63" s="5003"/>
      <c r="U63" s="5003"/>
      <c r="V63" s="5004"/>
      <c r="W63" s="1880"/>
      <c r="X63" s="1880"/>
      <c r="Y63" s="1881"/>
      <c r="Z63" s="1881"/>
      <c r="AA63" s="1882"/>
      <c r="AB63" s="1883"/>
      <c r="AC63" s="1883"/>
      <c r="AD63" s="1883"/>
      <c r="AE63" s="1883"/>
      <c r="AF63" s="1883"/>
      <c r="AG63" s="1883"/>
      <c r="AH63" s="3637" t="s">
        <v>251</v>
      </c>
    </row>
    <row r="64" spans="1:34" ht="15.75">
      <c r="A64" s="4943"/>
      <c r="B64" s="1828" t="s">
        <v>95</v>
      </c>
      <c r="C64" s="1884" t="s">
        <v>86</v>
      </c>
      <c r="D64" s="1885"/>
      <c r="E64" s="1886"/>
      <c r="F64" s="1886"/>
      <c r="G64" s="1886"/>
      <c r="H64" s="1277"/>
      <c r="I64" s="750"/>
      <c r="J64" s="1772"/>
      <c r="K64" s="1887"/>
      <c r="L64" s="1888"/>
      <c r="M64" s="1699"/>
      <c r="N64" s="4927" t="s">
        <v>482</v>
      </c>
      <c r="O64" s="4927"/>
      <c r="P64" s="4927"/>
      <c r="Q64" s="4927"/>
      <c r="R64" s="4927"/>
      <c r="S64" s="4927"/>
      <c r="T64" s="4927"/>
      <c r="U64" s="4927"/>
      <c r="V64" s="4927"/>
      <c r="W64" s="4927"/>
      <c r="X64" s="4927"/>
      <c r="Y64" s="4927"/>
      <c r="Z64" s="4927"/>
      <c r="AA64" s="4927"/>
      <c r="AB64" s="4927"/>
      <c r="AC64" s="4927"/>
      <c r="AD64" s="4927"/>
      <c r="AE64" s="4927"/>
      <c r="AF64" s="4927"/>
      <c r="AG64" s="4927"/>
      <c r="AH64" s="1889"/>
    </row>
    <row r="65" spans="1:34">
      <c r="A65" s="4943"/>
      <c r="B65" s="1828" t="s">
        <v>95</v>
      </c>
      <c r="C65" s="1884" t="s">
        <v>620</v>
      </c>
      <c r="D65" s="1885"/>
      <c r="E65" s="1886"/>
      <c r="F65" s="1886"/>
      <c r="G65" s="1886"/>
      <c r="H65" s="1277"/>
      <c r="I65" s="750"/>
      <c r="J65" s="1772"/>
      <c r="K65" s="1887"/>
      <c r="L65" s="1887"/>
      <c r="M65" s="1477"/>
      <c r="N65" s="1786"/>
      <c r="O65" s="1772"/>
      <c r="P65" s="1868"/>
      <c r="Q65" s="1887"/>
      <c r="R65" s="1887"/>
      <c r="S65" s="1888"/>
      <c r="T65" s="1691" t="s">
        <v>592</v>
      </c>
      <c r="U65" s="1890"/>
      <c r="V65" s="1886"/>
      <c r="W65" s="1867"/>
      <c r="X65" s="1867"/>
      <c r="Y65" s="1867"/>
      <c r="Z65" s="1867"/>
      <c r="AA65" s="1779"/>
      <c r="AB65" s="1886"/>
      <c r="AC65" s="1786"/>
      <c r="AD65" s="1867"/>
      <c r="AE65" s="1867"/>
      <c r="AF65" s="1867"/>
      <c r="AG65" s="1867"/>
      <c r="AH65" s="3637" t="s">
        <v>251</v>
      </c>
    </row>
    <row r="66" spans="1:34" ht="15.75">
      <c r="A66" s="4943"/>
      <c r="B66" s="1828" t="s">
        <v>95</v>
      </c>
      <c r="C66" s="1861" t="s">
        <v>303</v>
      </c>
      <c r="D66" s="1694" t="s">
        <v>55</v>
      </c>
      <c r="E66" s="4959" t="s">
        <v>593</v>
      </c>
      <c r="F66" s="4960"/>
      <c r="G66" s="4960"/>
      <c r="H66" s="610" t="s">
        <v>55</v>
      </c>
      <c r="I66" s="750"/>
      <c r="J66" s="1772"/>
      <c r="K66" s="1887"/>
      <c r="L66" s="1888"/>
      <c r="M66" s="1477"/>
      <c r="N66" s="1786"/>
      <c r="O66" s="1772"/>
      <c r="P66" s="1868"/>
      <c r="Q66" s="1887"/>
      <c r="R66" s="1886"/>
      <c r="S66" s="1886"/>
      <c r="T66" s="1883"/>
      <c r="U66" s="1883"/>
      <c r="V66" s="1883"/>
      <c r="W66" s="1886"/>
      <c r="X66" s="1886"/>
      <c r="Y66" s="1886"/>
      <c r="Z66" s="1886"/>
      <c r="AA66" s="1886"/>
      <c r="AB66" s="1886"/>
      <c r="AC66" s="1886"/>
      <c r="AD66" s="1886"/>
      <c r="AE66" s="1886"/>
      <c r="AF66" s="1886"/>
      <c r="AG66" s="1867"/>
      <c r="AH66" s="3637" t="s">
        <v>251</v>
      </c>
    </row>
    <row r="67" spans="1:34">
      <c r="A67" s="4944"/>
      <c r="B67" s="1842" t="s">
        <v>155</v>
      </c>
      <c r="C67" s="1824" t="s">
        <v>532</v>
      </c>
      <c r="D67" s="1891"/>
      <c r="E67" s="1892"/>
      <c r="F67" s="1892"/>
      <c r="G67" s="1892"/>
      <c r="H67" s="1892"/>
      <c r="I67" s="1893"/>
      <c r="J67" s="1892"/>
      <c r="K67" s="1894"/>
      <c r="L67" s="1894"/>
      <c r="M67" s="1892"/>
      <c r="N67" s="1893"/>
      <c r="O67" s="1892"/>
      <c r="P67" s="1894"/>
      <c r="Q67" s="1895"/>
      <c r="R67" s="1892"/>
      <c r="S67" s="1893"/>
      <c r="T67" s="1896"/>
      <c r="U67" s="1896"/>
      <c r="V67" s="1896"/>
      <c r="W67" s="1895"/>
      <c r="X67" s="1892"/>
      <c r="Y67" s="1892"/>
      <c r="Z67" s="1892"/>
      <c r="AA67" s="1892"/>
      <c r="AB67" s="1892"/>
      <c r="AC67" s="1892"/>
      <c r="AD67" s="1892"/>
      <c r="AE67" s="1892"/>
      <c r="AF67" s="1892"/>
      <c r="AG67" s="1892"/>
      <c r="AH67" s="1897"/>
    </row>
    <row r="71" spans="1:34">
      <c r="V71" t="s">
        <v>30</v>
      </c>
    </row>
  </sheetData>
  <mergeCells count="80">
    <mergeCell ref="D42:P42"/>
    <mergeCell ref="J43:L43"/>
    <mergeCell ref="S4:W4"/>
    <mergeCell ref="E66:G66"/>
    <mergeCell ref="D1:AH1"/>
    <mergeCell ref="J4:M4"/>
    <mergeCell ref="E62:P62"/>
    <mergeCell ref="E13:P13"/>
    <mergeCell ref="D7:I7"/>
    <mergeCell ref="R26:V26"/>
    <mergeCell ref="M56:P56"/>
    <mergeCell ref="L63:V63"/>
    <mergeCell ref="D55:F55"/>
    <mergeCell ref="M55:P55"/>
    <mergeCell ref="D8:G8"/>
    <mergeCell ref="H8:Q8"/>
    <mergeCell ref="A6:C6"/>
    <mergeCell ref="A20:C20"/>
    <mergeCell ref="A12:C12"/>
    <mergeCell ref="A13:C13"/>
    <mergeCell ref="A14:C14"/>
    <mergeCell ref="A15:C15"/>
    <mergeCell ref="A16:C16"/>
    <mergeCell ref="A18:C18"/>
    <mergeCell ref="A17:C17"/>
    <mergeCell ref="A7:C7"/>
    <mergeCell ref="A9:C9"/>
    <mergeCell ref="A10:C10"/>
    <mergeCell ref="A11:C11"/>
    <mergeCell ref="A19:C19"/>
    <mergeCell ref="A8:C8"/>
    <mergeCell ref="A1:C1"/>
    <mergeCell ref="A2:C2"/>
    <mergeCell ref="A3:C3"/>
    <mergeCell ref="A4:C4"/>
    <mergeCell ref="A5:C5"/>
    <mergeCell ref="A61:A67"/>
    <mergeCell ref="A21:C21"/>
    <mergeCell ref="A22:C22"/>
    <mergeCell ref="A26:A28"/>
    <mergeCell ref="L26:Q26"/>
    <mergeCell ref="A57:A60"/>
    <mergeCell ref="E57:P57"/>
    <mergeCell ref="A29:A31"/>
    <mergeCell ref="H55:I55"/>
    <mergeCell ref="A32:A37"/>
    <mergeCell ref="D54:G54"/>
    <mergeCell ref="E24:F24"/>
    <mergeCell ref="E63:H63"/>
    <mergeCell ref="A54:A56"/>
    <mergeCell ref="D32:H32"/>
    <mergeCell ref="A38:A53"/>
    <mergeCell ref="I29:L29"/>
    <mergeCell ref="E31:G31"/>
    <mergeCell ref="E35:I35"/>
    <mergeCell ref="S41:AD41"/>
    <mergeCell ref="I31:K31"/>
    <mergeCell ref="J40:M40"/>
    <mergeCell ref="W30:AE30"/>
    <mergeCell ref="D49:H49"/>
    <mergeCell ref="D52:G52"/>
    <mergeCell ref="Y45:AH45"/>
    <mergeCell ref="N64:AG64"/>
    <mergeCell ref="U62:W62"/>
    <mergeCell ref="S7:AH7"/>
    <mergeCell ref="AA61:AC61"/>
    <mergeCell ref="S55:W55"/>
    <mergeCell ref="S56:W56"/>
    <mergeCell ref="Y48:AH48"/>
    <mergeCell ref="Y51:AH51"/>
    <mergeCell ref="Y53:AH53"/>
    <mergeCell ref="V54:AH54"/>
    <mergeCell ref="AA22:AC22"/>
    <mergeCell ref="Q57:W57"/>
    <mergeCell ref="S24:W24"/>
    <mergeCell ref="AG43:AH43"/>
    <mergeCell ref="Y42:AH42"/>
    <mergeCell ref="Z21:AD21"/>
    <mergeCell ref="AD28:AG28"/>
    <mergeCell ref="O34:AH34"/>
  </mergeCells>
  <pageMargins left="0.25" right="0.25" top="0.75" bottom="0.75" header="0.3" footer="0.3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1A6B-82AA-4CEB-96AE-54639FC16AC8}">
  <sheetPr>
    <pageSetUpPr fitToPage="1"/>
  </sheetPr>
  <dimension ref="A1:FD68"/>
  <sheetViews>
    <sheetView zoomScale="80" zoomScaleNormal="80" workbookViewId="0">
      <pane xSplit="3" ySplit="4" topLeftCell="E42" activePane="bottomRight" state="frozen"/>
      <selection pane="bottomRight" activeCell="E42" sqref="E42"/>
      <selection pane="bottomLeft"/>
      <selection pane="topRight"/>
    </sheetView>
  </sheetViews>
  <sheetFormatPr defaultRowHeight="15"/>
  <cols>
    <col min="3" max="3" width="11.5703125" bestFit="1" customWidth="1"/>
    <col min="7" max="7" width="10.5703125" bestFit="1" customWidth="1"/>
    <col min="36" max="159" width="9.140625" style="283"/>
  </cols>
  <sheetData>
    <row r="1" spans="1:34">
      <c r="A1" s="5065" t="s">
        <v>29</v>
      </c>
      <c r="B1" s="5066"/>
      <c r="C1" s="5067"/>
      <c r="D1" s="5073" t="s">
        <v>621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3"/>
      <c r="AG1" s="5073"/>
      <c r="AH1" s="5074"/>
    </row>
    <row r="2" spans="1:34">
      <c r="A2" s="5068" t="s">
        <v>31</v>
      </c>
      <c r="B2" s="4377"/>
      <c r="C2" s="5069"/>
      <c r="D2" s="3695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5070" t="s">
        <v>32</v>
      </c>
      <c r="B3" s="4378"/>
      <c r="C3" s="5071"/>
      <c r="D3" s="1982" t="s">
        <v>35</v>
      </c>
      <c r="E3" s="19" t="s">
        <v>36</v>
      </c>
      <c r="F3" s="19" t="s">
        <v>36</v>
      </c>
      <c r="G3" s="3703" t="s">
        <v>37</v>
      </c>
      <c r="H3" s="3703" t="s">
        <v>33</v>
      </c>
      <c r="I3" s="3703" t="s">
        <v>34</v>
      </c>
      <c r="J3" s="3703" t="s">
        <v>33</v>
      </c>
      <c r="K3" s="3703" t="s">
        <v>35</v>
      </c>
      <c r="L3" s="19" t="s">
        <v>36</v>
      </c>
      <c r="M3" s="19" t="s">
        <v>36</v>
      </c>
      <c r="N3" s="3703" t="s">
        <v>37</v>
      </c>
      <c r="O3" s="3703" t="s">
        <v>33</v>
      </c>
      <c r="P3" s="3703" t="s">
        <v>34</v>
      </c>
      <c r="Q3" s="40" t="s">
        <v>33</v>
      </c>
      <c r="R3" s="3703" t="s">
        <v>35</v>
      </c>
      <c r="S3" s="19" t="s">
        <v>36</v>
      </c>
      <c r="T3" s="19" t="s">
        <v>36</v>
      </c>
      <c r="U3" s="3703" t="s">
        <v>37</v>
      </c>
      <c r="V3" s="41" t="s">
        <v>33</v>
      </c>
      <c r="W3" s="41" t="s">
        <v>34</v>
      </c>
      <c r="X3" s="41" t="s">
        <v>33</v>
      </c>
      <c r="Y3" s="41" t="s">
        <v>35</v>
      </c>
      <c r="Z3" s="19" t="s">
        <v>36</v>
      </c>
      <c r="AA3" s="19" t="s">
        <v>36</v>
      </c>
      <c r="AB3" s="19" t="s">
        <v>37</v>
      </c>
      <c r="AC3" s="1919" t="s">
        <v>33</v>
      </c>
      <c r="AD3" s="41" t="s">
        <v>34</v>
      </c>
      <c r="AE3" s="41" t="s">
        <v>33</v>
      </c>
      <c r="AF3" s="19" t="s">
        <v>35</v>
      </c>
      <c r="AG3" s="19" t="s">
        <v>36</v>
      </c>
      <c r="AH3" s="1928" t="s">
        <v>36</v>
      </c>
    </row>
    <row r="4" spans="1:34" ht="15.75">
      <c r="A4" s="4831" t="s">
        <v>38</v>
      </c>
      <c r="B4" s="4249"/>
      <c r="C4" s="5072"/>
      <c r="D4" s="1983"/>
      <c r="E4" s="787"/>
      <c r="F4" s="788"/>
      <c r="G4" s="788"/>
      <c r="H4" s="788"/>
      <c r="I4" s="789"/>
      <c r="J4" s="850"/>
      <c r="K4" s="850"/>
      <c r="L4" s="850"/>
      <c r="M4" s="790"/>
      <c r="N4" s="791"/>
      <c r="O4" s="791"/>
      <c r="P4" s="791"/>
      <c r="Q4" s="787"/>
      <c r="R4" s="5075" t="s">
        <v>622</v>
      </c>
      <c r="S4" s="5076"/>
      <c r="T4" s="5076"/>
      <c r="U4" s="5076"/>
      <c r="V4" s="5076"/>
      <c r="W4" s="5076"/>
      <c r="X4" s="5076"/>
      <c r="Y4" s="5076"/>
      <c r="Z4" s="5076"/>
      <c r="AA4" s="5076"/>
      <c r="AB4" s="5076"/>
      <c r="AC4" s="5076"/>
      <c r="AD4" s="5076"/>
      <c r="AE4" s="5076"/>
      <c r="AF4" s="5076"/>
      <c r="AG4" s="5076"/>
      <c r="AH4" s="5077"/>
    </row>
    <row r="5" spans="1:34">
      <c r="A5" s="4821" t="s">
        <v>42</v>
      </c>
      <c r="B5" s="4286"/>
      <c r="C5" s="4646"/>
      <c r="D5" s="4349" t="s">
        <v>623</v>
      </c>
      <c r="E5" s="4349"/>
      <c r="F5" s="4349"/>
      <c r="G5" s="4349"/>
      <c r="H5" s="4349"/>
      <c r="I5" s="4349"/>
      <c r="J5" s="4349"/>
      <c r="K5" s="4349"/>
      <c r="L5" s="4349"/>
      <c r="M5" s="4349"/>
      <c r="N5" s="4349"/>
      <c r="O5" s="4349"/>
      <c r="P5" s="4349"/>
      <c r="Q5" s="4349"/>
      <c r="R5" s="4349"/>
      <c r="S5" s="4349"/>
      <c r="T5" s="4349"/>
      <c r="U5" s="4349"/>
      <c r="V5" s="4350"/>
      <c r="W5" s="537"/>
      <c r="X5" s="537"/>
      <c r="Y5" s="939"/>
      <c r="Z5" s="939"/>
      <c r="AA5" s="939"/>
      <c r="AB5" s="537"/>
      <c r="AC5" s="537"/>
      <c r="AD5" s="537"/>
      <c r="AE5" s="846"/>
      <c r="AF5" s="537"/>
      <c r="AG5" s="931"/>
      <c r="AH5" s="984"/>
    </row>
    <row r="6" spans="1:34">
      <c r="A6" s="4061" t="s">
        <v>165</v>
      </c>
      <c r="B6" s="4061"/>
      <c r="C6" s="5045"/>
      <c r="D6" s="756"/>
      <c r="E6" s="380"/>
      <c r="F6" s="537"/>
      <c r="G6" s="537"/>
      <c r="H6" s="537"/>
      <c r="I6" s="537"/>
      <c r="J6" s="537"/>
      <c r="K6" s="537"/>
      <c r="L6" s="537"/>
      <c r="M6" s="537"/>
      <c r="N6" s="537"/>
      <c r="O6" s="537"/>
      <c r="P6" s="537"/>
      <c r="Q6" s="537"/>
      <c r="R6" s="537"/>
      <c r="S6" s="537"/>
      <c r="T6" s="537"/>
      <c r="U6" s="537"/>
      <c r="V6" s="537"/>
      <c r="W6" s="537"/>
      <c r="X6" s="933"/>
      <c r="Y6" s="380"/>
      <c r="Z6" s="380"/>
      <c r="AA6" s="380"/>
      <c r="AB6" s="756"/>
      <c r="AC6" s="380"/>
      <c r="AD6" s="380"/>
      <c r="AE6" s="535"/>
      <c r="AF6" s="5078" t="s">
        <v>624</v>
      </c>
      <c r="AG6" s="5079"/>
      <c r="AH6" s="5080"/>
    </row>
    <row r="7" spans="1:34">
      <c r="A7" s="4265" t="s">
        <v>407</v>
      </c>
      <c r="B7" s="4266"/>
      <c r="C7" s="5046"/>
      <c r="D7" s="756"/>
      <c r="E7" s="380"/>
      <c r="F7" s="537"/>
      <c r="G7" s="537"/>
      <c r="H7" s="537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933"/>
      <c r="Y7" s="380"/>
      <c r="Z7" s="380"/>
      <c r="AA7" s="380"/>
      <c r="AB7" s="756"/>
      <c r="AC7" s="380"/>
      <c r="AD7" s="380"/>
      <c r="AE7" s="535"/>
      <c r="AF7" s="380"/>
      <c r="AG7" s="901"/>
      <c r="AH7" s="985"/>
    </row>
    <row r="8" spans="1:34">
      <c r="A8" s="5048" t="s">
        <v>262</v>
      </c>
      <c r="B8" s="5048"/>
      <c r="C8" s="5049"/>
      <c r="D8" s="4441" t="s">
        <v>446</v>
      </c>
      <c r="E8" s="4441"/>
      <c r="F8" s="4441"/>
      <c r="G8" s="4441"/>
      <c r="H8" s="4441"/>
      <c r="I8" s="4441"/>
      <c r="J8" s="4441"/>
      <c r="K8" s="4441"/>
      <c r="L8" s="4441"/>
      <c r="M8" s="4441"/>
      <c r="N8" s="4441"/>
      <c r="O8" s="4441"/>
      <c r="P8" s="4441"/>
      <c r="Q8" s="4441"/>
      <c r="R8" s="4441"/>
      <c r="S8" s="4441"/>
      <c r="T8" s="4441"/>
      <c r="U8" s="4441"/>
      <c r="V8" s="4441"/>
      <c r="W8" s="4441"/>
      <c r="X8" s="4441"/>
      <c r="Y8" s="363"/>
      <c r="Z8" s="363"/>
      <c r="AA8" s="363"/>
      <c r="AB8" s="822" t="s">
        <v>30</v>
      </c>
      <c r="AC8" s="380"/>
      <c r="AD8" s="380"/>
      <c r="AE8" s="535"/>
      <c r="AF8" s="380"/>
      <c r="AG8" s="901"/>
      <c r="AH8" s="985"/>
    </row>
    <row r="9" spans="1:34">
      <c r="A9" s="4391" t="s">
        <v>225</v>
      </c>
      <c r="B9" s="4391"/>
      <c r="C9" s="5057"/>
      <c r="D9" s="756"/>
      <c r="E9" s="380"/>
      <c r="F9" s="380"/>
      <c r="G9" s="779"/>
      <c r="H9" s="779"/>
      <c r="I9" s="779"/>
      <c r="J9" s="779"/>
      <c r="K9" s="779"/>
      <c r="L9" s="361"/>
      <c r="M9" s="361"/>
      <c r="N9" s="380"/>
      <c r="O9" s="380"/>
      <c r="P9" s="779"/>
      <c r="Q9" s="779"/>
      <c r="R9" s="779"/>
      <c r="S9" s="779"/>
      <c r="T9" s="779"/>
      <c r="U9" s="779"/>
      <c r="V9" s="779"/>
      <c r="W9" s="779"/>
      <c r="X9" s="847"/>
      <c r="Y9" s="779"/>
      <c r="Z9" s="779"/>
      <c r="AA9" s="779"/>
      <c r="AB9" s="822"/>
      <c r="AC9" s="380"/>
      <c r="AD9" s="380"/>
      <c r="AE9" s="847"/>
      <c r="AF9" s="779"/>
      <c r="AG9" s="932"/>
      <c r="AH9" s="986"/>
    </row>
    <row r="10" spans="1:34">
      <c r="A10" s="4381" t="s">
        <v>272</v>
      </c>
      <c r="B10" s="4382"/>
      <c r="C10" s="5047"/>
      <c r="D10" s="822"/>
      <c r="E10" s="779"/>
      <c r="F10" s="779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9"/>
      <c r="T10" s="779"/>
      <c r="U10" s="779"/>
      <c r="V10" s="779"/>
      <c r="W10" s="779"/>
      <c r="X10" s="847"/>
      <c r="Y10" s="779"/>
      <c r="Z10" s="779"/>
      <c r="AA10" s="779"/>
      <c r="AB10" s="822"/>
      <c r="AC10" s="779"/>
      <c r="AD10" s="380"/>
      <c r="AE10" s="847"/>
      <c r="AF10" s="779"/>
      <c r="AG10" s="932"/>
      <c r="AH10" s="986"/>
    </row>
    <row r="11" spans="1:34" ht="22.5">
      <c r="A11" s="4380" t="s">
        <v>265</v>
      </c>
      <c r="B11" s="4380"/>
      <c r="C11" s="5058"/>
      <c r="D11" s="822"/>
      <c r="E11" s="779"/>
      <c r="F11" s="779"/>
      <c r="G11" s="779"/>
      <c r="H11" s="779"/>
      <c r="I11" s="779"/>
      <c r="J11" s="779"/>
      <c r="K11" s="1922" t="s">
        <v>625</v>
      </c>
      <c r="L11" s="779"/>
      <c r="M11" s="779"/>
      <c r="N11" s="779"/>
      <c r="O11" s="779"/>
      <c r="P11" s="779"/>
      <c r="Q11" s="779"/>
      <c r="R11" s="779"/>
      <c r="S11" s="779"/>
      <c r="T11" s="779"/>
      <c r="U11" s="779"/>
      <c r="V11" s="779"/>
      <c r="W11" s="779"/>
      <c r="X11" s="847"/>
      <c r="Y11" s="779"/>
      <c r="Z11" s="779"/>
      <c r="AA11" s="779"/>
      <c r="AB11" s="822"/>
      <c r="AC11" s="779"/>
      <c r="AD11" s="380"/>
      <c r="AE11" s="847"/>
      <c r="AF11" s="779"/>
      <c r="AG11" s="932"/>
      <c r="AH11" s="986"/>
    </row>
    <row r="12" spans="1:34" ht="15.75">
      <c r="A12" s="5050" t="s">
        <v>60</v>
      </c>
      <c r="B12" s="4834"/>
      <c r="C12" s="5051"/>
      <c r="D12" s="822"/>
      <c r="E12" s="780"/>
      <c r="F12" s="780"/>
      <c r="G12" s="779"/>
      <c r="H12" s="779"/>
      <c r="I12" s="779"/>
      <c r="J12" s="779"/>
      <c r="K12" s="779"/>
      <c r="L12" s="779"/>
      <c r="M12" s="779"/>
      <c r="N12" s="779"/>
      <c r="O12" s="779"/>
      <c r="P12" s="779"/>
      <c r="Q12" s="779"/>
      <c r="R12" s="779"/>
      <c r="S12" s="779"/>
      <c r="T12" s="779"/>
      <c r="U12" s="779"/>
      <c r="V12" s="779"/>
      <c r="W12" s="779"/>
      <c r="X12" s="779"/>
      <c r="Y12" s="778"/>
      <c r="Z12" s="778"/>
      <c r="AA12" s="778"/>
      <c r="AB12" s="779"/>
      <c r="AC12" s="380"/>
      <c r="AD12" s="380"/>
      <c r="AE12" s="847"/>
      <c r="AF12" s="779"/>
      <c r="AG12" s="932"/>
      <c r="AH12" s="986"/>
    </row>
    <row r="13" spans="1:34" ht="15.75">
      <c r="A13" s="5052" t="s">
        <v>315</v>
      </c>
      <c r="B13" s="4835"/>
      <c r="C13" s="5053"/>
      <c r="D13" s="822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380"/>
      <c r="AD13" s="374"/>
      <c r="AE13" s="930"/>
      <c r="AF13" s="779"/>
      <c r="AG13" s="932"/>
      <c r="AH13" s="986"/>
    </row>
    <row r="14" spans="1:34">
      <c r="A14" s="4622" t="s">
        <v>63</v>
      </c>
      <c r="B14" s="4623"/>
      <c r="C14" s="5054"/>
      <c r="D14" s="822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779"/>
      <c r="AB14" s="779"/>
      <c r="AC14" s="380"/>
      <c r="AD14" s="380"/>
      <c r="AE14" s="847"/>
      <c r="AF14" s="779"/>
      <c r="AG14" s="932"/>
      <c r="AH14" s="986"/>
    </row>
    <row r="15" spans="1:34">
      <c r="A15" s="5055" t="s">
        <v>54</v>
      </c>
      <c r="B15" s="4765"/>
      <c r="C15" s="5056"/>
      <c r="D15" s="822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50"/>
      <c r="U15" s="779"/>
      <c r="V15" s="779"/>
      <c r="W15" s="779"/>
      <c r="X15" s="779"/>
      <c r="Y15" s="779"/>
      <c r="Z15" s="779"/>
      <c r="AA15" s="779"/>
      <c r="AB15" s="779"/>
      <c r="AC15" s="380"/>
      <c r="AD15" s="380"/>
      <c r="AE15" s="847"/>
      <c r="AF15" s="779"/>
      <c r="AG15" s="932"/>
      <c r="AH15" s="986"/>
    </row>
    <row r="16" spans="1:34">
      <c r="A16" s="5033" t="s">
        <v>365</v>
      </c>
      <c r="B16" s="4360"/>
      <c r="C16" s="5034"/>
      <c r="D16" s="822"/>
      <c r="E16" s="779"/>
      <c r="F16" s="779"/>
      <c r="G16" s="779"/>
      <c r="H16" s="779"/>
      <c r="I16" s="779"/>
      <c r="J16" s="779"/>
      <c r="K16" s="779"/>
      <c r="L16" s="779"/>
      <c r="M16" s="779"/>
      <c r="N16" s="778"/>
      <c r="O16" s="2217" t="s">
        <v>626</v>
      </c>
      <c r="P16" s="779"/>
      <c r="Q16" s="779"/>
      <c r="R16" s="779"/>
      <c r="S16" s="779"/>
      <c r="T16" s="750"/>
      <c r="U16" s="779"/>
      <c r="V16" s="779"/>
      <c r="W16" s="779"/>
      <c r="X16" s="794"/>
      <c r="Y16" s="779"/>
      <c r="Z16" s="779"/>
      <c r="AA16" s="779"/>
      <c r="AB16" s="780"/>
      <c r="AC16" s="852"/>
      <c r="AD16" s="852"/>
      <c r="AE16" s="783"/>
      <c r="AF16" s="779"/>
      <c r="AG16" s="932"/>
      <c r="AH16" s="986"/>
    </row>
    <row r="17" spans="1:160">
      <c r="A17" s="5041" t="s">
        <v>520</v>
      </c>
      <c r="B17" s="4763"/>
      <c r="C17" s="4764"/>
      <c r="D17" s="822"/>
      <c r="E17" s="779"/>
      <c r="F17" s="779"/>
      <c r="G17" s="780"/>
      <c r="H17" s="1264"/>
      <c r="I17" s="785"/>
      <c r="J17" s="780"/>
      <c r="K17" s="780"/>
      <c r="L17" s="779"/>
      <c r="M17" s="779"/>
      <c r="N17" s="779"/>
      <c r="O17" s="778"/>
      <c r="P17" s="779"/>
      <c r="Q17" s="779"/>
      <c r="R17" s="779"/>
      <c r="S17" s="779"/>
      <c r="T17" s="750"/>
      <c r="U17" s="779"/>
      <c r="V17" s="779"/>
      <c r="W17" s="779"/>
      <c r="X17" s="794"/>
      <c r="Y17" s="779"/>
      <c r="Z17" s="779"/>
      <c r="AA17" s="779"/>
      <c r="AB17" s="780"/>
      <c r="AC17" s="852"/>
      <c r="AD17" s="852"/>
      <c r="AE17" s="783"/>
      <c r="AF17" s="779"/>
      <c r="AG17" s="932"/>
      <c r="AH17" s="986"/>
    </row>
    <row r="18" spans="1:160">
      <c r="A18" s="5035" t="s">
        <v>627</v>
      </c>
      <c r="B18" s="5035"/>
      <c r="C18" s="5036"/>
      <c r="D18" s="822"/>
      <c r="E18" s="779"/>
      <c r="F18" s="930"/>
      <c r="G18" s="4703" t="s">
        <v>628</v>
      </c>
      <c r="H18" s="4703"/>
      <c r="I18" s="4703"/>
      <c r="J18" s="4703"/>
      <c r="K18" s="4703"/>
      <c r="L18" s="822"/>
      <c r="M18" s="779"/>
      <c r="N18" s="380"/>
      <c r="O18" s="380"/>
      <c r="P18" s="374"/>
      <c r="Q18" s="374"/>
      <c r="R18" s="779"/>
      <c r="S18" s="779"/>
      <c r="T18" s="779"/>
      <c r="U18" s="779"/>
      <c r="V18" s="779"/>
      <c r="W18" s="779"/>
      <c r="X18" s="779"/>
      <c r="Y18" s="779"/>
      <c r="Z18" s="779"/>
      <c r="AA18" s="779"/>
      <c r="AB18" s="779"/>
      <c r="AC18" s="779"/>
      <c r="AD18" s="779"/>
      <c r="AE18" s="847"/>
      <c r="AF18" s="779"/>
      <c r="AG18" s="779"/>
      <c r="AH18" s="804"/>
    </row>
    <row r="19" spans="1:160">
      <c r="A19" s="2189"/>
      <c r="B19" s="2190" t="s">
        <v>629</v>
      </c>
      <c r="C19" s="2191"/>
      <c r="D19" s="793"/>
      <c r="E19" s="778"/>
      <c r="F19" s="796"/>
      <c r="G19" s="2188"/>
      <c r="H19" s="3663"/>
      <c r="I19" s="3663"/>
      <c r="J19" s="2188"/>
      <c r="K19" s="3662"/>
      <c r="L19" s="793"/>
      <c r="M19" s="778"/>
      <c r="N19" s="536"/>
      <c r="O19" s="536"/>
      <c r="P19" s="795"/>
      <c r="Q19" s="795"/>
      <c r="R19" s="778"/>
      <c r="S19" s="778"/>
      <c r="T19" s="781"/>
      <c r="U19" s="781"/>
      <c r="V19" s="781"/>
      <c r="W19" s="781"/>
      <c r="X19" s="781"/>
      <c r="Y19" s="781"/>
      <c r="Z19" s="781"/>
      <c r="AA19" s="779"/>
      <c r="AB19" s="779"/>
      <c r="AC19" s="779"/>
      <c r="AD19" s="779"/>
      <c r="AE19" s="847"/>
      <c r="AF19" s="779"/>
      <c r="AG19" s="779"/>
      <c r="AH19" s="804"/>
    </row>
    <row r="20" spans="1:160">
      <c r="A20" s="4405" t="s">
        <v>540</v>
      </c>
      <c r="B20" s="4529"/>
      <c r="C20" s="5037"/>
      <c r="D20" s="793"/>
      <c r="E20" s="778"/>
      <c r="F20" s="781"/>
      <c r="G20" s="778"/>
      <c r="H20" s="5059" t="s">
        <v>630</v>
      </c>
      <c r="I20" s="5059"/>
      <c r="J20" s="778"/>
      <c r="K20" s="781"/>
      <c r="L20" s="778"/>
      <c r="M20" s="795"/>
      <c r="N20" s="778"/>
      <c r="O20" s="778"/>
      <c r="P20" s="795"/>
      <c r="Q20" s="795"/>
      <c r="R20" s="795"/>
      <c r="S20" s="795"/>
      <c r="T20" s="796"/>
      <c r="U20" s="796"/>
      <c r="V20" s="796"/>
      <c r="W20" s="796"/>
      <c r="X20" s="796"/>
      <c r="Y20" s="796"/>
      <c r="Z20" s="796"/>
      <c r="AA20" s="779"/>
      <c r="AB20" s="779"/>
      <c r="AC20" s="779"/>
      <c r="AD20" s="779"/>
      <c r="AE20" s="847"/>
      <c r="AF20" s="779"/>
      <c r="AG20" s="779"/>
      <c r="AH20" s="804"/>
    </row>
    <row r="21" spans="1:160">
      <c r="A21" s="4399" t="s">
        <v>541</v>
      </c>
      <c r="B21" s="4316"/>
      <c r="C21" s="4667"/>
      <c r="D21" s="822"/>
      <c r="E21" s="779"/>
      <c r="F21" s="779"/>
      <c r="G21" s="778"/>
      <c r="H21" s="779"/>
      <c r="I21" s="779"/>
      <c r="J21" s="779"/>
      <c r="K21" s="779"/>
      <c r="L21" s="778"/>
      <c r="M21" s="778"/>
      <c r="N21" s="778"/>
      <c r="O21" s="778"/>
      <c r="P21" s="778"/>
      <c r="Q21" s="778"/>
      <c r="R21" s="778"/>
      <c r="S21" s="778"/>
      <c r="T21" s="778"/>
      <c r="U21" s="779"/>
      <c r="V21" s="779"/>
      <c r="W21" s="779"/>
      <c r="X21" s="779"/>
      <c r="Y21" s="779"/>
      <c r="Z21" s="779"/>
      <c r="AA21" s="779"/>
      <c r="AB21" s="779"/>
      <c r="AC21" s="779"/>
      <c r="AD21" s="779"/>
      <c r="AE21" s="847"/>
      <c r="AF21" s="779"/>
      <c r="AG21" s="779"/>
      <c r="AH21" s="804"/>
    </row>
    <row r="22" spans="1:160">
      <c r="A22" s="5038" t="s">
        <v>322</v>
      </c>
      <c r="B22" s="5039"/>
      <c r="C22" s="5040"/>
      <c r="D22" s="784"/>
      <c r="E22" s="780"/>
      <c r="F22" s="780"/>
      <c r="G22" s="780"/>
      <c r="H22" s="780"/>
      <c r="I22" s="780"/>
      <c r="J22" s="780"/>
      <c r="K22" s="780"/>
      <c r="L22" s="780"/>
      <c r="M22" s="780"/>
      <c r="N22" s="780"/>
      <c r="O22" s="780"/>
      <c r="P22" s="780"/>
      <c r="Q22" s="780"/>
      <c r="R22" s="780"/>
      <c r="S22" s="780"/>
      <c r="T22" s="780"/>
      <c r="U22" s="780"/>
      <c r="V22" s="780"/>
      <c r="W22" s="780"/>
      <c r="X22" s="780"/>
      <c r="Y22" s="780"/>
      <c r="Z22" s="780"/>
      <c r="AA22" s="780"/>
      <c r="AB22" s="780"/>
      <c r="AC22" s="780"/>
      <c r="AD22" s="780"/>
      <c r="AE22" s="783"/>
      <c r="AF22" s="779"/>
      <c r="AG22" s="779"/>
      <c r="AH22" s="804"/>
    </row>
    <row r="23" spans="1:160">
      <c r="A23" s="4828" t="s">
        <v>64</v>
      </c>
      <c r="B23" s="4574"/>
      <c r="C23" s="5042"/>
      <c r="D23" s="784"/>
      <c r="E23" s="780"/>
      <c r="F23" s="780"/>
      <c r="G23" s="780"/>
      <c r="H23" s="780"/>
      <c r="I23" s="780"/>
      <c r="J23" s="780"/>
      <c r="K23" s="780"/>
      <c r="L23" s="780"/>
      <c r="M23" s="780"/>
      <c r="N23" s="780"/>
      <c r="O23" s="780"/>
      <c r="P23" s="780"/>
      <c r="Q23" s="780"/>
      <c r="R23" s="780"/>
      <c r="S23" s="780"/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3"/>
      <c r="AF23" s="780"/>
      <c r="AG23" s="780"/>
      <c r="AH23" s="806"/>
    </row>
    <row r="24" spans="1:160" ht="15.75">
      <c r="A24" s="1966" t="s">
        <v>66</v>
      </c>
      <c r="B24" s="1937" t="s">
        <v>67</v>
      </c>
      <c r="C24" s="1971" t="s">
        <v>74</v>
      </c>
      <c r="D24" s="1984" t="s">
        <v>631</v>
      </c>
      <c r="E24" s="1904" t="s">
        <v>55</v>
      </c>
      <c r="F24" s="1332"/>
      <c r="G24" s="1709" t="s">
        <v>632</v>
      </c>
      <c r="H24" s="937"/>
      <c r="I24" s="1709" t="s">
        <v>633</v>
      </c>
      <c r="J24" s="937"/>
      <c r="K24" s="1709" t="s">
        <v>634</v>
      </c>
      <c r="L24" s="937"/>
      <c r="M24" s="937"/>
      <c r="N24" s="937"/>
      <c r="O24" s="2274" t="s">
        <v>626</v>
      </c>
      <c r="P24" s="937"/>
      <c r="Q24" s="937"/>
      <c r="R24" s="937"/>
      <c r="S24" s="5044" t="s">
        <v>635</v>
      </c>
      <c r="T24" s="5044"/>
      <c r="U24" s="5044"/>
      <c r="V24" s="5044"/>
      <c r="W24" s="5044"/>
      <c r="X24" s="5044"/>
      <c r="Y24" s="5044"/>
      <c r="Z24" s="5044"/>
      <c r="AA24" s="5044"/>
      <c r="AB24" s="5044"/>
      <c r="AC24" s="5044"/>
      <c r="AD24" s="5044"/>
      <c r="AE24" s="5044"/>
      <c r="AF24" s="937"/>
      <c r="AG24" s="937"/>
      <c r="AH24" s="1333"/>
    </row>
    <row r="25" spans="1:160" ht="15.75" customHeight="1">
      <c r="A25" s="2276" t="s">
        <v>73</v>
      </c>
      <c r="B25" s="1939" t="s">
        <v>67</v>
      </c>
      <c r="C25" s="1972" t="s">
        <v>458</v>
      </c>
      <c r="D25" s="793"/>
      <c r="E25" s="778"/>
      <c r="F25" s="779"/>
      <c r="G25" s="903"/>
      <c r="H25" s="5060" t="s">
        <v>636</v>
      </c>
      <c r="I25" s="5061"/>
      <c r="J25" s="5062"/>
      <c r="K25" s="903"/>
      <c r="L25" s="779"/>
      <c r="M25" s="779"/>
      <c r="N25" s="779"/>
      <c r="O25" s="779"/>
      <c r="P25" s="779"/>
      <c r="Q25" s="780"/>
      <c r="R25" s="780"/>
      <c r="S25" s="780"/>
      <c r="T25" s="780"/>
      <c r="U25" s="779"/>
      <c r="V25" s="779"/>
      <c r="W25" s="779"/>
      <c r="X25" s="779"/>
      <c r="Y25" s="779"/>
      <c r="Z25" s="780"/>
      <c r="AA25" s="780"/>
      <c r="AB25" s="780"/>
      <c r="AC25" s="780"/>
      <c r="AD25" s="780"/>
      <c r="AE25" s="779"/>
      <c r="AF25" s="4463" t="s">
        <v>637</v>
      </c>
      <c r="AG25" s="4413"/>
      <c r="AH25" s="4455"/>
    </row>
    <row r="26" spans="1:160" s="1704" customFormat="1" ht="15.75" customHeight="1">
      <c r="A26" s="1968" t="s">
        <v>599</v>
      </c>
      <c r="B26" s="1940" t="s">
        <v>543</v>
      </c>
      <c r="C26" s="1962" t="s">
        <v>544</v>
      </c>
      <c r="D26" s="2384"/>
      <c r="E26" s="2201" t="s">
        <v>638</v>
      </c>
      <c r="F26" s="2385"/>
      <c r="G26" s="2385"/>
      <c r="H26" s="2385"/>
      <c r="I26" s="2385"/>
      <c r="J26" s="2385"/>
      <c r="K26" s="2385"/>
      <c r="L26" s="2385"/>
      <c r="M26" s="2385"/>
      <c r="N26" s="2385"/>
      <c r="O26" s="2385"/>
      <c r="P26" s="2288"/>
      <c r="Q26" s="2287"/>
      <c r="R26" s="2287"/>
      <c r="S26" s="2287"/>
      <c r="T26" s="2287"/>
      <c r="U26" s="4333" t="s">
        <v>639</v>
      </c>
      <c r="V26" s="4411"/>
      <c r="W26" s="4411"/>
      <c r="X26" s="4411"/>
      <c r="Y26" s="4411"/>
      <c r="Z26" s="2287"/>
      <c r="AA26" s="2290"/>
      <c r="AB26" s="2287"/>
      <c r="AC26" s="2287"/>
      <c r="AD26" s="2287"/>
      <c r="AE26" s="2384"/>
      <c r="AF26" s="2385"/>
      <c r="AG26" s="2385"/>
      <c r="AH26" s="324"/>
      <c r="AJ26" s="1920"/>
      <c r="AK26" s="1920"/>
      <c r="AL26" s="1920"/>
      <c r="AM26" s="1920"/>
      <c r="AN26" s="1920"/>
      <c r="AO26" s="1920"/>
      <c r="AP26" s="1920"/>
      <c r="AQ26" s="1920"/>
      <c r="AR26" s="1920"/>
      <c r="AS26" s="1920"/>
      <c r="AT26" s="1920"/>
      <c r="AU26" s="1920"/>
      <c r="AV26" s="1920"/>
      <c r="AW26" s="1920"/>
      <c r="AX26" s="1920"/>
      <c r="AY26" s="1920"/>
      <c r="AZ26" s="1920"/>
      <c r="BA26" s="1920"/>
      <c r="BB26" s="1920"/>
      <c r="BC26" s="1920"/>
      <c r="BD26" s="1920"/>
      <c r="BE26" s="1920"/>
      <c r="BF26" s="1920"/>
      <c r="BG26" s="1920"/>
      <c r="BH26" s="1920"/>
      <c r="BI26" s="1920"/>
      <c r="BJ26" s="1920"/>
      <c r="BK26" s="1920"/>
      <c r="BL26" s="1920"/>
      <c r="BM26" s="1920"/>
      <c r="BN26" s="1920"/>
      <c r="BO26" s="1920"/>
      <c r="BP26" s="1920"/>
      <c r="BQ26" s="1920"/>
      <c r="BR26" s="1920"/>
      <c r="BS26" s="1920"/>
      <c r="BT26" s="1920"/>
      <c r="BU26" s="1920"/>
      <c r="BV26" s="1920"/>
      <c r="BW26" s="1920"/>
      <c r="BX26" s="1920"/>
      <c r="BY26" s="1920"/>
      <c r="BZ26" s="1920"/>
      <c r="CA26" s="1920"/>
      <c r="CB26" s="1920"/>
      <c r="CC26" s="1920"/>
      <c r="CD26" s="1920"/>
      <c r="CE26" s="1920"/>
      <c r="CF26" s="1920"/>
      <c r="CG26" s="1920"/>
      <c r="CH26" s="1920"/>
      <c r="CI26" s="1920"/>
      <c r="CJ26" s="1920"/>
      <c r="CK26" s="1920"/>
      <c r="CL26" s="1920"/>
      <c r="CM26" s="1920"/>
      <c r="CN26" s="1920"/>
      <c r="CO26" s="1920"/>
      <c r="CP26" s="1920"/>
      <c r="CQ26" s="1920"/>
      <c r="CR26" s="1920"/>
      <c r="CS26" s="1920"/>
      <c r="CT26" s="1920"/>
      <c r="CU26" s="1920"/>
      <c r="CV26" s="1920"/>
      <c r="CW26" s="1920"/>
      <c r="CX26" s="1920"/>
      <c r="CY26" s="1920"/>
      <c r="CZ26" s="1920"/>
      <c r="DA26" s="1920"/>
      <c r="DB26" s="1920"/>
      <c r="DC26" s="1920"/>
      <c r="DD26" s="1920"/>
      <c r="DE26" s="1920"/>
      <c r="DF26" s="1920"/>
      <c r="DG26" s="1920"/>
      <c r="DH26" s="1920"/>
      <c r="DI26" s="1920"/>
      <c r="DJ26" s="1920"/>
      <c r="DK26" s="1920"/>
      <c r="DL26" s="1920"/>
      <c r="DM26" s="1920"/>
      <c r="DN26" s="1920"/>
      <c r="DO26" s="1920"/>
      <c r="DP26" s="1920"/>
      <c r="DQ26" s="1920"/>
      <c r="DR26" s="1920"/>
      <c r="DS26" s="1920"/>
      <c r="DT26" s="1920"/>
      <c r="DU26" s="1920"/>
      <c r="DV26" s="1920"/>
      <c r="DW26" s="1920"/>
      <c r="DX26" s="1920"/>
      <c r="DY26" s="1920"/>
      <c r="DZ26" s="1920"/>
      <c r="EA26" s="1920"/>
      <c r="EB26" s="1920"/>
      <c r="EC26" s="1920"/>
      <c r="ED26" s="1920"/>
      <c r="EE26" s="1920"/>
      <c r="EF26" s="1920"/>
      <c r="EG26" s="1920"/>
      <c r="EH26" s="1920"/>
      <c r="EI26" s="1920"/>
      <c r="EJ26" s="1920"/>
      <c r="EK26" s="1920"/>
      <c r="EL26" s="1920"/>
      <c r="EM26" s="1920"/>
      <c r="EN26" s="1920"/>
      <c r="EO26" s="1920"/>
      <c r="EP26" s="1920"/>
      <c r="EQ26" s="1920"/>
      <c r="ER26" s="1920"/>
      <c r="ES26" s="1920"/>
      <c r="ET26" s="1920"/>
      <c r="EU26" s="1920"/>
      <c r="EV26" s="1920"/>
      <c r="EW26" s="1920"/>
      <c r="EX26" s="1920"/>
      <c r="EY26" s="1920"/>
      <c r="EZ26" s="1920"/>
      <c r="FA26" s="1920"/>
      <c r="FB26" s="1920"/>
      <c r="FC26" s="1920"/>
    </row>
    <row r="27" spans="1:160" s="1704" customFormat="1" ht="15.75" customHeight="1">
      <c r="A27" s="2277" t="s">
        <v>80</v>
      </c>
      <c r="B27" s="1941" t="s">
        <v>81</v>
      </c>
      <c r="C27" s="1975" t="s">
        <v>396</v>
      </c>
      <c r="D27" s="1985"/>
      <c r="E27" s="1646"/>
      <c r="F27" s="1646"/>
      <c r="G27" s="1646"/>
      <c r="H27" s="1646"/>
      <c r="I27" s="1646"/>
      <c r="J27" s="1646"/>
      <c r="K27" s="1646"/>
      <c r="L27" s="1646"/>
      <c r="M27" s="1646"/>
      <c r="N27" s="1646"/>
      <c r="O27" s="2217" t="s">
        <v>626</v>
      </c>
      <c r="P27" s="1646"/>
      <c r="Q27" s="1668"/>
      <c r="R27" s="1668"/>
      <c r="S27" s="2289"/>
      <c r="T27" s="2289"/>
      <c r="U27" s="1646"/>
      <c r="V27" s="4423" t="s">
        <v>640</v>
      </c>
      <c r="W27" s="4424"/>
      <c r="X27" s="4424"/>
      <c r="Y27" s="4424"/>
      <c r="Z27" s="5063"/>
      <c r="AA27" s="5064"/>
      <c r="AB27" s="2291"/>
      <c r="AC27" s="2291"/>
      <c r="AD27" s="2292"/>
      <c r="AE27" s="1646"/>
      <c r="AF27" s="1646"/>
      <c r="AG27" s="1646"/>
      <c r="AH27" s="322"/>
      <c r="AI27" s="1920"/>
      <c r="AJ27" s="1920"/>
      <c r="AK27" s="1920"/>
      <c r="AL27" s="1920"/>
      <c r="AM27" s="1920"/>
      <c r="AN27" s="1920"/>
      <c r="AO27" s="1920"/>
      <c r="AP27" s="1920"/>
      <c r="AQ27" s="1920"/>
      <c r="AR27" s="1920"/>
      <c r="AS27" s="1920"/>
      <c r="AT27" s="1920"/>
      <c r="AU27" s="1920"/>
      <c r="AV27" s="1920"/>
      <c r="AW27" s="1920"/>
      <c r="AX27" s="1920"/>
      <c r="AY27" s="1920"/>
      <c r="AZ27" s="1920"/>
      <c r="BA27" s="1920"/>
      <c r="BB27" s="1920"/>
      <c r="BC27" s="1920"/>
      <c r="BD27" s="1920"/>
      <c r="BE27" s="1920"/>
      <c r="BF27" s="1920"/>
      <c r="BG27" s="1920"/>
      <c r="BH27" s="1920"/>
      <c r="BI27" s="1920"/>
      <c r="BJ27" s="1920"/>
      <c r="BK27" s="1920"/>
      <c r="BL27" s="1920"/>
      <c r="BM27" s="1920"/>
      <c r="BN27" s="1920"/>
      <c r="BO27" s="1920"/>
      <c r="BP27" s="1920"/>
      <c r="BQ27" s="1920"/>
      <c r="BR27" s="1920"/>
      <c r="BS27" s="1920"/>
      <c r="BT27" s="1920"/>
      <c r="BU27" s="1920"/>
      <c r="BV27" s="1920"/>
      <c r="BW27" s="1920"/>
      <c r="BX27" s="1920"/>
      <c r="BY27" s="1920"/>
      <c r="BZ27" s="1920"/>
      <c r="CA27" s="1920"/>
      <c r="CB27" s="1920"/>
      <c r="CC27" s="1920"/>
      <c r="CD27" s="1920"/>
      <c r="CE27" s="1920"/>
      <c r="CF27" s="1920"/>
      <c r="CG27" s="1920"/>
      <c r="CH27" s="1920"/>
      <c r="CI27" s="1920"/>
      <c r="CJ27" s="1920"/>
      <c r="CK27" s="1920"/>
      <c r="CL27" s="1920"/>
      <c r="CM27" s="1920"/>
      <c r="CN27" s="1920"/>
      <c r="CO27" s="1920"/>
      <c r="CP27" s="1920"/>
      <c r="CQ27" s="1920"/>
      <c r="CR27" s="1920"/>
      <c r="CS27" s="1920"/>
      <c r="CT27" s="1920"/>
      <c r="CU27" s="1920"/>
      <c r="CV27" s="1920"/>
      <c r="CW27" s="1920"/>
      <c r="CX27" s="1920"/>
      <c r="CY27" s="1920"/>
      <c r="CZ27" s="1920"/>
      <c r="DA27" s="1920"/>
      <c r="DB27" s="1920"/>
      <c r="DC27" s="1920"/>
      <c r="DD27" s="1920"/>
      <c r="DE27" s="1920"/>
      <c r="DF27" s="1920"/>
      <c r="DG27" s="1920"/>
      <c r="DH27" s="1920"/>
      <c r="DI27" s="1920"/>
      <c r="DJ27" s="1920"/>
      <c r="DK27" s="1920"/>
      <c r="DL27" s="1920"/>
      <c r="DM27" s="1920"/>
      <c r="DN27" s="1920"/>
      <c r="DO27" s="1920"/>
      <c r="DP27" s="1920"/>
      <c r="DQ27" s="1920"/>
      <c r="DR27" s="1920"/>
      <c r="DS27" s="1920"/>
      <c r="DT27" s="1920"/>
      <c r="DU27" s="1920"/>
      <c r="DV27" s="1920"/>
      <c r="DW27" s="1920"/>
      <c r="DX27" s="1920"/>
      <c r="DY27" s="1920"/>
      <c r="DZ27" s="1920"/>
      <c r="EA27" s="1920"/>
      <c r="EB27" s="1920"/>
      <c r="EC27" s="1920"/>
      <c r="ED27" s="1920"/>
      <c r="EE27" s="1920"/>
      <c r="EF27" s="1920"/>
      <c r="EG27" s="1920"/>
      <c r="EH27" s="1920"/>
      <c r="EI27" s="1920"/>
      <c r="EJ27" s="1920"/>
      <c r="EK27" s="1920"/>
      <c r="EL27" s="1920"/>
      <c r="EM27" s="1920"/>
      <c r="EN27" s="1920"/>
      <c r="EO27" s="1920"/>
      <c r="EP27" s="1920"/>
      <c r="EQ27" s="1920"/>
      <c r="ER27" s="1920"/>
      <c r="ES27" s="1920"/>
      <c r="ET27" s="1920"/>
      <c r="EU27" s="1920"/>
      <c r="EV27" s="1920"/>
      <c r="EW27" s="1920"/>
      <c r="EX27" s="1920"/>
      <c r="EY27" s="1920"/>
      <c r="EZ27" s="1920"/>
      <c r="FA27" s="1920"/>
      <c r="FB27" s="1920"/>
      <c r="FC27" s="1920"/>
    </row>
    <row r="28" spans="1:160">
      <c r="A28" s="5030" t="s">
        <v>84</v>
      </c>
      <c r="B28" s="1969" t="s">
        <v>85</v>
      </c>
      <c r="C28" s="1962" t="s">
        <v>86</v>
      </c>
      <c r="D28" s="793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81"/>
      <c r="Z28" s="1427"/>
      <c r="AA28" s="1427"/>
      <c r="AB28" s="1427"/>
      <c r="AC28" s="1427"/>
      <c r="AD28" s="793"/>
      <c r="AE28" s="778"/>
      <c r="AF28" s="778"/>
      <c r="AG28" s="1593"/>
      <c r="AH28" s="2311"/>
      <c r="AI28" s="283"/>
    </row>
    <row r="29" spans="1:160" ht="15.75" customHeight="1">
      <c r="A29" s="5031"/>
      <c r="B29" s="2275" t="s">
        <v>602</v>
      </c>
      <c r="C29" s="1976" t="s">
        <v>91</v>
      </c>
      <c r="D29" s="1404"/>
      <c r="E29" s="782"/>
      <c r="F29" s="782"/>
      <c r="G29" s="782"/>
      <c r="H29" s="782"/>
      <c r="I29" s="782"/>
      <c r="J29" s="782"/>
      <c r="K29" s="782"/>
      <c r="L29" s="782"/>
      <c r="M29" s="782"/>
      <c r="N29" s="782"/>
      <c r="O29" s="782"/>
      <c r="P29" s="782"/>
      <c r="Q29" s="782"/>
      <c r="R29" s="782"/>
      <c r="S29" s="782"/>
      <c r="T29" s="782"/>
      <c r="U29" s="782"/>
      <c r="V29" s="782"/>
      <c r="W29" s="848"/>
      <c r="X29" s="759"/>
      <c r="Y29" s="759"/>
      <c r="Z29" s="1072"/>
      <c r="AA29" s="1072"/>
      <c r="AB29" s="1072"/>
      <c r="AC29" s="1072"/>
      <c r="AD29" s="759"/>
      <c r="AE29" s="759"/>
      <c r="AF29" s="759"/>
      <c r="AG29" s="759"/>
      <c r="AH29" s="1070"/>
      <c r="AI29" s="283"/>
    </row>
    <row r="30" spans="1:160" s="1481" customFormat="1" ht="15.75" customHeight="1">
      <c r="A30" s="5031" t="s">
        <v>92</v>
      </c>
      <c r="B30" s="1940" t="s">
        <v>95</v>
      </c>
      <c r="C30" s="1962" t="s">
        <v>96</v>
      </c>
      <c r="D30" s="3015"/>
      <c r="E30" s="1483"/>
      <c r="F30" s="1929"/>
      <c r="G30" s="5081" t="s">
        <v>641</v>
      </c>
      <c r="H30" s="5081"/>
      <c r="I30" s="5081"/>
      <c r="J30" s="5081"/>
      <c r="K30" s="5081"/>
      <c r="L30" s="1485"/>
      <c r="M30" s="1482"/>
      <c r="N30" s="1482"/>
      <c r="O30" s="2217" t="s">
        <v>626</v>
      </c>
      <c r="P30" s="1482"/>
      <c r="Q30" s="1482"/>
      <c r="R30" s="1482"/>
      <c r="S30" s="1482"/>
      <c r="T30" s="1482"/>
      <c r="U30" s="1482"/>
      <c r="V30" s="1482"/>
      <c r="W30" s="1482"/>
      <c r="X30" s="1482"/>
      <c r="Y30" s="1482"/>
      <c r="Z30" s="1482"/>
      <c r="AA30" s="1482"/>
      <c r="AB30" s="1482"/>
      <c r="AC30" s="1482"/>
      <c r="AD30" s="1482"/>
      <c r="AE30" s="1482"/>
      <c r="AF30" s="1482"/>
      <c r="AG30" s="4372" t="s">
        <v>642</v>
      </c>
      <c r="AH30" s="4374"/>
      <c r="AI30" s="1921"/>
      <c r="AJ30" s="1921"/>
      <c r="AK30" s="1921"/>
      <c r="AL30" s="1921"/>
      <c r="AM30" s="1921"/>
      <c r="AN30" s="1921"/>
      <c r="AO30" s="1921"/>
      <c r="AP30" s="1921"/>
      <c r="AQ30" s="1921"/>
      <c r="AR30" s="1921"/>
      <c r="AS30" s="1921"/>
      <c r="AT30" s="1921"/>
      <c r="AU30" s="1921"/>
      <c r="AV30" s="1921"/>
      <c r="AW30" s="1921"/>
      <c r="AX30" s="1921"/>
      <c r="AY30" s="1921"/>
      <c r="AZ30" s="1921"/>
      <c r="BA30" s="1921"/>
      <c r="BB30" s="1921"/>
      <c r="BC30" s="1921"/>
      <c r="BD30" s="1921"/>
      <c r="BE30" s="1921"/>
      <c r="BF30" s="1921"/>
      <c r="BG30" s="1921"/>
      <c r="BH30" s="1921"/>
      <c r="BI30" s="1921"/>
      <c r="BJ30" s="1921"/>
      <c r="BK30" s="1921"/>
      <c r="BL30" s="1921"/>
      <c r="BM30" s="1921"/>
      <c r="BN30" s="1921"/>
      <c r="BO30" s="1921"/>
      <c r="BP30" s="1921"/>
      <c r="BQ30" s="1921"/>
      <c r="BR30" s="1921"/>
      <c r="BS30" s="1921"/>
      <c r="BT30" s="1921"/>
      <c r="BU30" s="1921"/>
      <c r="BV30" s="1921"/>
      <c r="BW30" s="1921"/>
      <c r="BX30" s="1921"/>
      <c r="BY30" s="1921"/>
      <c r="BZ30" s="1921"/>
      <c r="CA30" s="1921"/>
      <c r="CB30" s="1921"/>
      <c r="CC30" s="1921"/>
      <c r="CD30" s="1921"/>
      <c r="CE30" s="1921"/>
      <c r="CF30" s="1921"/>
      <c r="CG30" s="1921"/>
      <c r="CH30" s="1921"/>
      <c r="CI30" s="1921"/>
      <c r="CJ30" s="1921"/>
      <c r="CK30" s="1921"/>
      <c r="CL30" s="1921"/>
      <c r="CM30" s="1921"/>
      <c r="CN30" s="1921"/>
      <c r="CO30" s="1921"/>
      <c r="CP30" s="1921"/>
      <c r="CQ30" s="1921"/>
      <c r="CR30" s="1921"/>
      <c r="CS30" s="1921"/>
      <c r="CT30" s="1921"/>
      <c r="CU30" s="1921"/>
      <c r="CV30" s="1921"/>
      <c r="CW30" s="1921"/>
      <c r="CX30" s="1921"/>
      <c r="CY30" s="1921"/>
      <c r="CZ30" s="1921"/>
      <c r="DA30" s="1921"/>
      <c r="DB30" s="1921"/>
      <c r="DC30" s="1921"/>
      <c r="DD30" s="1921"/>
      <c r="DE30" s="1921"/>
      <c r="DF30" s="1921"/>
      <c r="DG30" s="1921"/>
      <c r="DH30" s="1921"/>
      <c r="DI30" s="1921"/>
      <c r="DJ30" s="1921"/>
      <c r="DK30" s="1921"/>
      <c r="DL30" s="1921"/>
      <c r="DM30" s="1921"/>
      <c r="DN30" s="1921"/>
      <c r="DO30" s="1921"/>
      <c r="DP30" s="1921"/>
      <c r="DQ30" s="1921"/>
      <c r="DR30" s="1921"/>
      <c r="DS30" s="1921"/>
      <c r="DT30" s="1921"/>
      <c r="DU30" s="1921"/>
      <c r="DV30" s="1921"/>
      <c r="DW30" s="1921"/>
      <c r="DX30" s="1921"/>
      <c r="DY30" s="1921"/>
      <c r="DZ30" s="1921"/>
      <c r="EA30" s="1921"/>
      <c r="EB30" s="1921"/>
      <c r="EC30" s="1921"/>
      <c r="ED30" s="1921"/>
      <c r="EE30" s="1921"/>
      <c r="EF30" s="1921"/>
      <c r="EG30" s="1921"/>
      <c r="EH30" s="1921"/>
      <c r="EI30" s="1921"/>
      <c r="EJ30" s="1921"/>
      <c r="EK30" s="1921"/>
      <c r="EL30" s="1921"/>
      <c r="EM30" s="1921"/>
      <c r="EN30" s="1921"/>
      <c r="EO30" s="1921"/>
      <c r="EP30" s="1921"/>
      <c r="EQ30" s="1921"/>
      <c r="ER30" s="1921"/>
      <c r="ES30" s="1921"/>
      <c r="ET30" s="1921"/>
      <c r="EU30" s="1921"/>
      <c r="EV30" s="1921"/>
      <c r="EW30" s="1921"/>
      <c r="EX30" s="1921"/>
      <c r="EY30" s="1921"/>
      <c r="EZ30" s="1921"/>
      <c r="FA30" s="1921"/>
      <c r="FB30" s="1921"/>
      <c r="FC30" s="1921"/>
      <c r="FD30" s="1484"/>
    </row>
    <row r="31" spans="1:160" s="1483" customFormat="1" ht="15.75" customHeight="1">
      <c r="A31" s="5032"/>
      <c r="B31" s="1943" t="s">
        <v>326</v>
      </c>
      <c r="C31" s="1962" t="s">
        <v>327</v>
      </c>
      <c r="D31" s="4757" t="s">
        <v>643</v>
      </c>
      <c r="E31" s="4293"/>
      <c r="F31" s="4293"/>
      <c r="G31" s="5043"/>
      <c r="H31" s="5043"/>
      <c r="I31" s="5043"/>
      <c r="J31" s="3015"/>
      <c r="L31" s="1480"/>
      <c r="M31" s="1480"/>
      <c r="N31" s="1480"/>
      <c r="O31" s="1480"/>
      <c r="P31" s="1480"/>
      <c r="Q31" s="1480"/>
      <c r="R31" s="1480"/>
      <c r="S31" s="1480"/>
      <c r="T31" s="1480"/>
      <c r="U31" s="1480"/>
      <c r="V31" s="1480"/>
      <c r="W31" s="1480"/>
      <c r="X31" s="1480"/>
      <c r="Y31" s="1480"/>
      <c r="Z31" s="1480"/>
      <c r="AA31" s="1480"/>
      <c r="AB31" s="1480"/>
      <c r="AC31" s="1480"/>
      <c r="AD31" s="1480"/>
      <c r="AE31" s="1480"/>
      <c r="AF31" s="1480"/>
      <c r="AG31" s="1480"/>
      <c r="AH31" s="1696"/>
      <c r="AI31" s="1921"/>
      <c r="AJ31" s="1921"/>
      <c r="AK31" s="1921"/>
      <c r="AL31" s="1921"/>
      <c r="AM31" s="1921"/>
      <c r="AN31" s="1921"/>
      <c r="AO31" s="1921"/>
      <c r="AP31" s="1921"/>
      <c r="AQ31" s="1921"/>
      <c r="AR31" s="1921"/>
      <c r="AS31" s="1921"/>
      <c r="AT31" s="1921"/>
      <c r="AU31" s="1921"/>
      <c r="AV31" s="1921"/>
      <c r="AW31" s="1921"/>
      <c r="AX31" s="1921"/>
      <c r="AY31" s="1921"/>
      <c r="AZ31" s="1921"/>
      <c r="BA31" s="1921"/>
      <c r="BB31" s="1921"/>
      <c r="BC31" s="1921"/>
      <c r="BD31" s="1921"/>
      <c r="BE31" s="1921"/>
      <c r="BF31" s="1921"/>
      <c r="BG31" s="1921"/>
      <c r="BH31" s="1921"/>
      <c r="BI31" s="1921"/>
      <c r="BJ31" s="1921"/>
      <c r="BK31" s="1921"/>
      <c r="BL31" s="1921"/>
      <c r="BM31" s="1921"/>
      <c r="BN31" s="1921"/>
      <c r="BO31" s="1921"/>
      <c r="BP31" s="1921"/>
      <c r="BQ31" s="1921"/>
      <c r="BR31" s="1921"/>
      <c r="BS31" s="1921"/>
      <c r="BT31" s="1921"/>
      <c r="BU31" s="1921"/>
      <c r="BV31" s="1921"/>
      <c r="BW31" s="1921"/>
      <c r="BX31" s="1921"/>
      <c r="BY31" s="1921"/>
      <c r="BZ31" s="1921"/>
      <c r="CA31" s="1921"/>
      <c r="CB31" s="1921"/>
      <c r="CC31" s="1921"/>
      <c r="CD31" s="1921"/>
      <c r="CE31" s="1921"/>
      <c r="CF31" s="1921"/>
      <c r="CG31" s="1921"/>
      <c r="CH31" s="1921"/>
      <c r="CI31" s="1921"/>
      <c r="CJ31" s="1921"/>
      <c r="CK31" s="1921"/>
      <c r="CL31" s="1921"/>
      <c r="CM31" s="1921"/>
      <c r="CN31" s="1921"/>
      <c r="CO31" s="1921"/>
      <c r="CP31" s="1921"/>
      <c r="CQ31" s="1921"/>
      <c r="CR31" s="1921"/>
      <c r="CS31" s="1921"/>
      <c r="CT31" s="1921"/>
      <c r="CU31" s="1921"/>
      <c r="CV31" s="1921"/>
      <c r="CW31" s="1921"/>
      <c r="CX31" s="1921"/>
      <c r="CY31" s="1921"/>
      <c r="CZ31" s="1921"/>
      <c r="DA31" s="1921"/>
      <c r="DB31" s="1921"/>
      <c r="DC31" s="1921"/>
      <c r="DD31" s="1921"/>
      <c r="DE31" s="1921"/>
      <c r="DF31" s="1921"/>
      <c r="DG31" s="1921"/>
      <c r="DH31" s="1921"/>
      <c r="DI31" s="1921"/>
      <c r="DJ31" s="1921"/>
      <c r="DK31" s="1921"/>
      <c r="DL31" s="1921"/>
      <c r="DM31" s="1921"/>
      <c r="DN31" s="1921"/>
      <c r="DO31" s="1921"/>
      <c r="DP31" s="1921"/>
      <c r="DQ31" s="1921"/>
      <c r="DR31" s="1921"/>
      <c r="DS31" s="1921"/>
      <c r="DT31" s="1921"/>
      <c r="DU31" s="1921"/>
      <c r="DV31" s="1921"/>
      <c r="DW31" s="1921"/>
      <c r="DX31" s="1921"/>
      <c r="DY31" s="1921"/>
      <c r="DZ31" s="1921"/>
      <c r="EA31" s="1921"/>
      <c r="EB31" s="1921"/>
      <c r="EC31" s="1921"/>
      <c r="ED31" s="1921"/>
      <c r="EE31" s="1921"/>
      <c r="EF31" s="1921"/>
      <c r="EG31" s="1921"/>
      <c r="EH31" s="1921"/>
      <c r="EI31" s="1921"/>
      <c r="EJ31" s="1921"/>
      <c r="EK31" s="1921"/>
      <c r="EL31" s="1921"/>
      <c r="EM31" s="1921"/>
      <c r="EN31" s="1921"/>
      <c r="EO31" s="1921"/>
      <c r="EP31" s="1921"/>
      <c r="EQ31" s="1921"/>
      <c r="ER31" s="1921"/>
      <c r="ES31" s="1921"/>
      <c r="ET31" s="1921"/>
      <c r="EU31" s="1921"/>
      <c r="EV31" s="1921"/>
      <c r="EW31" s="1921"/>
      <c r="EX31" s="1921"/>
      <c r="EY31" s="1921"/>
      <c r="EZ31" s="1921"/>
      <c r="FA31" s="1921"/>
      <c r="FB31" s="1921"/>
      <c r="FC31" s="1921"/>
      <c r="FD31" s="3015"/>
    </row>
    <row r="32" spans="1:160" s="1482" customFormat="1" ht="15.75" customHeight="1">
      <c r="A32" s="5029"/>
      <c r="B32" s="1944" t="s">
        <v>606</v>
      </c>
      <c r="C32" s="1977" t="s">
        <v>98</v>
      </c>
      <c r="D32" s="3015"/>
      <c r="E32" s="1483"/>
      <c r="F32" s="1929"/>
      <c r="G32" s="5085" t="s">
        <v>641</v>
      </c>
      <c r="H32" s="5085"/>
      <c r="I32" s="5085"/>
      <c r="J32" s="5085"/>
      <c r="K32" s="5085"/>
      <c r="L32" s="1484"/>
      <c r="M32" s="1481"/>
      <c r="N32" s="1481"/>
      <c r="O32" s="1481"/>
      <c r="P32" s="1481"/>
      <c r="Q32" s="1481"/>
      <c r="R32" s="1481"/>
      <c r="S32" s="1481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5082" t="s">
        <v>644</v>
      </c>
      <c r="AG32" s="4818"/>
      <c r="AH32" s="5083"/>
      <c r="AI32" s="1921"/>
      <c r="AJ32" s="1921"/>
      <c r="AK32" s="1921"/>
      <c r="AL32" s="1921"/>
      <c r="AM32" s="1921"/>
      <c r="AN32" s="1921"/>
      <c r="AO32" s="1921"/>
      <c r="AP32" s="1921"/>
      <c r="AQ32" s="1921"/>
      <c r="AR32" s="1921"/>
      <c r="AS32" s="1921"/>
      <c r="AT32" s="1921"/>
      <c r="AU32" s="1921"/>
      <c r="AV32" s="1921"/>
      <c r="AW32" s="1921"/>
      <c r="AX32" s="1921"/>
      <c r="AY32" s="1921"/>
      <c r="AZ32" s="1921"/>
      <c r="BA32" s="1921"/>
      <c r="BB32" s="1921"/>
      <c r="BC32" s="1921"/>
      <c r="BD32" s="1921"/>
      <c r="BE32" s="1921"/>
      <c r="BF32" s="1921"/>
      <c r="BG32" s="1921"/>
      <c r="BH32" s="1921"/>
      <c r="BI32" s="1921"/>
      <c r="BJ32" s="1921"/>
      <c r="BK32" s="1921"/>
      <c r="BL32" s="1921"/>
      <c r="BM32" s="1921"/>
      <c r="BN32" s="1921"/>
      <c r="BO32" s="1921"/>
      <c r="BP32" s="1921"/>
      <c r="BQ32" s="1921"/>
      <c r="BR32" s="1921"/>
      <c r="BS32" s="1921"/>
      <c r="BT32" s="1921"/>
      <c r="BU32" s="1921"/>
      <c r="BV32" s="1921"/>
      <c r="BW32" s="1921"/>
      <c r="BX32" s="1921"/>
      <c r="BY32" s="1921"/>
      <c r="BZ32" s="1921"/>
      <c r="CA32" s="1921"/>
      <c r="CB32" s="1921"/>
      <c r="CC32" s="1921"/>
      <c r="CD32" s="1921"/>
      <c r="CE32" s="1921"/>
      <c r="CF32" s="1921"/>
      <c r="CG32" s="1921"/>
      <c r="CH32" s="1921"/>
      <c r="CI32" s="1921"/>
      <c r="CJ32" s="1921"/>
      <c r="CK32" s="1921"/>
      <c r="CL32" s="1921"/>
      <c r="CM32" s="1921"/>
      <c r="CN32" s="1921"/>
      <c r="CO32" s="1921"/>
      <c r="CP32" s="1921"/>
      <c r="CQ32" s="1921"/>
      <c r="CR32" s="1921"/>
      <c r="CS32" s="1921"/>
      <c r="CT32" s="1921"/>
      <c r="CU32" s="1921"/>
      <c r="CV32" s="1921"/>
      <c r="CW32" s="1921"/>
      <c r="CX32" s="1921"/>
      <c r="CY32" s="1921"/>
      <c r="CZ32" s="1921"/>
      <c r="DA32" s="1921"/>
      <c r="DB32" s="1921"/>
      <c r="DC32" s="1921"/>
      <c r="DD32" s="1921"/>
      <c r="DE32" s="1921"/>
      <c r="DF32" s="1921"/>
      <c r="DG32" s="1921"/>
      <c r="DH32" s="1921"/>
      <c r="DI32" s="1921"/>
      <c r="DJ32" s="1921"/>
      <c r="DK32" s="1921"/>
      <c r="DL32" s="1921"/>
      <c r="DM32" s="1921"/>
      <c r="DN32" s="1921"/>
      <c r="DO32" s="1921"/>
      <c r="DP32" s="1921"/>
      <c r="DQ32" s="1921"/>
      <c r="DR32" s="1921"/>
      <c r="DS32" s="1921"/>
      <c r="DT32" s="1921"/>
      <c r="DU32" s="1921"/>
      <c r="DV32" s="1921"/>
      <c r="DW32" s="1921"/>
      <c r="DX32" s="1921"/>
      <c r="DY32" s="1921"/>
      <c r="DZ32" s="1921"/>
      <c r="EA32" s="1921"/>
      <c r="EB32" s="1921"/>
      <c r="EC32" s="1921"/>
      <c r="ED32" s="1921"/>
      <c r="EE32" s="1921"/>
      <c r="EF32" s="1921"/>
      <c r="EG32" s="1921"/>
      <c r="EH32" s="1921"/>
      <c r="EI32" s="1921"/>
      <c r="EJ32" s="1921"/>
      <c r="EK32" s="1921"/>
      <c r="EL32" s="1921"/>
      <c r="EM32" s="1921"/>
      <c r="EN32" s="1921"/>
      <c r="EO32" s="1921"/>
      <c r="EP32" s="1921"/>
      <c r="EQ32" s="1921"/>
      <c r="ER32" s="1921"/>
      <c r="ES32" s="1921"/>
      <c r="ET32" s="1921"/>
      <c r="EU32" s="1921"/>
      <c r="EV32" s="1921"/>
      <c r="EW32" s="1921"/>
      <c r="EX32" s="1921"/>
      <c r="EY32" s="1921"/>
      <c r="EZ32" s="1921"/>
      <c r="FA32" s="1921"/>
      <c r="FB32" s="1921"/>
      <c r="FC32" s="1921"/>
      <c r="FD32" s="1485"/>
    </row>
    <row r="33" spans="1:35" ht="15.75" customHeight="1">
      <c r="A33" s="5032" t="s">
        <v>99</v>
      </c>
      <c r="B33" s="1937" t="s">
        <v>100</v>
      </c>
      <c r="C33" s="1978" t="s">
        <v>101</v>
      </c>
      <c r="D33" s="1332"/>
      <c r="E33" s="937"/>
      <c r="F33" s="937"/>
      <c r="G33" s="5024" t="s">
        <v>645</v>
      </c>
      <c r="H33" s="5024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4436" t="s">
        <v>112</v>
      </c>
      <c r="X33" s="4502"/>
      <c r="Y33" s="4502"/>
      <c r="Z33" s="4502"/>
      <c r="AA33" s="4502"/>
      <c r="AB33" s="4502"/>
      <c r="AC33" s="4502"/>
      <c r="AD33" s="4503"/>
      <c r="AE33" s="937"/>
      <c r="AF33" s="937"/>
      <c r="AG33" s="937"/>
      <c r="AH33" s="1333"/>
      <c r="AI33" s="283"/>
    </row>
    <row r="34" spans="1:35" ht="15.75" customHeight="1">
      <c r="A34" s="5032"/>
      <c r="B34" s="1939" t="s">
        <v>77</v>
      </c>
      <c r="C34" s="1979" t="s">
        <v>245</v>
      </c>
      <c r="D34" s="822"/>
      <c r="E34" s="779"/>
      <c r="F34" s="779"/>
      <c r="G34" s="5084" t="s">
        <v>641</v>
      </c>
      <c r="H34" s="5084"/>
      <c r="I34" s="5084"/>
      <c r="J34" s="5084"/>
      <c r="K34" s="5084"/>
      <c r="L34" s="779"/>
      <c r="M34" s="779"/>
      <c r="N34" s="779"/>
      <c r="O34" s="779"/>
      <c r="P34" s="779"/>
      <c r="Q34" s="4463" t="s">
        <v>646</v>
      </c>
      <c r="R34" s="4413"/>
      <c r="S34" s="4413"/>
      <c r="T34" s="4413"/>
      <c r="U34" s="4413"/>
      <c r="V34" s="4413"/>
      <c r="W34" s="4414"/>
      <c r="X34" s="779"/>
      <c r="Y34" s="779"/>
      <c r="Z34" s="779"/>
      <c r="AA34" s="779"/>
      <c r="AB34" s="779"/>
      <c r="AC34" s="779"/>
      <c r="AD34" s="779"/>
      <c r="AE34" s="779"/>
      <c r="AF34" s="779"/>
      <c r="AG34" s="779"/>
      <c r="AH34" s="804"/>
      <c r="AI34" s="283"/>
    </row>
    <row r="35" spans="1:35" ht="15.75" customHeight="1">
      <c r="A35" s="5032"/>
      <c r="B35" s="1939" t="s">
        <v>95</v>
      </c>
      <c r="C35" s="1979" t="s">
        <v>548</v>
      </c>
      <c r="D35" s="822"/>
      <c r="E35" s="779"/>
      <c r="F35" s="779"/>
      <c r="G35" s="5084" t="s">
        <v>641</v>
      </c>
      <c r="H35" s="5084"/>
      <c r="I35" s="5084"/>
      <c r="J35" s="5084"/>
      <c r="K35" s="5084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779"/>
      <c r="AE35" s="779"/>
      <c r="AF35" s="4333" t="s">
        <v>112</v>
      </c>
      <c r="AG35" s="4413"/>
      <c r="AH35" s="4455"/>
    </row>
    <row r="36" spans="1:35" ht="15.75" customHeight="1">
      <c r="A36" s="5032"/>
      <c r="B36" s="1939" t="s">
        <v>106</v>
      </c>
      <c r="C36" s="1979" t="s">
        <v>107</v>
      </c>
      <c r="D36" s="822"/>
      <c r="E36" s="779"/>
      <c r="F36" s="779"/>
      <c r="G36" s="5026" t="s">
        <v>647</v>
      </c>
      <c r="H36" s="5026"/>
      <c r="I36" s="779"/>
      <c r="J36" s="779"/>
      <c r="K36" s="779"/>
      <c r="L36" s="779"/>
      <c r="M36" s="779"/>
      <c r="N36" s="779"/>
      <c r="O36" s="779"/>
      <c r="P36" s="779"/>
      <c r="Q36" s="779"/>
      <c r="R36" s="779"/>
      <c r="S36" s="4333" t="s">
        <v>112</v>
      </c>
      <c r="T36" s="4411"/>
      <c r="U36" s="4411"/>
      <c r="V36" s="4411"/>
      <c r="W36" s="4411"/>
      <c r="X36" s="4411"/>
      <c r="Y36" s="4411"/>
      <c r="Z36" s="4411"/>
      <c r="AA36" s="4411"/>
      <c r="AB36" s="4411"/>
      <c r="AC36" s="4334"/>
      <c r="AD36" s="779"/>
      <c r="AE36" s="779"/>
      <c r="AF36" s="779"/>
      <c r="AG36" s="779"/>
      <c r="AH36" s="804"/>
    </row>
    <row r="37" spans="1:35" ht="15.75" customHeight="1">
      <c r="A37" s="5029"/>
      <c r="B37" s="1949" t="s">
        <v>108</v>
      </c>
      <c r="C37" s="1963" t="s">
        <v>109</v>
      </c>
      <c r="D37" s="784"/>
      <c r="E37" s="780"/>
      <c r="F37" s="780"/>
      <c r="G37" s="780"/>
      <c r="H37" s="780"/>
      <c r="I37" s="5099" t="s">
        <v>647</v>
      </c>
      <c r="J37" s="5099"/>
      <c r="K37" s="780"/>
      <c r="L37" s="780"/>
      <c r="M37" s="780"/>
      <c r="N37" s="780"/>
      <c r="O37" s="780"/>
      <c r="P37" s="780"/>
      <c r="Q37" s="780"/>
      <c r="R37" s="780"/>
      <c r="S37" s="780"/>
      <c r="T37" s="780"/>
      <c r="U37" s="780"/>
      <c r="V37" s="780"/>
      <c r="W37" s="780"/>
      <c r="X37" s="780"/>
      <c r="Y37" s="780"/>
      <c r="Z37" s="780"/>
      <c r="AA37" s="780"/>
      <c r="AB37" s="780"/>
      <c r="AC37" s="780"/>
      <c r="AD37" s="780"/>
      <c r="AE37" s="780"/>
      <c r="AF37" s="5082" t="s">
        <v>112</v>
      </c>
      <c r="AG37" s="4818"/>
      <c r="AH37" s="5083"/>
    </row>
    <row r="38" spans="1:35">
      <c r="A38" s="5029" t="s">
        <v>110</v>
      </c>
      <c r="B38" s="1937" t="s">
        <v>283</v>
      </c>
      <c r="C38" s="1971" t="s">
        <v>201</v>
      </c>
      <c r="D38" s="1332"/>
      <c r="E38" s="937"/>
      <c r="F38" s="937"/>
      <c r="G38" s="5024" t="s">
        <v>641</v>
      </c>
      <c r="H38" s="5024"/>
      <c r="I38" s="5024"/>
      <c r="J38" s="5024"/>
      <c r="K38" s="5024"/>
      <c r="L38" s="937"/>
      <c r="M38" s="937"/>
      <c r="N38" s="937"/>
      <c r="O38" s="937"/>
      <c r="P38" s="937"/>
      <c r="Q38" s="4599" t="s">
        <v>648</v>
      </c>
      <c r="R38" s="4599"/>
      <c r="S38" s="4599"/>
      <c r="T38" s="4599"/>
      <c r="U38" s="4599"/>
      <c r="V38" s="4599"/>
      <c r="W38" s="4599"/>
      <c r="X38" s="4599"/>
      <c r="Y38" s="4599"/>
      <c r="Z38" s="4599"/>
      <c r="AA38" s="4599"/>
      <c r="AB38" s="4599"/>
      <c r="AC38" s="4599"/>
      <c r="AD38" s="4599"/>
      <c r="AE38" s="937"/>
      <c r="AF38" s="937"/>
      <c r="AG38" s="937"/>
      <c r="AH38" s="1333"/>
    </row>
    <row r="39" spans="1:35">
      <c r="A39" s="5030"/>
      <c r="B39" s="1969" t="s">
        <v>77</v>
      </c>
      <c r="C39" s="1977" t="s">
        <v>610</v>
      </c>
      <c r="D39" s="822"/>
      <c r="E39" s="779"/>
      <c r="F39" s="779"/>
      <c r="G39" s="1586"/>
      <c r="H39" s="1586"/>
      <c r="I39" s="1586"/>
      <c r="J39" s="1586"/>
      <c r="K39" s="1586"/>
      <c r="L39" s="779"/>
      <c r="M39" s="779"/>
      <c r="N39" s="779"/>
      <c r="O39" s="779"/>
      <c r="P39" s="779"/>
      <c r="Q39" s="904"/>
      <c r="R39" s="904"/>
      <c r="S39" s="904"/>
      <c r="T39" s="904"/>
      <c r="U39" s="904"/>
      <c r="V39" s="904"/>
      <c r="W39" s="904"/>
      <c r="X39" s="904"/>
      <c r="Y39" s="904"/>
      <c r="Z39" s="904"/>
      <c r="AA39" s="904"/>
      <c r="AB39" s="904"/>
      <c r="AC39" s="904"/>
      <c r="AD39" s="904"/>
      <c r="AE39" s="779"/>
      <c r="AF39" s="779"/>
      <c r="AG39" s="779"/>
      <c r="AH39" s="804"/>
    </row>
    <row r="40" spans="1:35">
      <c r="A40" s="5030"/>
      <c r="B40" s="1969" t="s">
        <v>95</v>
      </c>
      <c r="C40" s="1980" t="s">
        <v>249</v>
      </c>
      <c r="D40" s="822"/>
      <c r="E40" s="779"/>
      <c r="F40" s="779"/>
      <c r="G40" s="779"/>
      <c r="H40" s="779"/>
      <c r="I40" s="779"/>
      <c r="J40" s="779"/>
      <c r="K40" s="779"/>
      <c r="L40" s="779"/>
      <c r="M40" s="779"/>
      <c r="N40" s="779"/>
      <c r="O40" s="779"/>
      <c r="P40" s="779"/>
      <c r="Q40" s="779"/>
      <c r="R40" s="779"/>
      <c r="S40" s="779"/>
      <c r="T40" s="779"/>
      <c r="U40" s="779"/>
      <c r="V40" s="779"/>
      <c r="W40" s="779"/>
      <c r="X40" s="779"/>
      <c r="Y40" s="779"/>
      <c r="Z40" s="779"/>
      <c r="AA40" s="779"/>
      <c r="AB40" s="779"/>
      <c r="AC40" s="779"/>
      <c r="AD40" s="779"/>
      <c r="AE40" s="779"/>
      <c r="AF40" s="779"/>
      <c r="AG40" s="779"/>
      <c r="AH40" s="804"/>
    </row>
    <row r="41" spans="1:35">
      <c r="A41" s="5030"/>
      <c r="B41" s="1939" t="s">
        <v>113</v>
      </c>
      <c r="C41" s="1972" t="s">
        <v>116</v>
      </c>
      <c r="D41" s="822"/>
      <c r="E41" s="779"/>
      <c r="F41" s="779"/>
      <c r="G41" s="779"/>
      <c r="H41" s="779"/>
      <c r="I41" s="779"/>
      <c r="J41" s="779"/>
      <c r="K41" s="779"/>
      <c r="L41" s="779"/>
      <c r="M41" s="779"/>
      <c r="N41" s="779"/>
      <c r="O41" s="779"/>
      <c r="P41" s="779"/>
      <c r="Q41" s="779"/>
      <c r="R41" s="779"/>
      <c r="S41" s="779"/>
      <c r="T41" s="779"/>
      <c r="U41" s="779"/>
      <c r="V41" s="779"/>
      <c r="W41" s="779"/>
      <c r="X41" s="779"/>
      <c r="Y41" s="779"/>
      <c r="Z41" s="779"/>
      <c r="AA41" s="779"/>
      <c r="AB41" s="779"/>
      <c r="AC41" s="779"/>
      <c r="AD41" s="779"/>
      <c r="AE41" s="779"/>
      <c r="AF41" s="779"/>
      <c r="AG41" s="779"/>
      <c r="AH41" s="804"/>
    </row>
    <row r="42" spans="1:35" ht="15.75">
      <c r="A42" s="5030"/>
      <c r="B42" s="1939" t="s">
        <v>118</v>
      </c>
      <c r="C42" s="1972" t="s">
        <v>119</v>
      </c>
      <c r="D42" s="3638" t="s">
        <v>649</v>
      </c>
      <c r="E42" s="3562" t="s">
        <v>55</v>
      </c>
      <c r="F42" s="5016" t="s">
        <v>650</v>
      </c>
      <c r="G42" s="5017"/>
      <c r="H42" s="5017"/>
      <c r="I42" s="5017"/>
      <c r="J42" s="5017"/>
      <c r="K42" s="5017"/>
      <c r="L42" s="5017"/>
      <c r="M42" s="5017"/>
      <c r="N42" s="5017"/>
      <c r="O42" s="5017"/>
      <c r="P42" s="5017"/>
      <c r="Q42" s="5017"/>
      <c r="R42" s="5017"/>
      <c r="S42" s="5017"/>
      <c r="T42" s="5017"/>
      <c r="U42" s="5017"/>
      <c r="V42" s="5017"/>
      <c r="W42" s="5017"/>
      <c r="X42" s="5018"/>
      <c r="Y42" s="4333" t="s">
        <v>112</v>
      </c>
      <c r="Z42" s="4411"/>
      <c r="AA42" s="4411"/>
      <c r="AB42" s="4411"/>
      <c r="AC42" s="4411"/>
      <c r="AD42" s="4411"/>
      <c r="AE42" s="4411"/>
      <c r="AF42" s="4411"/>
      <c r="AG42" s="4411"/>
      <c r="AH42" s="4559"/>
    </row>
    <row r="43" spans="1:35">
      <c r="A43" s="5030"/>
      <c r="B43" s="1939" t="s">
        <v>500</v>
      </c>
      <c r="C43" s="1972" t="s">
        <v>126</v>
      </c>
      <c r="D43" s="822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847"/>
      <c r="AG43" s="5019" t="s">
        <v>651</v>
      </c>
      <c r="AH43" s="5020"/>
    </row>
    <row r="44" spans="1:35" ht="15.75" customHeight="1">
      <c r="A44" s="5030"/>
      <c r="B44" s="1939" t="s">
        <v>522</v>
      </c>
      <c r="C44" s="1972" t="s">
        <v>114</v>
      </c>
      <c r="D44" s="4411" t="s">
        <v>652</v>
      </c>
      <c r="E44" s="4411"/>
      <c r="F44" s="4411"/>
      <c r="G44" s="4411"/>
      <c r="H44" s="4411"/>
      <c r="I44" s="4411"/>
      <c r="J44" s="4411"/>
      <c r="K44" s="4411"/>
      <c r="L44" s="4411"/>
      <c r="M44" s="4411"/>
      <c r="N44" s="4411"/>
      <c r="O44" s="4411"/>
      <c r="P44" s="4411"/>
      <c r="Q44" s="4411"/>
      <c r="R44" s="4411"/>
      <c r="S44" s="779"/>
      <c r="T44" s="779"/>
      <c r="U44" s="4463" t="s">
        <v>637</v>
      </c>
      <c r="V44" s="4413"/>
      <c r="W44" s="4413"/>
      <c r="X44" s="4413"/>
      <c r="Y44" s="4413"/>
      <c r="Z44" s="4413"/>
      <c r="AA44" s="4413"/>
      <c r="AB44" s="4413"/>
      <c r="AC44" s="4413"/>
      <c r="AD44" s="4413"/>
      <c r="AE44" s="4413"/>
      <c r="AF44" s="4413"/>
      <c r="AG44" s="4413"/>
      <c r="AH44" s="4455"/>
    </row>
    <row r="45" spans="1:35" ht="15.75">
      <c r="A45" s="5030"/>
      <c r="B45" s="1939" t="s">
        <v>120</v>
      </c>
      <c r="C45" s="1972" t="s">
        <v>121</v>
      </c>
      <c r="D45" s="5092" t="s">
        <v>653</v>
      </c>
      <c r="E45" s="5092"/>
      <c r="F45" s="5092"/>
      <c r="G45" s="5092"/>
      <c r="H45" s="5092"/>
      <c r="I45" s="5092"/>
      <c r="J45" s="5092"/>
      <c r="K45" s="5092"/>
      <c r="L45" s="5092"/>
      <c r="M45" s="5092"/>
      <c r="N45" s="5092"/>
      <c r="O45" s="5092"/>
      <c r="P45" s="5092"/>
      <c r="Q45" s="5092"/>
      <c r="R45" s="5092"/>
      <c r="S45" s="5092"/>
      <c r="T45" s="5092"/>
      <c r="U45" s="5092"/>
      <c r="V45" s="5093"/>
      <c r="W45" s="3562" t="s">
        <v>55</v>
      </c>
      <c r="X45" s="779"/>
      <c r="Y45" s="779"/>
      <c r="Z45" s="779"/>
      <c r="AA45" s="779"/>
      <c r="AB45" s="779"/>
      <c r="AC45" s="779"/>
      <c r="AD45" s="779"/>
      <c r="AE45" s="779"/>
      <c r="AF45" s="4475" t="s">
        <v>112</v>
      </c>
      <c r="AG45" s="4475"/>
      <c r="AH45" s="4506"/>
    </row>
    <row r="46" spans="1:35">
      <c r="A46" s="5030"/>
      <c r="B46" s="1939" t="s">
        <v>122</v>
      </c>
      <c r="C46" s="1972" t="s">
        <v>123</v>
      </c>
      <c r="D46" s="693"/>
      <c r="E46" s="1324"/>
      <c r="F46" s="1324"/>
      <c r="G46" s="1324"/>
      <c r="H46" s="1324"/>
      <c r="I46" s="1324"/>
      <c r="J46" s="1324"/>
      <c r="K46" s="1324"/>
      <c r="L46" s="694"/>
      <c r="M46" s="779"/>
      <c r="N46" s="779"/>
      <c r="O46" s="779"/>
      <c r="P46" s="779"/>
      <c r="Q46" s="779"/>
      <c r="R46" s="779"/>
      <c r="S46" s="779"/>
      <c r="T46" s="779"/>
      <c r="U46" s="779"/>
      <c r="V46" s="779"/>
      <c r="W46" s="779"/>
      <c r="X46" s="779"/>
      <c r="Y46" s="779"/>
      <c r="Z46" s="779"/>
      <c r="AA46" s="779"/>
      <c r="AB46" s="779"/>
      <c r="AC46" s="779"/>
      <c r="AD46" s="779"/>
      <c r="AE46" s="779"/>
      <c r="AF46" s="4333" t="s">
        <v>112</v>
      </c>
      <c r="AG46" s="4411"/>
      <c r="AH46" s="4559"/>
    </row>
    <row r="47" spans="1:35" ht="15.75">
      <c r="A47" s="5030"/>
      <c r="B47" s="1939" t="s">
        <v>122</v>
      </c>
      <c r="C47" s="1972" t="s">
        <v>553</v>
      </c>
      <c r="D47" s="3638" t="s">
        <v>649</v>
      </c>
      <c r="E47" s="3562" t="s">
        <v>55</v>
      </c>
      <c r="F47" s="779"/>
      <c r="G47" s="905"/>
      <c r="H47" s="905"/>
      <c r="I47" s="905"/>
      <c r="J47" s="905"/>
      <c r="K47" s="905"/>
      <c r="L47" s="204"/>
      <c r="M47" s="1678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5019" t="s">
        <v>651</v>
      </c>
      <c r="AH47" s="5020"/>
    </row>
    <row r="48" spans="1:35" ht="15.75" customHeight="1">
      <c r="A48" s="5030"/>
      <c r="B48" s="1939" t="s">
        <v>124</v>
      </c>
      <c r="C48" s="1972" t="s">
        <v>125</v>
      </c>
      <c r="D48" s="5100" t="s">
        <v>654</v>
      </c>
      <c r="E48" s="5100"/>
      <c r="F48" s="5100"/>
      <c r="G48" s="5100"/>
      <c r="H48" s="5100"/>
      <c r="I48" s="5100"/>
      <c r="J48" s="5100"/>
      <c r="K48" s="5100"/>
      <c r="L48" s="5100"/>
      <c r="M48" s="5100"/>
      <c r="N48" s="5100"/>
      <c r="O48" s="5100"/>
      <c r="P48" s="5100"/>
      <c r="Q48" s="5100"/>
      <c r="R48" s="5100"/>
      <c r="S48" s="5100"/>
      <c r="T48" s="5100"/>
      <c r="U48" s="5100"/>
      <c r="V48" s="5100"/>
      <c r="W48" s="5100"/>
      <c r="X48" s="5101"/>
      <c r="Y48" s="904"/>
      <c r="Z48" s="779"/>
      <c r="AA48" s="779"/>
      <c r="AB48" s="779"/>
      <c r="AC48" s="779"/>
      <c r="AD48" s="779"/>
      <c r="AE48" s="779"/>
      <c r="AF48" s="779"/>
      <c r="AG48" s="779"/>
      <c r="AH48" s="804"/>
    </row>
    <row r="49" spans="1:35" ht="15.75" customHeight="1">
      <c r="A49" s="5030"/>
      <c r="B49" s="1939" t="s">
        <v>655</v>
      </c>
      <c r="C49" s="1972" t="s">
        <v>656</v>
      </c>
      <c r="D49" s="1498"/>
      <c r="E49" s="904"/>
      <c r="F49" s="904"/>
      <c r="G49" s="904"/>
      <c r="H49" s="904"/>
      <c r="I49" s="904"/>
      <c r="J49" s="904"/>
      <c r="K49" s="904"/>
      <c r="L49" s="904"/>
      <c r="M49" s="904"/>
      <c r="N49" s="904"/>
      <c r="O49" s="904"/>
      <c r="P49" s="904"/>
      <c r="Q49" s="904"/>
      <c r="R49" s="904"/>
      <c r="S49" s="904"/>
      <c r="T49" s="904"/>
      <c r="U49" s="904"/>
      <c r="V49" s="904"/>
      <c r="W49" s="904"/>
      <c r="X49" s="904"/>
      <c r="Y49" s="1498"/>
      <c r="Z49" s="779"/>
      <c r="AA49" s="779"/>
      <c r="AB49" s="779"/>
      <c r="AC49" s="779"/>
      <c r="AD49" s="779"/>
      <c r="AE49" s="779"/>
      <c r="AF49" s="4333" t="s">
        <v>112</v>
      </c>
      <c r="AG49" s="4411"/>
      <c r="AH49" s="4559"/>
    </row>
    <row r="50" spans="1:35">
      <c r="A50" s="5030"/>
      <c r="B50" s="1939" t="s">
        <v>127</v>
      </c>
      <c r="C50" s="1972" t="s">
        <v>128</v>
      </c>
      <c r="D50" s="3641" t="s">
        <v>112</v>
      </c>
      <c r="E50" s="778"/>
      <c r="F50" s="778"/>
      <c r="G50" s="778"/>
      <c r="H50" s="778"/>
      <c r="I50" s="778"/>
      <c r="J50" s="778"/>
      <c r="K50" s="778"/>
      <c r="L50" s="778"/>
      <c r="M50" s="778"/>
      <c r="N50" s="778"/>
      <c r="O50" s="2217" t="s">
        <v>626</v>
      </c>
      <c r="P50" s="778"/>
      <c r="Q50" s="778"/>
      <c r="R50" s="778"/>
      <c r="S50" s="778"/>
      <c r="T50" s="778"/>
      <c r="U50" s="778"/>
      <c r="V50" s="778"/>
      <c r="W50" s="778"/>
      <c r="X50" s="778"/>
      <c r="Y50" s="779"/>
      <c r="Z50" s="779"/>
      <c r="AA50" s="779"/>
      <c r="AB50" s="779"/>
      <c r="AC50" s="779"/>
      <c r="AD50" s="779"/>
      <c r="AE50" s="779"/>
      <c r="AF50" s="779"/>
      <c r="AG50" s="779"/>
      <c r="AH50" s="804"/>
    </row>
    <row r="51" spans="1:35" ht="15.75" customHeight="1">
      <c r="A51" s="5030"/>
      <c r="B51" s="1939" t="s">
        <v>554</v>
      </c>
      <c r="C51" s="1972" t="s">
        <v>555</v>
      </c>
      <c r="D51" s="822"/>
      <c r="E51" s="780"/>
      <c r="F51" s="780"/>
      <c r="G51" s="780"/>
      <c r="H51" s="780"/>
      <c r="I51" s="780"/>
      <c r="J51" s="780"/>
      <c r="K51" s="780"/>
      <c r="L51" s="780"/>
      <c r="M51" s="780"/>
      <c r="N51" s="780"/>
      <c r="O51" s="780"/>
      <c r="P51" s="780"/>
      <c r="Q51" s="780"/>
      <c r="R51" s="780"/>
      <c r="S51" s="780"/>
      <c r="T51" s="780"/>
      <c r="U51" s="780"/>
      <c r="V51" s="780"/>
      <c r="W51" s="780"/>
      <c r="X51" s="780"/>
      <c r="Y51" s="780"/>
      <c r="Z51" s="780"/>
      <c r="AA51" s="780"/>
      <c r="AB51" s="780"/>
      <c r="AC51" s="783"/>
      <c r="AD51" s="780"/>
      <c r="AE51" s="780"/>
      <c r="AF51" s="784"/>
      <c r="AG51" s="780"/>
      <c r="AH51" s="806"/>
    </row>
    <row r="52" spans="1:35" ht="15.75" customHeight="1">
      <c r="A52" s="5030"/>
      <c r="B52" s="1939" t="s">
        <v>127</v>
      </c>
      <c r="C52" s="1972" t="s">
        <v>657</v>
      </c>
      <c r="D52" s="2223"/>
      <c r="E52" s="779"/>
      <c r="F52" s="779"/>
      <c r="G52" s="779"/>
      <c r="H52" s="779"/>
      <c r="I52" s="779"/>
      <c r="J52" s="779"/>
      <c r="K52" s="779"/>
      <c r="L52" s="779"/>
      <c r="M52" s="779"/>
      <c r="N52" s="779"/>
      <c r="O52" s="779"/>
      <c r="P52" s="779"/>
      <c r="Q52" s="779"/>
      <c r="R52" s="779"/>
      <c r="S52" s="779"/>
      <c r="T52" s="779"/>
      <c r="U52" s="779"/>
      <c r="V52" s="779"/>
      <c r="W52" s="779"/>
      <c r="X52" s="779"/>
      <c r="Y52" s="779"/>
      <c r="Z52" s="779"/>
      <c r="AA52" s="779"/>
      <c r="AB52" s="779"/>
      <c r="AC52" s="779"/>
      <c r="AD52" s="779"/>
      <c r="AE52" s="779"/>
      <c r="AF52" s="779"/>
      <c r="AG52" s="779"/>
      <c r="AH52" s="2257"/>
    </row>
    <row r="53" spans="1:35" ht="15.75">
      <c r="A53" s="5030"/>
      <c r="B53" s="1939" t="s">
        <v>129</v>
      </c>
      <c r="C53" s="1972" t="s">
        <v>474</v>
      </c>
      <c r="D53" s="3074" t="s">
        <v>658</v>
      </c>
      <c r="E53" s="2258" t="s">
        <v>55</v>
      </c>
      <c r="F53" s="5096" t="s">
        <v>654</v>
      </c>
      <c r="G53" s="5097"/>
      <c r="H53" s="5097"/>
      <c r="I53" s="5097"/>
      <c r="J53" s="5097"/>
      <c r="K53" s="5097"/>
      <c r="L53" s="5097"/>
      <c r="M53" s="5097"/>
      <c r="N53" s="5097"/>
      <c r="O53" s="5097"/>
      <c r="P53" s="5097"/>
      <c r="Q53" s="5097"/>
      <c r="R53" s="5097"/>
      <c r="S53" s="5097"/>
      <c r="T53" s="5097"/>
      <c r="U53" s="5097"/>
      <c r="V53" s="5097"/>
      <c r="W53" s="5097"/>
      <c r="X53" s="5098"/>
      <c r="Y53" s="778"/>
      <c r="Z53" s="778"/>
      <c r="AA53" s="778"/>
      <c r="AB53" s="778"/>
      <c r="AC53" s="781"/>
      <c r="AD53" s="778"/>
      <c r="AE53" s="778"/>
      <c r="AF53" s="5064" t="s">
        <v>112</v>
      </c>
      <c r="AG53" s="5094"/>
      <c r="AH53" s="5095"/>
    </row>
    <row r="54" spans="1:35" ht="15.75">
      <c r="A54" s="5030"/>
      <c r="B54" s="1939" t="s">
        <v>134</v>
      </c>
      <c r="C54" s="1972" t="s">
        <v>135</v>
      </c>
      <c r="D54" s="5092" t="s">
        <v>653</v>
      </c>
      <c r="E54" s="5092"/>
      <c r="F54" s="5102"/>
      <c r="G54" s="5092"/>
      <c r="H54" s="5092"/>
      <c r="I54" s="5092"/>
      <c r="J54" s="5092"/>
      <c r="K54" s="5092"/>
      <c r="L54" s="5092"/>
      <c r="M54" s="5092"/>
      <c r="N54" s="5092"/>
      <c r="O54" s="5092"/>
      <c r="P54" s="5092"/>
      <c r="Q54" s="5092"/>
      <c r="R54" s="5092"/>
      <c r="S54" s="5092"/>
      <c r="T54" s="5092"/>
      <c r="U54" s="5092"/>
      <c r="V54" s="5093"/>
      <c r="W54" s="3562" t="s">
        <v>55</v>
      </c>
      <c r="X54" s="779"/>
      <c r="Y54" s="779"/>
      <c r="Z54" s="779"/>
      <c r="AA54" s="779"/>
      <c r="AB54" s="779"/>
      <c r="AC54" s="847"/>
      <c r="AD54" s="779"/>
      <c r="AE54" s="779"/>
      <c r="AF54" s="705"/>
      <c r="AG54" s="2"/>
      <c r="AH54" s="696"/>
    </row>
    <row r="55" spans="1:35">
      <c r="A55" s="5030"/>
      <c r="B55" s="1949" t="s">
        <v>333</v>
      </c>
      <c r="C55" s="1981" t="s">
        <v>334</v>
      </c>
      <c r="D55" s="784"/>
      <c r="E55" s="780"/>
      <c r="F55" s="780"/>
      <c r="G55" s="780"/>
      <c r="H55" s="780"/>
      <c r="I55" s="780"/>
      <c r="J55" s="780"/>
      <c r="K55" s="780"/>
      <c r="L55" s="780"/>
      <c r="M55" s="780"/>
      <c r="N55" s="780"/>
      <c r="O55" s="780"/>
      <c r="P55" s="780"/>
      <c r="Q55" s="780"/>
      <c r="R55" s="780"/>
      <c r="S55" s="780"/>
      <c r="T55" s="780"/>
      <c r="U55" s="780"/>
      <c r="V55" s="780"/>
      <c r="W55" s="780"/>
      <c r="X55" s="780"/>
      <c r="Y55" s="780"/>
      <c r="Z55" s="780"/>
      <c r="AA55" s="780"/>
      <c r="AB55" s="780"/>
      <c r="AC55" s="780"/>
      <c r="AD55" s="785"/>
      <c r="AE55" s="785"/>
      <c r="AF55" s="785"/>
      <c r="AG55" s="785"/>
      <c r="AH55" s="808"/>
    </row>
    <row r="56" spans="1:35" ht="15.75" customHeight="1">
      <c r="A56" s="5029" t="s">
        <v>136</v>
      </c>
      <c r="B56" s="1937" t="s">
        <v>77</v>
      </c>
      <c r="C56" s="1937" t="s">
        <v>153</v>
      </c>
      <c r="D56" s="2199"/>
      <c r="E56" s="1467"/>
      <c r="F56" s="2200"/>
      <c r="G56" s="5023" t="s">
        <v>641</v>
      </c>
      <c r="H56" s="5024"/>
      <c r="I56" s="5024"/>
      <c r="J56" s="5024"/>
      <c r="K56" s="5025"/>
      <c r="L56" s="1332"/>
      <c r="M56" s="937"/>
      <c r="N56" s="937"/>
      <c r="O56" s="937"/>
      <c r="P56" s="937"/>
      <c r="Q56" s="937"/>
      <c r="R56" s="937"/>
      <c r="S56" s="937"/>
      <c r="T56" s="937"/>
      <c r="U56" s="937"/>
      <c r="V56" s="5021" t="s">
        <v>325</v>
      </c>
      <c r="W56" s="5021"/>
      <c r="X56" s="5021"/>
      <c r="Y56" s="5021"/>
      <c r="Z56" s="5021"/>
      <c r="AA56" s="5021"/>
      <c r="AB56" s="5021"/>
      <c r="AC56" s="5021"/>
      <c r="AD56" s="5021"/>
      <c r="AE56" s="5021"/>
      <c r="AF56" s="5021"/>
      <c r="AG56" s="5021"/>
      <c r="AH56" s="5022"/>
    </row>
    <row r="57" spans="1:35" ht="15.75" customHeight="1">
      <c r="A57" s="5030"/>
      <c r="B57" s="1939" t="s">
        <v>95</v>
      </c>
      <c r="C57" s="1949" t="s">
        <v>139</v>
      </c>
      <c r="D57" s="938"/>
      <c r="E57" s="780"/>
      <c r="F57" s="783"/>
      <c r="G57" s="5087" t="s">
        <v>641</v>
      </c>
      <c r="H57" s="5084"/>
      <c r="I57" s="5084"/>
      <c r="J57" s="5084"/>
      <c r="K57" s="5088"/>
      <c r="L57" s="822"/>
      <c r="M57" s="779"/>
      <c r="N57" s="905"/>
      <c r="O57" s="905"/>
      <c r="P57" s="905"/>
      <c r="Q57" s="905"/>
      <c r="R57" s="905"/>
      <c r="S57" s="779"/>
      <c r="T57" s="780"/>
      <c r="U57" s="780"/>
      <c r="V57" s="780"/>
      <c r="W57" s="780"/>
      <c r="X57" s="780"/>
      <c r="Y57" s="780"/>
      <c r="Z57" s="780"/>
      <c r="AA57" s="780"/>
      <c r="AB57" s="780"/>
      <c r="AC57" s="780"/>
      <c r="AD57" s="779"/>
      <c r="AE57" s="779"/>
      <c r="AF57" s="779"/>
      <c r="AG57" s="779"/>
      <c r="AH57" s="804"/>
      <c r="AI57" s="921"/>
    </row>
    <row r="58" spans="1:35" ht="15.75" customHeight="1">
      <c r="A58" s="5030"/>
      <c r="B58" s="1949" t="s">
        <v>142</v>
      </c>
      <c r="C58" s="1949" t="s">
        <v>143</v>
      </c>
      <c r="D58" s="936"/>
      <c r="E58" s="782"/>
      <c r="F58" s="848"/>
      <c r="G58" s="5089" t="s">
        <v>641</v>
      </c>
      <c r="H58" s="5090"/>
      <c r="I58" s="5090"/>
      <c r="J58" s="5090"/>
      <c r="K58" s="5091"/>
      <c r="L58" s="784"/>
      <c r="M58" s="780"/>
      <c r="N58" s="780"/>
      <c r="O58" s="780"/>
      <c r="P58" s="780"/>
      <c r="Q58" s="780"/>
      <c r="R58" s="780"/>
      <c r="S58" s="783"/>
      <c r="T58" s="4419" t="s">
        <v>158</v>
      </c>
      <c r="U58" s="4468"/>
      <c r="V58" s="4468"/>
      <c r="W58" s="4468"/>
      <c r="X58" s="4468"/>
      <c r="Y58" s="4468"/>
      <c r="Z58" s="4468"/>
      <c r="AA58" s="4468"/>
      <c r="AB58" s="4468"/>
      <c r="AC58" s="4515"/>
      <c r="AD58" s="784"/>
      <c r="AE58" s="780"/>
      <c r="AF58" s="780"/>
      <c r="AG58" s="780"/>
      <c r="AH58" s="806"/>
    </row>
    <row r="59" spans="1:35" ht="15.75" customHeight="1">
      <c r="A59" s="5029" t="s">
        <v>144</v>
      </c>
      <c r="B59" s="1989" t="s">
        <v>145</v>
      </c>
      <c r="C59" s="1950" t="s">
        <v>618</v>
      </c>
      <c r="D59" s="793"/>
      <c r="E59" s="778"/>
      <c r="F59" s="778"/>
      <c r="G59" s="778"/>
      <c r="H59" s="1450"/>
      <c r="I59" s="1450"/>
      <c r="J59" s="430"/>
      <c r="K59" s="778"/>
      <c r="L59" s="937"/>
      <c r="M59" s="937"/>
      <c r="N59" s="937"/>
      <c r="O59" s="937"/>
      <c r="P59" s="937"/>
      <c r="Q59" s="937"/>
      <c r="R59" s="937"/>
      <c r="S59" s="937"/>
      <c r="T59" s="937"/>
      <c r="U59" s="937"/>
      <c r="V59" s="937"/>
      <c r="W59" s="937"/>
      <c r="X59" s="937"/>
      <c r="Y59" s="937"/>
      <c r="Z59" s="937"/>
      <c r="AA59" s="937"/>
      <c r="AB59" s="937"/>
      <c r="AC59" s="937"/>
      <c r="AD59" s="937"/>
      <c r="AE59" s="1927"/>
      <c r="AF59" s="4599" t="s">
        <v>158</v>
      </c>
      <c r="AG59" s="4599"/>
      <c r="AH59" s="4653"/>
    </row>
    <row r="60" spans="1:35">
      <c r="A60" s="5030"/>
      <c r="B60" s="2196" t="s">
        <v>145</v>
      </c>
      <c r="C60" s="1952" t="s">
        <v>148</v>
      </c>
      <c r="D60" s="822"/>
      <c r="E60" s="779"/>
      <c r="F60" s="779"/>
      <c r="G60" s="779"/>
      <c r="H60" s="779"/>
      <c r="I60" s="5026" t="s">
        <v>647</v>
      </c>
      <c r="J60" s="5026"/>
      <c r="K60" s="779"/>
      <c r="L60" s="779"/>
      <c r="M60" s="779"/>
      <c r="N60" s="779"/>
      <c r="O60" s="2217" t="s">
        <v>626</v>
      </c>
      <c r="P60" s="779"/>
      <c r="Q60" s="4413" t="s">
        <v>659</v>
      </c>
      <c r="R60" s="4413"/>
      <c r="S60" s="4413"/>
      <c r="T60" s="4413"/>
      <c r="U60" s="4413"/>
      <c r="V60" s="4413"/>
      <c r="W60" s="4413"/>
      <c r="X60" s="4413"/>
      <c r="Y60" s="4413"/>
      <c r="Z60" s="4413"/>
      <c r="AA60" s="4413"/>
      <c r="AB60" s="4413"/>
      <c r="AC60" s="4413"/>
      <c r="AD60" s="4414"/>
      <c r="AE60" s="361"/>
      <c r="AF60" s="430"/>
      <c r="AG60" s="430"/>
      <c r="AH60" s="1071"/>
    </row>
    <row r="61" spans="1:35">
      <c r="A61" s="5030"/>
      <c r="B61" s="2196" t="s">
        <v>149</v>
      </c>
      <c r="C61" s="1952" t="s">
        <v>150</v>
      </c>
      <c r="D61" s="822"/>
      <c r="E61" s="779"/>
      <c r="F61" s="779"/>
      <c r="G61" s="5026" t="s">
        <v>647</v>
      </c>
      <c r="H61" s="5026"/>
      <c r="I61" s="779"/>
      <c r="J61" s="779"/>
      <c r="K61" s="779"/>
      <c r="L61" s="779"/>
      <c r="M61" s="779"/>
      <c r="N61" s="779"/>
      <c r="O61" s="779"/>
      <c r="P61" s="779"/>
      <c r="Q61" s="4413" t="s">
        <v>659</v>
      </c>
      <c r="R61" s="4413"/>
      <c r="S61" s="4413"/>
      <c r="T61" s="4413"/>
      <c r="U61" s="4413"/>
      <c r="V61" s="4413"/>
      <c r="W61" s="4413"/>
      <c r="X61" s="4413"/>
      <c r="Y61" s="4413"/>
      <c r="Z61" s="4413"/>
      <c r="AA61" s="4413"/>
      <c r="AB61" s="4413"/>
      <c r="AC61" s="4413"/>
      <c r="AD61" s="4414"/>
      <c r="AE61" s="779"/>
      <c r="AF61" s="780"/>
      <c r="AG61" s="780"/>
      <c r="AH61" s="806"/>
    </row>
    <row r="62" spans="1:35">
      <c r="A62" s="5030"/>
      <c r="B62" s="2227" t="s">
        <v>149</v>
      </c>
      <c r="C62" s="2236" t="s">
        <v>151</v>
      </c>
      <c r="D62" s="1404"/>
      <c r="E62" s="782"/>
      <c r="F62" s="782"/>
      <c r="G62" s="782"/>
      <c r="H62" s="1404"/>
      <c r="I62" s="782"/>
      <c r="J62" s="5027" t="s">
        <v>647</v>
      </c>
      <c r="K62" s="5027"/>
      <c r="L62" s="782"/>
      <c r="M62" s="782"/>
      <c r="N62" s="782"/>
      <c r="O62" s="782"/>
      <c r="P62" s="782"/>
      <c r="Q62" s="782"/>
      <c r="R62" s="782"/>
      <c r="S62" s="782"/>
      <c r="T62" s="782"/>
      <c r="U62" s="782"/>
      <c r="V62" s="782"/>
      <c r="W62" s="782"/>
      <c r="X62" s="782"/>
      <c r="Y62" s="782"/>
      <c r="Z62" s="782"/>
      <c r="AA62" s="782"/>
      <c r="AB62" s="782"/>
      <c r="AC62" s="782"/>
      <c r="AD62" s="782"/>
      <c r="AE62" s="1337"/>
      <c r="AF62" s="4443" t="s">
        <v>158</v>
      </c>
      <c r="AG62" s="4443"/>
      <c r="AH62" s="5086"/>
    </row>
    <row r="63" spans="1:35" ht="22.5" customHeight="1">
      <c r="A63" s="5011" t="s">
        <v>13</v>
      </c>
      <c r="B63" s="2005" t="s">
        <v>283</v>
      </c>
      <c r="C63" s="1996" t="s">
        <v>78</v>
      </c>
      <c r="D63" s="793"/>
      <c r="E63" s="778"/>
      <c r="F63" s="778"/>
      <c r="G63" s="778"/>
      <c r="H63" s="778"/>
      <c r="I63" s="778"/>
      <c r="J63" s="778"/>
      <c r="K63" s="1930" t="s">
        <v>625</v>
      </c>
      <c r="L63" s="778"/>
      <c r="M63" s="778"/>
      <c r="N63" s="778"/>
      <c r="O63" s="2217" t="s">
        <v>626</v>
      </c>
      <c r="P63" s="778"/>
      <c r="Q63" s="778"/>
      <c r="R63" s="778"/>
      <c r="S63" s="778"/>
      <c r="T63" s="778"/>
      <c r="U63" s="4550" t="s">
        <v>482</v>
      </c>
      <c r="V63" s="4551"/>
      <c r="W63" s="4551"/>
      <c r="X63" s="4551"/>
      <c r="Y63" s="5103"/>
      <c r="Z63" s="778"/>
      <c r="AA63" s="778"/>
      <c r="AB63" s="778"/>
      <c r="AC63" s="778"/>
      <c r="AD63" s="778"/>
      <c r="AE63" s="781"/>
      <c r="AF63" s="778"/>
      <c r="AG63" s="778"/>
      <c r="AH63" s="805"/>
    </row>
    <row r="64" spans="1:35" ht="22.5" customHeight="1">
      <c r="A64" s="5012"/>
      <c r="B64" s="2230" t="s">
        <v>248</v>
      </c>
      <c r="C64" s="1995" t="s">
        <v>620</v>
      </c>
      <c r="D64" s="822"/>
      <c r="E64" s="779"/>
      <c r="F64" s="779"/>
      <c r="G64" s="779"/>
      <c r="H64" s="779"/>
      <c r="I64" s="779"/>
      <c r="J64" s="779"/>
      <c r="K64" s="1922" t="s">
        <v>625</v>
      </c>
      <c r="L64" s="779"/>
      <c r="M64" s="779"/>
      <c r="N64" s="779"/>
      <c r="O64" s="2217" t="s">
        <v>626</v>
      </c>
      <c r="P64" s="779"/>
      <c r="Q64" s="779"/>
      <c r="R64" s="779"/>
      <c r="S64" s="779"/>
      <c r="T64" s="779"/>
      <c r="U64" s="779"/>
      <c r="V64" s="779"/>
      <c r="W64" s="779"/>
      <c r="X64" s="779"/>
      <c r="Y64" s="779"/>
      <c r="Z64" s="779"/>
      <c r="AA64" s="779"/>
      <c r="AB64" s="779"/>
      <c r="AC64" s="779"/>
      <c r="AD64" s="779"/>
      <c r="AE64" s="847"/>
      <c r="AF64" s="779"/>
      <c r="AG64" s="779"/>
      <c r="AH64" s="804"/>
    </row>
    <row r="65" spans="1:34" ht="22.5" customHeight="1">
      <c r="A65" s="5012"/>
      <c r="B65" s="2230" t="s">
        <v>127</v>
      </c>
      <c r="C65" s="1995" t="s">
        <v>132</v>
      </c>
      <c r="D65" s="822"/>
      <c r="E65" s="779"/>
      <c r="F65" s="779"/>
      <c r="G65" s="779"/>
      <c r="H65" s="779"/>
      <c r="I65" s="779"/>
      <c r="J65" s="779"/>
      <c r="K65" s="1922" t="s">
        <v>625</v>
      </c>
      <c r="L65" s="779"/>
      <c r="M65" s="779"/>
      <c r="N65" s="779"/>
      <c r="O65" s="2217" t="s">
        <v>626</v>
      </c>
      <c r="P65" s="779"/>
      <c r="Q65" s="4475" t="s">
        <v>158</v>
      </c>
      <c r="R65" s="4475"/>
      <c r="S65" s="4475"/>
      <c r="T65" s="4475"/>
      <c r="U65" s="4475"/>
      <c r="V65" s="4475"/>
      <c r="W65" s="4475"/>
      <c r="X65" s="4475"/>
      <c r="Y65" s="4475"/>
      <c r="Z65" s="4475"/>
      <c r="AA65" s="4475"/>
      <c r="AB65" s="4475"/>
      <c r="AC65" s="4475"/>
      <c r="AD65" s="4649"/>
      <c r="AE65" s="780"/>
      <c r="AF65" s="779"/>
      <c r="AG65" s="5019" t="s">
        <v>651</v>
      </c>
      <c r="AH65" s="5020"/>
    </row>
    <row r="66" spans="1:34">
      <c r="A66" s="5012"/>
      <c r="B66" s="2230" t="s">
        <v>95</v>
      </c>
      <c r="C66" s="1995" t="s">
        <v>303</v>
      </c>
      <c r="D66" s="1986"/>
      <c r="E66" s="779"/>
      <c r="F66" s="784"/>
      <c r="G66" s="780"/>
      <c r="H66" s="780"/>
      <c r="I66" s="780"/>
      <c r="J66" s="780"/>
      <c r="K66" s="780"/>
      <c r="L66" s="780"/>
      <c r="M66" s="780"/>
      <c r="N66" s="780"/>
      <c r="O66" s="780"/>
      <c r="P66" s="780"/>
      <c r="Q66" s="780"/>
      <c r="R66" s="780"/>
      <c r="S66" s="780"/>
      <c r="T66" s="780"/>
      <c r="U66" s="780"/>
      <c r="V66" s="780"/>
      <c r="W66" s="780"/>
      <c r="X66" s="780"/>
      <c r="Y66" s="780"/>
      <c r="Z66" s="780"/>
      <c r="AA66" s="780"/>
      <c r="AB66" s="785"/>
      <c r="AC66" s="785"/>
      <c r="AD66" s="4463" t="s">
        <v>482</v>
      </c>
      <c r="AE66" s="4413"/>
      <c r="AF66" s="4413"/>
      <c r="AG66" s="4413"/>
      <c r="AH66" s="4455"/>
    </row>
    <row r="67" spans="1:34">
      <c r="A67" s="5012"/>
      <c r="B67" s="2230" t="s">
        <v>155</v>
      </c>
      <c r="C67" s="1995" t="s">
        <v>532</v>
      </c>
      <c r="D67" s="784"/>
      <c r="E67" s="785"/>
      <c r="F67" s="780"/>
      <c r="G67" s="780"/>
      <c r="H67" s="780"/>
      <c r="I67" s="780"/>
      <c r="J67" s="780"/>
      <c r="K67" s="780"/>
      <c r="L67" s="780"/>
      <c r="M67" s="780"/>
      <c r="N67" s="780"/>
      <c r="O67" s="5028" t="s">
        <v>482</v>
      </c>
      <c r="P67" s="4420"/>
      <c r="Q67" s="4420"/>
      <c r="R67" s="4420"/>
      <c r="S67" s="4420"/>
      <c r="T67" s="4420"/>
      <c r="U67" s="4420"/>
      <c r="V67" s="4420"/>
      <c r="W67" s="4420"/>
      <c r="X67" s="4420"/>
      <c r="Y67" s="4420"/>
      <c r="Z67" s="4420"/>
      <c r="AA67" s="4420"/>
      <c r="AB67" s="4418"/>
      <c r="AC67" s="784"/>
      <c r="AD67" s="780"/>
      <c r="AE67" s="783"/>
      <c r="AF67" s="780"/>
      <c r="AG67" s="780"/>
      <c r="AH67" s="806"/>
    </row>
    <row r="68" spans="1:34">
      <c r="A68" s="5012"/>
      <c r="B68" s="2231" t="s">
        <v>90</v>
      </c>
      <c r="C68" s="322" t="s">
        <v>660</v>
      </c>
      <c r="D68" s="706"/>
      <c r="E68" s="321"/>
      <c r="F68" s="321"/>
      <c r="G68" s="321"/>
      <c r="H68" s="321"/>
      <c r="I68" s="321"/>
      <c r="J68" s="321"/>
      <c r="K68" s="321"/>
      <c r="L68" s="321"/>
      <c r="M68" s="321"/>
      <c r="N68" s="321"/>
      <c r="O68" s="321"/>
      <c r="P68" s="321"/>
      <c r="Q68" s="321"/>
      <c r="R68" s="321"/>
      <c r="S68" s="321"/>
      <c r="T68" s="321"/>
      <c r="U68" s="321"/>
      <c r="V68" s="321"/>
      <c r="W68" s="321"/>
      <c r="X68" s="5013" t="s">
        <v>619</v>
      </c>
      <c r="Y68" s="5014"/>
      <c r="Z68" s="5014"/>
      <c r="AA68" s="5014"/>
      <c r="AB68" s="5014"/>
      <c r="AC68" s="5014"/>
      <c r="AD68" s="5014"/>
      <c r="AE68" s="5014"/>
      <c r="AF68" s="5014"/>
      <c r="AG68" s="5014"/>
      <c r="AH68" s="5015"/>
    </row>
  </sheetData>
  <mergeCells count="90">
    <mergeCell ref="AG65:AH65"/>
    <mergeCell ref="Q60:AD60"/>
    <mergeCell ref="AF37:AH37"/>
    <mergeCell ref="AF35:AH35"/>
    <mergeCell ref="D45:V45"/>
    <mergeCell ref="AF45:AH45"/>
    <mergeCell ref="AF53:AH53"/>
    <mergeCell ref="AF49:AH49"/>
    <mergeCell ref="F53:X53"/>
    <mergeCell ref="I37:J37"/>
    <mergeCell ref="D48:X48"/>
    <mergeCell ref="D44:R44"/>
    <mergeCell ref="T58:AC58"/>
    <mergeCell ref="D54:V54"/>
    <mergeCell ref="Y42:AH42"/>
    <mergeCell ref="U63:Y63"/>
    <mergeCell ref="AF59:AH59"/>
    <mergeCell ref="AF62:AH62"/>
    <mergeCell ref="G57:K57"/>
    <mergeCell ref="G58:K58"/>
    <mergeCell ref="Q61:AD61"/>
    <mergeCell ref="U26:Y26"/>
    <mergeCell ref="AF25:AH25"/>
    <mergeCell ref="G30:K30"/>
    <mergeCell ref="AG30:AH30"/>
    <mergeCell ref="U44:AH44"/>
    <mergeCell ref="AF32:AH32"/>
    <mergeCell ref="Q38:AD38"/>
    <mergeCell ref="G38:K38"/>
    <mergeCell ref="G35:K35"/>
    <mergeCell ref="G36:H36"/>
    <mergeCell ref="S36:AC36"/>
    <mergeCell ref="W33:AD33"/>
    <mergeCell ref="G34:K34"/>
    <mergeCell ref="G33:H33"/>
    <mergeCell ref="Q34:W34"/>
    <mergeCell ref="G32:K32"/>
    <mergeCell ref="D1:AH1"/>
    <mergeCell ref="D8:X8"/>
    <mergeCell ref="R4:AH4"/>
    <mergeCell ref="AF6:AH6"/>
    <mergeCell ref="D5:V5"/>
    <mergeCell ref="A1:C1"/>
    <mergeCell ref="A2:C2"/>
    <mergeCell ref="A3:C3"/>
    <mergeCell ref="A4:C4"/>
    <mergeCell ref="A5:C5"/>
    <mergeCell ref="D31:I31"/>
    <mergeCell ref="S24:AE24"/>
    <mergeCell ref="A6:C6"/>
    <mergeCell ref="A7:C7"/>
    <mergeCell ref="A10:C10"/>
    <mergeCell ref="A8:C8"/>
    <mergeCell ref="A12:C12"/>
    <mergeCell ref="A13:C13"/>
    <mergeCell ref="A14:C14"/>
    <mergeCell ref="A15:C15"/>
    <mergeCell ref="A9:C9"/>
    <mergeCell ref="A11:C11"/>
    <mergeCell ref="G18:K18"/>
    <mergeCell ref="H20:I20"/>
    <mergeCell ref="H25:J25"/>
    <mergeCell ref="V27:AA27"/>
    <mergeCell ref="A38:A55"/>
    <mergeCell ref="A30:A32"/>
    <mergeCell ref="A28:A29"/>
    <mergeCell ref="A16:C16"/>
    <mergeCell ref="A18:C18"/>
    <mergeCell ref="A20:C20"/>
    <mergeCell ref="A21:C21"/>
    <mergeCell ref="A22:C22"/>
    <mergeCell ref="A17:C17"/>
    <mergeCell ref="A23:C23"/>
    <mergeCell ref="A33:A37"/>
    <mergeCell ref="AD66:AH66"/>
    <mergeCell ref="A63:A68"/>
    <mergeCell ref="X68:AH68"/>
    <mergeCell ref="F42:X42"/>
    <mergeCell ref="AG47:AH47"/>
    <mergeCell ref="AF46:AH46"/>
    <mergeCell ref="AG43:AH43"/>
    <mergeCell ref="V56:AH56"/>
    <mergeCell ref="G56:K56"/>
    <mergeCell ref="I60:J60"/>
    <mergeCell ref="J62:K62"/>
    <mergeCell ref="G61:H61"/>
    <mergeCell ref="O67:AB67"/>
    <mergeCell ref="Q65:AD65"/>
    <mergeCell ref="A56:A58"/>
    <mergeCell ref="A59:A62"/>
  </mergeCells>
  <pageMargins left="0.25" right="0.25" top="0.75" bottom="0.75" header="0.3" footer="0.3"/>
  <pageSetup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33FE-5DBC-41BC-BCF7-1E2534275F0E}">
  <sheetPr>
    <pageSetUpPr fitToPage="1"/>
  </sheetPr>
  <dimension ref="A1:AH66"/>
  <sheetViews>
    <sheetView workbookViewId="0">
      <pane xSplit="3" ySplit="4" topLeftCell="AD44" activePane="bottomRight" state="frozen"/>
      <selection pane="bottomRight" activeCell="AD44" sqref="AD44:AE44"/>
      <selection pane="bottomLeft"/>
      <selection pane="topRight"/>
    </sheetView>
  </sheetViews>
  <sheetFormatPr defaultRowHeight="15"/>
  <cols>
    <col min="3" max="3" width="11.5703125" bestFit="1" customWidth="1"/>
  </cols>
  <sheetData>
    <row r="1" spans="1:33" ht="15.75">
      <c r="A1" s="5159" t="s">
        <v>29</v>
      </c>
      <c r="B1" s="5159"/>
      <c r="C1" s="5159"/>
      <c r="D1" s="5160" t="s">
        <v>661</v>
      </c>
      <c r="E1" s="5161"/>
      <c r="F1" s="5161"/>
      <c r="G1" s="5161"/>
      <c r="H1" s="5161"/>
      <c r="I1" s="5161"/>
      <c r="J1" s="5161"/>
      <c r="K1" s="5161"/>
      <c r="L1" s="5161"/>
      <c r="M1" s="5161"/>
      <c r="N1" s="5161"/>
      <c r="O1" s="5161"/>
      <c r="P1" s="5161"/>
      <c r="Q1" s="5161"/>
      <c r="R1" s="5161"/>
      <c r="S1" s="5161"/>
      <c r="T1" s="5161"/>
      <c r="U1" s="5161"/>
      <c r="V1" s="5161"/>
      <c r="W1" s="5161"/>
      <c r="X1" s="5161"/>
      <c r="Y1" s="5161"/>
      <c r="Z1" s="5161"/>
      <c r="AA1" s="5161"/>
      <c r="AB1" s="5161"/>
      <c r="AC1" s="5161"/>
      <c r="AD1" s="5161"/>
      <c r="AE1" s="5161"/>
      <c r="AF1" s="5161"/>
      <c r="AG1" s="5162"/>
    </row>
    <row r="2" spans="1:33" ht="15.75">
      <c r="A2" s="5163" t="s">
        <v>31</v>
      </c>
      <c r="B2" s="5163"/>
      <c r="C2" s="5163"/>
      <c r="D2" s="2030">
        <v>1</v>
      </c>
      <c r="E2" s="2031">
        <v>2</v>
      </c>
      <c r="F2" s="2031">
        <v>3</v>
      </c>
      <c r="G2" s="2031">
        <v>4</v>
      </c>
      <c r="H2" s="2031">
        <v>5</v>
      </c>
      <c r="I2" s="2031">
        <v>6</v>
      </c>
      <c r="J2" s="2031">
        <v>7</v>
      </c>
      <c r="K2" s="2031">
        <v>8</v>
      </c>
      <c r="L2" s="2031">
        <v>9</v>
      </c>
      <c r="M2" s="2031">
        <v>10</v>
      </c>
      <c r="N2" s="2031">
        <v>11</v>
      </c>
      <c r="O2" s="2031">
        <v>12</v>
      </c>
      <c r="P2" s="2031">
        <v>13</v>
      </c>
      <c r="Q2" s="2031">
        <v>14</v>
      </c>
      <c r="R2" s="2031">
        <v>15</v>
      </c>
      <c r="S2" s="2031">
        <v>16</v>
      </c>
      <c r="T2" s="2031">
        <v>17</v>
      </c>
      <c r="U2" s="2031">
        <v>18</v>
      </c>
      <c r="V2" s="2031">
        <v>19</v>
      </c>
      <c r="W2" s="2031">
        <v>20</v>
      </c>
      <c r="X2" s="2031">
        <v>21</v>
      </c>
      <c r="Y2" s="2031">
        <v>22</v>
      </c>
      <c r="Z2" s="2031">
        <v>23</v>
      </c>
      <c r="AA2" s="2032">
        <v>24</v>
      </c>
      <c r="AB2" s="2032">
        <v>25</v>
      </c>
      <c r="AC2" s="2032">
        <v>26</v>
      </c>
      <c r="AD2" s="2032">
        <v>27</v>
      </c>
      <c r="AE2" s="2033">
        <v>28</v>
      </c>
      <c r="AF2" s="2033">
        <v>29</v>
      </c>
      <c r="AG2" s="2033">
        <v>30</v>
      </c>
    </row>
    <row r="3" spans="1:33" ht="15.75">
      <c r="A3" s="5164" t="s">
        <v>32</v>
      </c>
      <c r="B3" s="5164"/>
      <c r="C3" s="5164"/>
      <c r="D3" s="2034" t="s">
        <v>34</v>
      </c>
      <c r="E3" s="2032" t="s">
        <v>33</v>
      </c>
      <c r="F3" s="2032" t="s">
        <v>35</v>
      </c>
      <c r="G3" s="2035" t="s">
        <v>36</v>
      </c>
      <c r="H3" s="2035" t="s">
        <v>36</v>
      </c>
      <c r="I3" s="2032" t="s">
        <v>37</v>
      </c>
      <c r="J3" s="2032" t="s">
        <v>33</v>
      </c>
      <c r="K3" s="2032" t="s">
        <v>34</v>
      </c>
      <c r="L3" s="2036" t="s">
        <v>33</v>
      </c>
      <c r="M3" s="2035" t="s">
        <v>35</v>
      </c>
      <c r="N3" s="2035" t="s">
        <v>36</v>
      </c>
      <c r="O3" s="2035" t="s">
        <v>36</v>
      </c>
      <c r="P3" s="2035" t="s">
        <v>37</v>
      </c>
      <c r="Q3" s="2033" t="s">
        <v>33</v>
      </c>
      <c r="R3" s="2033" t="s">
        <v>34</v>
      </c>
      <c r="S3" s="2033" t="s">
        <v>33</v>
      </c>
      <c r="T3" s="2033" t="s">
        <v>35</v>
      </c>
      <c r="U3" s="2035" t="s">
        <v>36</v>
      </c>
      <c r="V3" s="2035" t="s">
        <v>36</v>
      </c>
      <c r="W3" s="2032" t="s">
        <v>37</v>
      </c>
      <c r="X3" s="2033" t="s">
        <v>33</v>
      </c>
      <c r="Y3" s="2033" t="s">
        <v>34</v>
      </c>
      <c r="Z3" s="2035" t="s">
        <v>33</v>
      </c>
      <c r="AA3" s="2035" t="s">
        <v>35</v>
      </c>
      <c r="AB3" s="2035" t="s">
        <v>36</v>
      </c>
      <c r="AC3" s="2035" t="s">
        <v>36</v>
      </c>
      <c r="AD3" s="2036" t="s">
        <v>37</v>
      </c>
      <c r="AE3" s="2033" t="s">
        <v>33</v>
      </c>
      <c r="AF3" s="2033" t="s">
        <v>34</v>
      </c>
      <c r="AG3" s="2033" t="s">
        <v>33</v>
      </c>
    </row>
    <row r="4" spans="1:33" ht="15.75">
      <c r="A4" s="5165" t="s">
        <v>38</v>
      </c>
      <c r="B4" s="5165"/>
      <c r="C4" s="5165"/>
      <c r="D4" s="2037"/>
      <c r="E4" s="2038"/>
      <c r="F4" s="2039"/>
      <c r="G4" s="2039"/>
      <c r="H4" s="2039"/>
      <c r="I4" s="2040"/>
      <c r="J4" s="2022"/>
      <c r="K4" s="2022"/>
      <c r="L4" s="2023"/>
      <c r="M4" s="5166" t="s">
        <v>662</v>
      </c>
      <c r="N4" s="5167"/>
      <c r="O4" s="5167"/>
      <c r="P4" s="5167"/>
      <c r="Q4" s="2038"/>
      <c r="R4" s="2038"/>
      <c r="S4" s="2038"/>
      <c r="T4" s="2039"/>
      <c r="U4" s="2038"/>
      <c r="V4" s="2038"/>
      <c r="W4" s="2038"/>
      <c r="X4" s="2038"/>
      <c r="Y4" s="2038"/>
      <c r="Z4" s="5166" t="s">
        <v>663</v>
      </c>
      <c r="AA4" s="5167"/>
      <c r="AB4" s="5167"/>
      <c r="AC4" s="5167"/>
      <c r="AD4" s="2041"/>
      <c r="AE4" s="2042"/>
      <c r="AF4" s="2043"/>
      <c r="AG4" s="2044"/>
    </row>
    <row r="5" spans="1:33" ht="15.75">
      <c r="A5" s="5218" t="s">
        <v>42</v>
      </c>
      <c r="B5" s="5218"/>
      <c r="C5" s="5219"/>
      <c r="D5" s="2045"/>
      <c r="E5" s="2046"/>
      <c r="F5" s="2046"/>
      <c r="G5" s="2046"/>
      <c r="H5" s="2046"/>
      <c r="I5" s="2046"/>
      <c r="J5" s="2046"/>
      <c r="K5" s="2046"/>
      <c r="L5" s="2046"/>
      <c r="M5" s="2046"/>
      <c r="N5" s="2046"/>
      <c r="O5" s="2046"/>
      <c r="P5" s="2046"/>
      <c r="Q5" s="2046"/>
      <c r="R5" s="2046"/>
      <c r="S5" s="2046"/>
      <c r="T5" s="2046"/>
      <c r="U5" s="2046"/>
      <c r="V5" s="2046"/>
      <c r="W5" s="2046"/>
      <c r="X5" s="2046"/>
      <c r="Y5" s="2046"/>
      <c r="Z5" s="2046"/>
      <c r="AA5" s="2046"/>
      <c r="AB5" s="2046"/>
      <c r="AC5" s="2046"/>
      <c r="AD5" s="5104" t="s">
        <v>469</v>
      </c>
      <c r="AE5" s="5105"/>
      <c r="AF5" s="5105"/>
      <c r="AG5" s="5106"/>
    </row>
    <row r="6" spans="1:33" ht="15.75">
      <c r="A6" s="5222" t="s">
        <v>165</v>
      </c>
      <c r="B6" s="5222"/>
      <c r="C6" s="5222"/>
      <c r="D6" s="2047"/>
      <c r="E6" s="2048"/>
      <c r="F6" s="2048"/>
      <c r="G6" s="2048"/>
      <c r="H6" s="2048"/>
      <c r="I6" s="2048"/>
      <c r="J6" s="2048"/>
      <c r="K6" s="2048"/>
      <c r="L6" s="2049"/>
      <c r="M6" s="2050"/>
      <c r="N6" s="2049"/>
      <c r="O6" s="2049"/>
      <c r="P6" s="2049"/>
      <c r="Q6" s="2049"/>
      <c r="R6" s="5169" t="s">
        <v>164</v>
      </c>
      <c r="S6" s="5170"/>
      <c r="T6" s="5170"/>
      <c r="U6" s="5170"/>
      <c r="V6" s="5170"/>
      <c r="W6" s="5170"/>
      <c r="X6" s="5170"/>
      <c r="Y6" s="2051"/>
      <c r="Z6" s="2051"/>
      <c r="AA6" s="2051"/>
      <c r="AB6" s="2051"/>
      <c r="AC6" s="2051"/>
      <c r="AD6" s="2051"/>
      <c r="AE6" s="2051"/>
      <c r="AF6" s="2051"/>
      <c r="AG6" s="2052"/>
    </row>
    <row r="7" spans="1:33" ht="15.75">
      <c r="A7" s="5228" t="s">
        <v>407</v>
      </c>
      <c r="B7" s="5229"/>
      <c r="C7" s="5229"/>
      <c r="D7" s="5168" t="s">
        <v>591</v>
      </c>
      <c r="E7" s="5105"/>
      <c r="F7" s="5105"/>
      <c r="G7" s="5105"/>
      <c r="H7" s="5105"/>
      <c r="I7" s="2048"/>
      <c r="J7" s="2048"/>
      <c r="K7" s="2048"/>
      <c r="L7" s="2048"/>
      <c r="M7" s="2048"/>
      <c r="N7" s="2048"/>
      <c r="O7" s="2048"/>
      <c r="P7" s="2048"/>
      <c r="Q7" s="2053"/>
      <c r="R7" s="2054"/>
      <c r="S7" s="2054"/>
      <c r="T7" s="2048"/>
      <c r="U7" s="2048"/>
      <c r="V7" s="2048"/>
      <c r="W7" s="2051"/>
      <c r="X7" s="2051"/>
      <c r="Y7" s="2051"/>
      <c r="Z7" s="2051"/>
      <c r="AA7" s="2051"/>
      <c r="AB7" s="2048"/>
      <c r="AC7" s="2051"/>
      <c r="AD7" s="2051"/>
      <c r="AE7" s="2051"/>
      <c r="AF7" s="2051"/>
      <c r="AG7" s="2052"/>
    </row>
    <row r="8" spans="1:33" ht="15.75">
      <c r="A8" s="5223" t="s">
        <v>262</v>
      </c>
      <c r="B8" s="5223"/>
      <c r="C8" s="5223"/>
      <c r="D8" s="2055"/>
      <c r="E8" s="2051"/>
      <c r="F8" s="2051"/>
      <c r="G8" s="2048"/>
      <c r="H8" s="2048"/>
      <c r="I8" s="2048"/>
      <c r="J8" s="2048"/>
      <c r="K8" s="2048"/>
      <c r="L8" s="2048"/>
      <c r="M8" s="2048"/>
      <c r="N8" s="2051"/>
      <c r="O8" s="2051"/>
      <c r="P8" s="2048"/>
      <c r="Q8" s="2048"/>
      <c r="R8" s="2048"/>
      <c r="S8" s="2048"/>
      <c r="T8" s="2048"/>
      <c r="U8" s="2048"/>
      <c r="V8" s="2048"/>
      <c r="W8" s="2048"/>
      <c r="X8" s="2048"/>
      <c r="Y8" s="2048"/>
      <c r="Z8" s="2048"/>
      <c r="AA8" s="2048"/>
      <c r="AB8" s="2048"/>
      <c r="AC8" s="2051"/>
      <c r="AD8" s="2051"/>
      <c r="AE8" s="2048"/>
      <c r="AF8" s="2048"/>
      <c r="AG8" s="2056"/>
    </row>
    <row r="9" spans="1:33" ht="15.75">
      <c r="A9" s="5224" t="s">
        <v>225</v>
      </c>
      <c r="B9" s="5224"/>
      <c r="C9" s="5224"/>
      <c r="D9" s="2047"/>
      <c r="E9" s="2048"/>
      <c r="F9" s="2048"/>
      <c r="G9" s="2048"/>
      <c r="H9" s="2048"/>
      <c r="I9" s="2048"/>
      <c r="J9" s="2048"/>
      <c r="K9" s="2048"/>
      <c r="L9" s="2048"/>
      <c r="M9" s="2048"/>
      <c r="N9" s="2051"/>
      <c r="O9" s="2051"/>
      <c r="P9" s="2048"/>
      <c r="Q9" s="2048"/>
      <c r="R9" s="2048"/>
      <c r="S9" s="2048"/>
      <c r="T9" s="2048"/>
      <c r="U9" s="2048"/>
      <c r="V9" s="2051"/>
      <c r="W9" s="2048"/>
      <c r="X9" s="2048"/>
      <c r="Y9" s="2048"/>
      <c r="Z9" s="2048"/>
      <c r="AA9" s="2048"/>
      <c r="AB9" s="2048"/>
      <c r="AC9" s="2051"/>
      <c r="AD9" s="2051"/>
      <c r="AE9" s="2048"/>
      <c r="AF9" s="2048"/>
      <c r="AG9" s="2056"/>
    </row>
    <row r="10" spans="1:33" ht="15.75">
      <c r="A10" s="5226" t="s">
        <v>272</v>
      </c>
      <c r="B10" s="5227"/>
      <c r="C10" s="5227"/>
      <c r="D10" s="2045"/>
      <c r="E10" s="2048"/>
      <c r="F10" s="2048"/>
      <c r="G10" s="2048"/>
      <c r="H10" s="2048"/>
      <c r="I10" s="2048"/>
      <c r="J10" s="2048"/>
      <c r="K10" s="2048"/>
      <c r="L10" s="2048"/>
      <c r="M10" s="2048"/>
      <c r="N10" s="2051"/>
      <c r="O10" s="2051"/>
      <c r="P10" s="2048"/>
      <c r="Q10" s="2048"/>
      <c r="R10" s="2048"/>
      <c r="S10" s="2048"/>
      <c r="T10" s="2048"/>
      <c r="U10" s="2048"/>
      <c r="V10" s="2051"/>
      <c r="W10" s="2048"/>
      <c r="X10" s="2048"/>
      <c r="Y10" s="2048"/>
      <c r="Z10" s="2048"/>
      <c r="AA10" s="2048"/>
      <c r="AB10" s="2048"/>
      <c r="AC10" s="2051"/>
      <c r="AD10" s="2051"/>
      <c r="AE10" s="2048"/>
      <c r="AF10" s="2048"/>
      <c r="AG10" s="2056"/>
    </row>
    <row r="11" spans="1:33" ht="15.75">
      <c r="A11" s="5230" t="s">
        <v>265</v>
      </c>
      <c r="B11" s="5230"/>
      <c r="C11" s="5230"/>
      <c r="D11" s="2057"/>
      <c r="E11" s="2054"/>
      <c r="F11" s="2054"/>
      <c r="G11" s="2054"/>
      <c r="H11" s="2054"/>
      <c r="I11" s="2054"/>
      <c r="J11" s="2054"/>
      <c r="K11" s="2054"/>
      <c r="L11" s="2054"/>
      <c r="M11" s="2058"/>
      <c r="N11" s="2048"/>
      <c r="O11" s="2048"/>
      <c r="P11" s="2048"/>
      <c r="Q11" s="2048"/>
      <c r="R11" s="2048"/>
      <c r="S11" s="2048"/>
      <c r="T11" s="2048"/>
      <c r="U11" s="2048"/>
      <c r="V11" s="2048"/>
      <c r="W11" s="2048"/>
      <c r="X11" s="2048"/>
      <c r="Y11" s="2048"/>
      <c r="Z11" s="2048"/>
      <c r="AA11" s="2048"/>
      <c r="AB11" s="2048"/>
      <c r="AC11" s="2051"/>
      <c r="AD11" s="2051"/>
      <c r="AE11" s="2048"/>
      <c r="AF11" s="2048"/>
      <c r="AG11" s="2056"/>
    </row>
    <row r="12" spans="1:33" ht="15.75">
      <c r="A12" s="5231" t="s">
        <v>60</v>
      </c>
      <c r="B12" s="5232"/>
      <c r="C12" s="5232"/>
      <c r="D12" s="5173" t="s">
        <v>664</v>
      </c>
      <c r="E12" s="5174"/>
      <c r="F12" s="5174"/>
      <c r="G12" s="5174"/>
      <c r="H12" s="5174"/>
      <c r="I12" s="5174"/>
      <c r="J12" s="5174"/>
      <c r="K12" s="5174"/>
      <c r="L12" s="5175"/>
      <c r="M12" s="2048"/>
      <c r="N12" s="2048"/>
      <c r="O12" s="2048"/>
      <c r="P12" s="2048"/>
      <c r="Q12" s="2048"/>
      <c r="R12" s="2048"/>
      <c r="S12" s="2048"/>
      <c r="T12" s="2048"/>
      <c r="U12" s="2048"/>
      <c r="V12" s="2048"/>
      <c r="W12" s="2048"/>
      <c r="X12" s="2048"/>
      <c r="Y12" s="2048"/>
      <c r="Z12" s="2048"/>
      <c r="AA12" s="2048"/>
      <c r="AB12" s="2048"/>
      <c r="AC12" s="2051"/>
      <c r="AD12" s="2059"/>
      <c r="AE12" s="2059"/>
      <c r="AF12" s="2060" t="s">
        <v>592</v>
      </c>
      <c r="AG12" s="2056"/>
    </row>
    <row r="13" spans="1:33" ht="15.75">
      <c r="A13" s="5193" t="s">
        <v>315</v>
      </c>
      <c r="B13" s="5193"/>
      <c r="C13" s="5193"/>
      <c r="D13" s="2047"/>
      <c r="E13" s="2061"/>
      <c r="F13" s="2061"/>
      <c r="G13" s="2048"/>
      <c r="H13" s="2048"/>
      <c r="I13" s="2048"/>
      <c r="J13" s="2048"/>
      <c r="K13" s="2048"/>
      <c r="L13" s="2048"/>
      <c r="M13" s="2048"/>
      <c r="N13" s="2048"/>
      <c r="O13" s="2048"/>
      <c r="P13" s="2048"/>
      <c r="Q13" s="2048"/>
      <c r="R13" s="2046"/>
      <c r="S13" s="2046"/>
      <c r="T13" s="2048"/>
      <c r="U13" s="2048"/>
      <c r="V13" s="2048"/>
      <c r="W13" s="2048"/>
      <c r="X13" s="2048"/>
      <c r="Y13" s="2048"/>
      <c r="Z13" s="2048"/>
      <c r="AA13" s="2048"/>
      <c r="AB13" s="2048"/>
      <c r="AC13" s="2051"/>
      <c r="AD13" s="2051"/>
      <c r="AE13" s="2048"/>
      <c r="AF13" s="2048"/>
      <c r="AG13" s="2056"/>
    </row>
    <row r="14" spans="1:33" ht="15.75">
      <c r="A14" s="5233" t="s">
        <v>63</v>
      </c>
      <c r="B14" s="5233"/>
      <c r="C14" s="5234"/>
      <c r="D14" s="2047"/>
      <c r="E14" s="2048"/>
      <c r="F14" s="2048"/>
      <c r="G14" s="2048"/>
      <c r="H14" s="2048"/>
      <c r="I14" s="2048"/>
      <c r="J14" s="2048"/>
      <c r="K14" s="2062" t="s">
        <v>665</v>
      </c>
      <c r="L14" s="2048"/>
      <c r="M14" s="2048"/>
      <c r="N14" s="2048"/>
      <c r="O14" s="2048"/>
      <c r="P14" s="2048"/>
      <c r="Q14" s="2053"/>
      <c r="R14" s="2054"/>
      <c r="S14" s="2054"/>
      <c r="T14" s="2058"/>
      <c r="U14" s="2048"/>
      <c r="V14" s="2048"/>
      <c r="W14" s="2048"/>
      <c r="X14" s="2063" t="s">
        <v>666</v>
      </c>
      <c r="Y14" s="2048"/>
      <c r="Z14" s="2048"/>
      <c r="AA14" s="2048"/>
      <c r="AB14" s="2048"/>
      <c r="AC14" s="2051"/>
      <c r="AD14" s="2051"/>
      <c r="AE14" s="2048"/>
      <c r="AF14" s="2048"/>
      <c r="AG14" s="2056"/>
    </row>
    <row r="15" spans="1:33" ht="15.75">
      <c r="A15" s="5200" t="s">
        <v>54</v>
      </c>
      <c r="B15" s="5200"/>
      <c r="C15" s="5200"/>
      <c r="D15" s="2047"/>
      <c r="E15" s="2048"/>
      <c r="F15" s="2048"/>
      <c r="G15" s="2048"/>
      <c r="H15" s="2048"/>
      <c r="I15" s="2048"/>
      <c r="J15" s="2048"/>
      <c r="K15" s="2048"/>
      <c r="L15" s="2048"/>
      <c r="M15" s="2048"/>
      <c r="N15" s="2048"/>
      <c r="O15" s="2048"/>
      <c r="P15" s="2048"/>
      <c r="Q15" s="2053"/>
      <c r="R15" s="2061"/>
      <c r="S15" s="2061"/>
      <c r="T15" s="2064"/>
      <c r="U15" s="2048"/>
      <c r="V15" s="2048"/>
      <c r="W15" s="2065" t="s">
        <v>667</v>
      </c>
      <c r="X15" s="2066"/>
      <c r="Y15" s="2048"/>
      <c r="Z15" s="2048"/>
      <c r="AA15" s="2048"/>
      <c r="AB15" s="2048"/>
      <c r="AC15" s="2051"/>
      <c r="AD15" s="2051"/>
      <c r="AE15" s="2048"/>
      <c r="AF15" s="2061"/>
      <c r="AG15" s="2067"/>
    </row>
    <row r="16" spans="1:33" ht="15.75">
      <c r="A16" s="5186" t="s">
        <v>365</v>
      </c>
      <c r="B16" s="5186"/>
      <c r="C16" s="5186"/>
      <c r="D16" s="2047"/>
      <c r="E16" s="2048"/>
      <c r="F16" s="2059"/>
      <c r="G16" s="2068"/>
      <c r="H16" s="2048"/>
      <c r="I16" s="2048"/>
      <c r="J16" s="2048"/>
      <c r="K16" s="2048"/>
      <c r="L16" s="2048"/>
      <c r="M16" s="2048"/>
      <c r="N16" s="2051"/>
      <c r="O16" s="2051"/>
      <c r="P16" s="2059"/>
      <c r="Q16" s="2059"/>
      <c r="R16" s="2061"/>
      <c r="S16" s="2061"/>
      <c r="T16" s="2048"/>
      <c r="U16" s="2048"/>
      <c r="V16" s="2048"/>
      <c r="W16" s="2048"/>
      <c r="X16" s="2048"/>
      <c r="Y16" s="2048"/>
      <c r="Z16" s="2048"/>
      <c r="AA16" s="2048"/>
      <c r="AB16" s="2048"/>
      <c r="AC16" s="2051"/>
      <c r="AD16" s="2051"/>
      <c r="AE16" s="2048"/>
      <c r="AF16" s="2061"/>
      <c r="AG16" s="2067"/>
    </row>
    <row r="17" spans="1:34" ht="15.75">
      <c r="A17" s="5225" t="s">
        <v>668</v>
      </c>
      <c r="B17" s="5225"/>
      <c r="C17" s="5225"/>
      <c r="D17" s="2069"/>
      <c r="E17" s="2061"/>
      <c r="F17" s="2070"/>
      <c r="G17" s="2068"/>
      <c r="H17" s="2071"/>
      <c r="I17" s="2072"/>
      <c r="J17" s="2072"/>
      <c r="K17" s="2073"/>
      <c r="L17" s="2072"/>
      <c r="M17" s="2061"/>
      <c r="N17" s="2074"/>
      <c r="O17" s="2074"/>
      <c r="P17" s="2075"/>
      <c r="Q17" s="5216" t="s">
        <v>669</v>
      </c>
      <c r="R17" s="5217"/>
      <c r="S17" s="5217"/>
      <c r="T17" s="2076"/>
      <c r="U17" s="2076"/>
      <c r="V17" s="2076"/>
      <c r="W17" s="2076"/>
      <c r="X17" s="2076"/>
      <c r="Y17" s="2076"/>
      <c r="Z17" s="2076"/>
      <c r="AA17" s="2076"/>
      <c r="AB17" s="2076"/>
      <c r="AC17" s="2077"/>
      <c r="AD17" s="2077"/>
      <c r="AE17" s="2076"/>
      <c r="AF17" s="2061"/>
      <c r="AG17" s="2067"/>
    </row>
    <row r="18" spans="1:34" ht="15.75">
      <c r="A18" s="5220" t="s">
        <v>670</v>
      </c>
      <c r="B18" s="5220"/>
      <c r="C18" s="5220"/>
      <c r="D18" s="2069"/>
      <c r="E18" s="2061"/>
      <c r="F18" s="2048"/>
      <c r="G18" s="2048"/>
      <c r="H18" s="2048"/>
      <c r="I18" s="2048"/>
      <c r="J18" s="2048"/>
      <c r="K18" s="2048"/>
      <c r="L18" s="2048"/>
      <c r="M18" s="2071"/>
      <c r="N18" s="2074"/>
      <c r="O18" s="2074"/>
      <c r="P18" s="2075"/>
      <c r="Q18" s="2075"/>
      <c r="R18" s="2061"/>
      <c r="S18" s="2061"/>
      <c r="T18" s="2076"/>
      <c r="U18" s="2076"/>
      <c r="V18" s="2076"/>
      <c r="W18" s="2076"/>
      <c r="X18" s="2076"/>
      <c r="Y18" s="2076"/>
      <c r="Z18" s="2076"/>
      <c r="AA18" s="2076"/>
      <c r="AB18" s="2076"/>
      <c r="AC18" s="2077"/>
      <c r="AD18" s="2078"/>
      <c r="AE18" s="2073"/>
      <c r="AF18" s="2072"/>
      <c r="AG18" s="2079"/>
    </row>
    <row r="19" spans="1:34" ht="15.75">
      <c r="A19" s="5221" t="s">
        <v>671</v>
      </c>
      <c r="B19" s="5221"/>
      <c r="C19" s="5221"/>
      <c r="D19" s="2069"/>
      <c r="E19" s="2061"/>
      <c r="F19" s="2048"/>
      <c r="G19" s="2048"/>
      <c r="H19" s="2048"/>
      <c r="I19" s="2048"/>
      <c r="J19" s="2071"/>
      <c r="K19" s="2071"/>
      <c r="L19" s="2071"/>
      <c r="M19" s="2071"/>
      <c r="N19" s="2074"/>
      <c r="O19" s="2074"/>
      <c r="P19" s="2075"/>
      <c r="Q19" s="2075"/>
      <c r="R19" s="2061"/>
      <c r="S19" s="2061"/>
      <c r="T19" s="2076"/>
      <c r="U19" s="2076"/>
      <c r="V19" s="2076"/>
      <c r="W19" s="2076"/>
      <c r="X19" s="2076"/>
      <c r="Y19" s="2076"/>
      <c r="Z19" s="2076"/>
      <c r="AA19" s="2076"/>
      <c r="AB19" s="2076"/>
      <c r="AC19" s="2077"/>
      <c r="AD19" s="5119" t="s">
        <v>671</v>
      </c>
      <c r="AE19" s="5120"/>
      <c r="AF19" s="5120"/>
      <c r="AG19" s="5121"/>
    </row>
    <row r="20" spans="1:34" ht="15.75">
      <c r="A20" s="5187" t="s">
        <v>540</v>
      </c>
      <c r="B20" s="5188"/>
      <c r="C20" s="5189"/>
      <c r="D20" s="2047"/>
      <c r="E20" s="2048"/>
      <c r="F20" s="2048"/>
      <c r="G20" s="2061"/>
      <c r="H20" s="2048"/>
      <c r="I20" s="2048"/>
      <c r="J20" s="2048"/>
      <c r="K20" s="2061"/>
      <c r="L20" s="2061"/>
      <c r="M20" s="2061"/>
      <c r="N20" s="2061"/>
      <c r="O20" s="2061"/>
      <c r="P20" s="2061"/>
      <c r="Q20" s="2061"/>
      <c r="R20" s="2061"/>
      <c r="S20" s="2061"/>
      <c r="T20" s="2061"/>
      <c r="U20" s="2048"/>
      <c r="V20" s="2048"/>
      <c r="W20" s="2048"/>
      <c r="X20" s="2048"/>
      <c r="Y20" s="2048"/>
      <c r="Z20" s="2048"/>
      <c r="AA20" s="2048"/>
      <c r="AB20" s="2048"/>
      <c r="AC20" s="2048"/>
      <c r="AD20" s="2048"/>
      <c r="AE20" s="2048"/>
      <c r="AF20" s="2048"/>
      <c r="AG20" s="2056"/>
    </row>
    <row r="21" spans="1:34" ht="15.75">
      <c r="A21" s="5190" t="s">
        <v>541</v>
      </c>
      <c r="B21" s="5191"/>
      <c r="C21" s="5192"/>
      <c r="D21" s="2045"/>
      <c r="E21" s="2046"/>
      <c r="F21" s="2046"/>
      <c r="G21" s="2068"/>
      <c r="H21" s="2071"/>
      <c r="I21" s="2061"/>
      <c r="J21" s="2061"/>
      <c r="K21" s="2076"/>
      <c r="L21" s="2061"/>
      <c r="M21" s="2061"/>
      <c r="N21" s="2074"/>
      <c r="O21" s="2074"/>
      <c r="P21" s="2075"/>
      <c r="Q21" s="2075"/>
      <c r="R21" s="2061"/>
      <c r="S21" s="2061"/>
      <c r="T21" s="2076"/>
      <c r="U21" s="2076"/>
      <c r="V21" s="2076"/>
      <c r="W21" s="2076"/>
      <c r="X21" s="2076"/>
      <c r="Y21" s="2076"/>
      <c r="Z21" s="2076"/>
      <c r="AA21" s="2076"/>
      <c r="AB21" s="2076"/>
      <c r="AC21" s="2077"/>
      <c r="AD21" s="2077"/>
      <c r="AE21" s="2076"/>
      <c r="AF21" s="2061"/>
      <c r="AG21" s="2067"/>
    </row>
    <row r="22" spans="1:34" ht="15.75">
      <c r="A22" s="5198" t="s">
        <v>322</v>
      </c>
      <c r="B22" s="5199"/>
      <c r="C22" s="5199"/>
      <c r="D22" s="2045"/>
      <c r="E22" s="2046"/>
      <c r="F22" s="2046"/>
      <c r="G22" s="2046"/>
      <c r="H22" s="2080"/>
      <c r="I22" s="2072"/>
      <c r="J22" s="2072"/>
      <c r="K22" s="2073"/>
      <c r="L22" s="2072"/>
      <c r="M22" s="2081"/>
      <c r="N22" s="2075"/>
      <c r="O22" s="2075"/>
      <c r="P22" s="2075"/>
      <c r="Q22" s="2075"/>
      <c r="R22" s="2075"/>
      <c r="S22" s="2075"/>
      <c r="T22" s="2070"/>
      <c r="U22" s="2070"/>
      <c r="V22" s="2070"/>
      <c r="W22" s="2070"/>
      <c r="X22" s="2070"/>
      <c r="Y22" s="2070"/>
      <c r="Z22" s="2070"/>
      <c r="AA22" s="2070"/>
      <c r="AB22" s="2070"/>
      <c r="AC22" s="2070"/>
      <c r="AD22" s="2070"/>
      <c r="AE22" s="2070"/>
      <c r="AF22" s="2061"/>
      <c r="AG22" s="2067"/>
    </row>
    <row r="23" spans="1:34" ht="15.75" customHeight="1">
      <c r="A23" s="2082" t="s">
        <v>66</v>
      </c>
      <c r="B23" s="2083" t="s">
        <v>67</v>
      </c>
      <c r="C23" s="2084" t="s">
        <v>74</v>
      </c>
      <c r="D23" s="5171" t="s">
        <v>664</v>
      </c>
      <c r="E23" s="5172"/>
      <c r="F23" s="2024" t="s">
        <v>55</v>
      </c>
      <c r="G23" s="2085"/>
      <c r="H23" s="2086"/>
      <c r="I23" s="2087"/>
      <c r="J23" s="2087"/>
      <c r="K23" s="2087"/>
      <c r="L23" s="2087"/>
      <c r="M23" s="2087"/>
      <c r="N23" s="2087"/>
      <c r="O23" s="2087"/>
      <c r="P23" s="2088" t="s">
        <v>55</v>
      </c>
      <c r="Q23" s="5210" t="s">
        <v>672</v>
      </c>
      <c r="R23" s="5211"/>
      <c r="S23" s="5211"/>
      <c r="T23" s="2088" t="s">
        <v>55</v>
      </c>
      <c r="U23" s="2087"/>
      <c r="V23" s="2087"/>
      <c r="W23" s="2087"/>
      <c r="X23" s="2087"/>
      <c r="Y23" s="5201" t="s">
        <v>112</v>
      </c>
      <c r="Z23" s="5202"/>
      <c r="AA23" s="5202"/>
      <c r="AB23" s="5202"/>
      <c r="AC23" s="5202"/>
      <c r="AD23" s="5203"/>
      <c r="AE23" s="2087"/>
      <c r="AF23" s="2087"/>
      <c r="AG23" s="2089"/>
    </row>
    <row r="24" spans="1:34" ht="15.75">
      <c r="A24" s="2090" t="s">
        <v>73</v>
      </c>
      <c r="B24" s="2091" t="s">
        <v>67</v>
      </c>
      <c r="C24" s="2092" t="s">
        <v>458</v>
      </c>
      <c r="D24" s="2093"/>
      <c r="E24" s="2094"/>
      <c r="F24" s="2094"/>
      <c r="G24" s="2094"/>
      <c r="H24" s="2094"/>
      <c r="I24" s="2094"/>
      <c r="J24" s="2094"/>
      <c r="K24" s="2094"/>
      <c r="L24" s="2094"/>
      <c r="M24" s="2094"/>
      <c r="N24" s="2094"/>
      <c r="O24" s="2094"/>
      <c r="P24" s="2094"/>
      <c r="Q24" s="2094"/>
      <c r="R24" s="2094"/>
      <c r="S24" s="2094"/>
      <c r="T24" s="2094"/>
      <c r="U24" s="2094"/>
      <c r="V24" s="2094"/>
      <c r="W24" s="2094"/>
      <c r="X24" s="2094"/>
      <c r="Y24" s="2094"/>
      <c r="Z24" s="2094"/>
      <c r="AA24" s="2094"/>
      <c r="AB24" s="2094"/>
      <c r="AC24" s="2094"/>
      <c r="AD24" s="2094"/>
      <c r="AE24" s="2094"/>
      <c r="AF24" s="2094"/>
      <c r="AG24" s="2095"/>
    </row>
    <row r="25" spans="1:34" s="1704" customFormat="1" ht="15.75" customHeight="1">
      <c r="A25" s="2096" t="s">
        <v>599</v>
      </c>
      <c r="B25" s="2097" t="s">
        <v>543</v>
      </c>
      <c r="C25" s="2097" t="s">
        <v>544</v>
      </c>
      <c r="D25" s="2098"/>
      <c r="E25" s="2099"/>
      <c r="F25" s="2099"/>
      <c r="G25" s="2099"/>
      <c r="H25" s="2099"/>
      <c r="I25" s="2099"/>
      <c r="J25" s="2099"/>
      <c r="K25" s="2099"/>
      <c r="L25" s="2099"/>
      <c r="M25" s="2099"/>
      <c r="N25" s="2099"/>
      <c r="O25" s="2099"/>
      <c r="P25" s="2099"/>
      <c r="Q25" s="2099"/>
      <c r="R25" s="2099"/>
      <c r="S25" s="2099"/>
      <c r="T25" s="2099"/>
      <c r="U25" s="2099"/>
      <c r="V25" s="2099"/>
      <c r="W25" s="2099"/>
      <c r="X25" s="2099"/>
      <c r="Y25" s="2099"/>
      <c r="Z25" s="2099"/>
      <c r="AA25" s="2099"/>
      <c r="AB25" s="2099"/>
      <c r="AC25" s="2206"/>
      <c r="AD25" s="2099"/>
      <c r="AE25" s="2099"/>
      <c r="AF25" s="2099"/>
      <c r="AG25" s="2100"/>
      <c r="AH25"/>
    </row>
    <row r="26" spans="1:34" ht="15.75">
      <c r="A26" s="5196" t="s">
        <v>84</v>
      </c>
      <c r="B26" s="2101" t="s">
        <v>85</v>
      </c>
      <c r="C26" s="2101" t="s">
        <v>86</v>
      </c>
      <c r="D26" s="2093"/>
      <c r="E26" s="2094"/>
      <c r="F26" s="2094"/>
      <c r="G26" s="2094"/>
      <c r="H26" s="2094"/>
      <c r="I26" s="2094"/>
      <c r="J26" s="2094"/>
      <c r="K26" s="2102"/>
      <c r="L26" s="2103"/>
      <c r="M26" s="2104"/>
      <c r="N26" s="2104"/>
      <c r="O26" s="2104"/>
      <c r="P26" s="2104"/>
      <c r="Q26" s="2105"/>
      <c r="R26" s="2094"/>
      <c r="S26" s="2094"/>
      <c r="T26" s="2094"/>
      <c r="U26" s="2094"/>
      <c r="V26" s="2094"/>
      <c r="W26" s="2094"/>
      <c r="X26" s="2094"/>
      <c r="Y26" s="2106"/>
      <c r="AA26" s="2204"/>
      <c r="AB26" s="2204"/>
      <c r="AC26" s="2205"/>
      <c r="AD26" s="2105"/>
      <c r="AE26" s="2102"/>
      <c r="AF26" s="2107"/>
      <c r="AG26" s="2108"/>
    </row>
    <row r="27" spans="1:34" ht="15.75">
      <c r="A27" s="5197"/>
      <c r="B27" s="2109" t="s">
        <v>554</v>
      </c>
      <c r="C27" s="2109" t="s">
        <v>88</v>
      </c>
      <c r="D27" s="2110"/>
      <c r="E27" s="2111"/>
      <c r="F27" s="2111"/>
      <c r="G27" s="2111"/>
      <c r="H27" s="2111"/>
      <c r="I27" s="2111"/>
      <c r="J27" s="2111"/>
      <c r="K27" s="2111"/>
      <c r="L27" s="2107"/>
      <c r="M27" s="2107"/>
      <c r="N27" s="2107"/>
      <c r="O27" s="2107"/>
      <c r="P27" s="2107"/>
      <c r="Q27" s="2111"/>
      <c r="R27" s="2111"/>
      <c r="S27" s="2111"/>
      <c r="T27" s="2111"/>
      <c r="U27" s="2111"/>
      <c r="V27" s="2111"/>
      <c r="W27" s="2111"/>
      <c r="X27" s="2111"/>
      <c r="Y27" s="5112" t="s">
        <v>673</v>
      </c>
      <c r="Z27" s="5113"/>
      <c r="AA27" s="5113"/>
      <c r="AB27" s="5113"/>
      <c r="AC27" s="5114"/>
      <c r="AD27" s="5113"/>
      <c r="AE27" s="5113"/>
      <c r="AF27" s="5113"/>
      <c r="AG27" s="5115"/>
    </row>
    <row r="28" spans="1:34" ht="15.75">
      <c r="A28" s="5197"/>
      <c r="B28" s="2092" t="s">
        <v>602</v>
      </c>
      <c r="C28" s="2092" t="s">
        <v>91</v>
      </c>
      <c r="D28" s="2093"/>
      <c r="E28" s="2094"/>
      <c r="F28" s="2094"/>
      <c r="G28" s="2094"/>
      <c r="H28" s="2094"/>
      <c r="I28" s="2094"/>
      <c r="J28" s="2094"/>
      <c r="K28" s="2094"/>
      <c r="L28" s="2094"/>
      <c r="M28" s="2094"/>
      <c r="N28" s="2094"/>
      <c r="O28" s="2094"/>
      <c r="P28" s="2094"/>
      <c r="Q28" s="2094"/>
      <c r="R28" s="2094"/>
      <c r="S28" s="2094"/>
      <c r="T28" s="2094"/>
      <c r="U28" s="2094"/>
      <c r="V28" s="2094"/>
      <c r="W28" s="2094"/>
      <c r="X28" s="2094"/>
      <c r="Y28" s="2094"/>
      <c r="Z28" s="2094"/>
      <c r="AA28" s="2094"/>
      <c r="AB28" s="2094"/>
      <c r="AC28" s="2094"/>
      <c r="AD28" s="2094"/>
      <c r="AE28" s="2094"/>
      <c r="AF28" s="2094"/>
      <c r="AG28" s="2112"/>
    </row>
    <row r="29" spans="1:34" s="283" customFormat="1" ht="15.75">
      <c r="A29" s="5194" t="s">
        <v>92</v>
      </c>
      <c r="B29" s="2113" t="s">
        <v>95</v>
      </c>
      <c r="C29" s="2113" t="s">
        <v>96</v>
      </c>
      <c r="D29" s="5171" t="s">
        <v>664</v>
      </c>
      <c r="E29" s="5208"/>
      <c r="F29" s="5172"/>
      <c r="G29" s="2025" t="s">
        <v>55</v>
      </c>
      <c r="H29" s="2114"/>
      <c r="I29" s="2115"/>
      <c r="J29" s="2115"/>
      <c r="K29" s="2115"/>
      <c r="L29" s="2115"/>
      <c r="M29" s="2115"/>
      <c r="N29" s="2087"/>
      <c r="O29" s="2087"/>
      <c r="P29" s="2087"/>
      <c r="Q29" s="2087"/>
      <c r="R29" s="2087"/>
      <c r="S29" s="2087"/>
      <c r="T29" s="2087"/>
      <c r="U29" s="5157" t="s">
        <v>674</v>
      </c>
      <c r="V29" s="5157"/>
      <c r="W29" s="5157"/>
      <c r="X29" s="5157"/>
      <c r="Y29" s="5157"/>
      <c r="Z29" s="5157"/>
      <c r="AA29" s="5157"/>
      <c r="AB29" s="5157"/>
      <c r="AC29" s="5157"/>
      <c r="AD29" s="2087"/>
      <c r="AE29" s="2087"/>
      <c r="AF29" s="2087"/>
      <c r="AG29" s="2089"/>
    </row>
    <row r="30" spans="1:34" s="283" customFormat="1" ht="15.75">
      <c r="A30" s="5194"/>
      <c r="B30" s="2116" t="s">
        <v>326</v>
      </c>
      <c r="C30" s="2116" t="s">
        <v>327</v>
      </c>
      <c r="D30" s="2110"/>
      <c r="E30" s="2111"/>
      <c r="F30" s="2111"/>
      <c r="G30" s="2111"/>
      <c r="H30" s="2111"/>
      <c r="I30" s="2111"/>
      <c r="J30" s="2111"/>
      <c r="K30" s="2111"/>
      <c r="L30" s="2111"/>
      <c r="M30" s="2111"/>
      <c r="N30" s="2111"/>
      <c r="O30" s="2026" t="s">
        <v>55</v>
      </c>
      <c r="P30" s="5204" t="s">
        <v>675</v>
      </c>
      <c r="Q30" s="5205"/>
      <c r="R30" s="5205"/>
      <c r="S30" s="5205"/>
      <c r="T30" s="5206"/>
      <c r="U30" s="2026" t="s">
        <v>55</v>
      </c>
      <c r="V30" s="2117"/>
      <c r="W30" s="5110" t="s">
        <v>676</v>
      </c>
      <c r="X30" s="5137"/>
      <c r="Y30" s="5137"/>
      <c r="Z30" s="5137"/>
      <c r="AA30" s="5137"/>
      <c r="AB30" s="5137"/>
      <c r="AC30" s="5137"/>
      <c r="AD30" s="5137"/>
      <c r="AE30" s="5137"/>
      <c r="AF30" s="5137"/>
      <c r="AG30" s="5209"/>
    </row>
    <row r="31" spans="1:34" ht="15.75">
      <c r="A31" s="5195"/>
      <c r="B31" s="2118" t="s">
        <v>606</v>
      </c>
      <c r="C31" s="2118" t="s">
        <v>98</v>
      </c>
      <c r="D31" s="2093"/>
      <c r="E31" s="2094"/>
      <c r="F31" s="2094"/>
      <c r="G31" s="2094"/>
      <c r="H31" s="2094"/>
      <c r="I31" s="2094"/>
      <c r="J31" s="2094"/>
      <c r="K31" s="2094"/>
      <c r="L31" s="2094"/>
      <c r="M31" s="5116" t="s">
        <v>677</v>
      </c>
      <c r="N31" s="5117"/>
      <c r="O31" s="5117"/>
      <c r="P31" s="5118"/>
      <c r="Q31" s="2094"/>
      <c r="R31" s="2094"/>
      <c r="S31" s="2094"/>
      <c r="T31" s="2094"/>
      <c r="U31" s="2094"/>
      <c r="V31" s="2094"/>
      <c r="W31" s="2119" t="s">
        <v>667</v>
      </c>
      <c r="X31" s="2094"/>
      <c r="Y31" s="2094"/>
      <c r="Z31" s="2094"/>
      <c r="AA31" s="2094"/>
      <c r="AB31" s="2094"/>
      <c r="AC31" s="2094"/>
      <c r="AD31" s="2094"/>
      <c r="AE31" s="2094"/>
      <c r="AF31" s="2094"/>
      <c r="AG31" s="2112"/>
    </row>
    <row r="32" spans="1:34" ht="15.75">
      <c r="A32" s="5194" t="s">
        <v>99</v>
      </c>
      <c r="B32" s="2084" t="s">
        <v>100</v>
      </c>
      <c r="C32" s="2083" t="s">
        <v>101</v>
      </c>
      <c r="D32" s="2120"/>
      <c r="E32" s="2087"/>
      <c r="F32" s="2087"/>
      <c r="G32" s="2087"/>
      <c r="H32" s="2087"/>
      <c r="I32" s="2087"/>
      <c r="J32" s="2087"/>
      <c r="K32" s="2087"/>
      <c r="L32" s="2087"/>
      <c r="M32" s="5176" t="s">
        <v>678</v>
      </c>
      <c r="N32" s="5177"/>
      <c r="O32" s="5177"/>
      <c r="P32" s="5178"/>
      <c r="Q32" s="2087"/>
      <c r="R32" s="2087"/>
      <c r="S32" s="2087"/>
      <c r="T32" s="2087"/>
      <c r="U32" s="2087"/>
      <c r="V32" s="2087"/>
      <c r="W32" s="2087"/>
      <c r="X32" s="5201" t="s">
        <v>547</v>
      </c>
      <c r="Y32" s="5202"/>
      <c r="Z32" s="5202"/>
      <c r="AA32" s="5202"/>
      <c r="AB32" s="5202"/>
      <c r="AC32" s="5203"/>
      <c r="AD32" s="2087"/>
      <c r="AE32" s="2087"/>
      <c r="AF32" s="2087"/>
      <c r="AG32" s="2089"/>
    </row>
    <row r="33" spans="1:33" ht="15.75" customHeight="1">
      <c r="A33" s="5194"/>
      <c r="B33" s="2109" t="s">
        <v>77</v>
      </c>
      <c r="C33" s="2121" t="s">
        <v>245</v>
      </c>
      <c r="D33" s="5107" t="s">
        <v>664</v>
      </c>
      <c r="E33" s="5108"/>
      <c r="F33" s="5108"/>
      <c r="G33" s="2027" t="s">
        <v>55</v>
      </c>
      <c r="H33" s="2122"/>
      <c r="I33" s="2122"/>
      <c r="J33" s="2122"/>
      <c r="K33" s="2122"/>
      <c r="L33" s="2122"/>
      <c r="M33" s="5207" t="s">
        <v>679</v>
      </c>
      <c r="N33" s="5128"/>
      <c r="O33" s="5128"/>
      <c r="P33" s="5129"/>
      <c r="Q33" s="2111"/>
      <c r="R33" s="2111"/>
      <c r="S33" s="2111"/>
      <c r="T33" s="2111"/>
      <c r="U33" s="2111"/>
      <c r="V33" s="2111"/>
      <c r="W33" s="2111"/>
      <c r="X33" s="2122"/>
      <c r="Y33" s="2122"/>
      <c r="Z33" s="2122"/>
      <c r="AA33" s="2122"/>
      <c r="AB33" s="2122"/>
      <c r="AC33" s="2122"/>
      <c r="AD33" s="2111"/>
      <c r="AE33" s="2111"/>
      <c r="AF33" s="2111"/>
      <c r="AG33" s="2123"/>
    </row>
    <row r="34" spans="1:33" ht="15.75">
      <c r="A34" s="5194"/>
      <c r="B34" s="2109" t="s">
        <v>95</v>
      </c>
      <c r="C34" s="2121" t="s">
        <v>548</v>
      </c>
      <c r="D34" s="2124"/>
      <c r="E34" s="2122"/>
      <c r="F34" s="2122"/>
      <c r="G34" s="2122"/>
      <c r="H34" s="2122"/>
      <c r="I34" s="2122"/>
      <c r="J34" s="2122"/>
      <c r="K34" s="2122"/>
      <c r="L34" s="2122"/>
      <c r="M34" s="2122"/>
      <c r="N34" s="2122"/>
      <c r="O34" s="2122"/>
      <c r="P34" s="2122"/>
      <c r="Q34" s="2122"/>
      <c r="R34" s="2122"/>
      <c r="S34" s="2122"/>
      <c r="T34" s="5110" t="s">
        <v>197</v>
      </c>
      <c r="U34" s="5128"/>
      <c r="V34" s="5128"/>
      <c r="W34" s="5129"/>
      <c r="X34" s="2122"/>
      <c r="Y34" s="2122"/>
      <c r="Z34" s="2122"/>
      <c r="AA34" s="2122"/>
      <c r="AB34" s="2122"/>
      <c r="AC34" s="2122"/>
      <c r="AD34" s="5181" t="s">
        <v>680</v>
      </c>
      <c r="AE34" s="5182"/>
      <c r="AF34" s="5182"/>
      <c r="AG34" s="5183"/>
    </row>
    <row r="35" spans="1:33" ht="15.75">
      <c r="A35" s="5194"/>
      <c r="B35" s="2109" t="s">
        <v>106</v>
      </c>
      <c r="C35" s="2121" t="s">
        <v>107</v>
      </c>
      <c r="D35" s="2110"/>
      <c r="E35" s="2111"/>
      <c r="F35" s="2111"/>
      <c r="G35" s="2111"/>
      <c r="H35" s="2111"/>
      <c r="I35" s="2111"/>
      <c r="J35" s="2111"/>
      <c r="K35" s="2111"/>
      <c r="L35" s="2111"/>
      <c r="M35" s="2111"/>
      <c r="N35" s="2111"/>
      <c r="O35" s="2111"/>
      <c r="P35" s="2111"/>
      <c r="Q35" s="2111"/>
      <c r="R35" s="2111"/>
      <c r="S35" s="2111"/>
      <c r="T35" s="2111"/>
      <c r="U35" s="2111"/>
      <c r="V35" s="2111"/>
      <c r="W35" s="2111"/>
      <c r="X35" s="2111"/>
      <c r="Y35" s="2111"/>
      <c r="Z35" s="2111"/>
      <c r="AA35" s="2111"/>
      <c r="AB35" s="2111"/>
      <c r="AC35" s="2111"/>
      <c r="AD35" s="5181" t="s">
        <v>680</v>
      </c>
      <c r="AE35" s="5182"/>
      <c r="AF35" s="5182"/>
      <c r="AG35" s="5183"/>
    </row>
    <row r="36" spans="1:33" ht="15.75">
      <c r="A36" s="5194"/>
      <c r="B36" s="2125" t="s">
        <v>108</v>
      </c>
      <c r="C36" s="2126" t="s">
        <v>109</v>
      </c>
      <c r="D36" s="2127"/>
      <c r="E36" s="2117"/>
      <c r="F36" s="2117"/>
      <c r="G36" s="2117"/>
      <c r="H36" s="2117"/>
      <c r="I36" s="2117"/>
      <c r="J36" s="2117"/>
      <c r="K36" s="2117"/>
      <c r="L36" s="2117"/>
      <c r="M36" s="2117"/>
      <c r="N36" s="2117"/>
      <c r="O36" s="2117"/>
      <c r="P36" s="2117"/>
      <c r="Q36" s="2117"/>
      <c r="R36" s="2117"/>
      <c r="S36" s="2117"/>
      <c r="T36" s="2117"/>
      <c r="U36" s="2117"/>
      <c r="V36" s="2117"/>
      <c r="W36" s="2117"/>
      <c r="X36" s="2117"/>
      <c r="Y36" s="2117"/>
      <c r="Z36" s="2117"/>
      <c r="AA36" s="2117"/>
      <c r="AB36" s="2117"/>
      <c r="AC36" s="2117"/>
      <c r="AD36" s="2117"/>
      <c r="AE36" s="2117"/>
      <c r="AF36" s="2117"/>
      <c r="AG36" s="2128"/>
    </row>
    <row r="37" spans="1:33" ht="15.75">
      <c r="A37" s="5158" t="s">
        <v>110</v>
      </c>
      <c r="B37" s="2129" t="s">
        <v>283</v>
      </c>
      <c r="C37" s="2130" t="s">
        <v>201</v>
      </c>
      <c r="D37" s="2131"/>
      <c r="E37" s="2107"/>
      <c r="F37" s="2107"/>
      <c r="G37" s="2107"/>
      <c r="H37" s="2107"/>
      <c r="I37" s="2107"/>
      <c r="J37" s="2107"/>
      <c r="K37" s="2107"/>
      <c r="L37" s="2107"/>
      <c r="M37" s="2107"/>
      <c r="N37" s="2107"/>
      <c r="O37" s="2107"/>
      <c r="P37" s="2107"/>
      <c r="Q37" s="2107"/>
      <c r="R37" s="2107"/>
      <c r="S37" s="2107"/>
      <c r="T37" s="2107"/>
      <c r="U37" s="2107"/>
      <c r="V37" s="2107"/>
      <c r="W37" s="2107"/>
      <c r="X37" s="2107"/>
      <c r="Y37" s="2107"/>
      <c r="Z37" s="2107"/>
      <c r="AA37" s="2107"/>
      <c r="AB37" s="2107"/>
      <c r="AC37" s="2107"/>
      <c r="AD37" s="2107"/>
      <c r="AE37" s="2107"/>
      <c r="AF37" s="2107"/>
      <c r="AG37" s="2108"/>
    </row>
    <row r="38" spans="1:33" ht="15.75">
      <c r="A38" s="5158"/>
      <c r="B38" s="2129" t="s">
        <v>77</v>
      </c>
      <c r="C38" s="2132" t="s">
        <v>610</v>
      </c>
      <c r="D38" s="2110"/>
      <c r="E38" s="2111"/>
      <c r="F38" s="2111"/>
      <c r="G38" s="2111"/>
      <c r="H38" s="2111"/>
      <c r="I38" s="2111"/>
      <c r="J38" s="2111"/>
      <c r="K38" s="2111"/>
      <c r="L38" s="2111"/>
      <c r="M38" s="2111"/>
      <c r="N38" s="2111"/>
      <c r="O38" s="2111"/>
      <c r="P38" s="2111"/>
      <c r="Q38" s="2111"/>
      <c r="R38" s="2111"/>
      <c r="S38" s="2111"/>
      <c r="T38" s="2111"/>
      <c r="U38" s="2111"/>
      <c r="V38" s="2111"/>
      <c r="W38" s="2111"/>
      <c r="X38" s="2111"/>
      <c r="Y38" s="2111"/>
      <c r="Z38" s="2111"/>
      <c r="AA38" s="2111"/>
      <c r="AB38" s="2111"/>
      <c r="AC38" s="2111"/>
      <c r="AD38" s="2111"/>
      <c r="AE38" s="2133" t="s">
        <v>251</v>
      </c>
      <c r="AF38" s="2134" t="s">
        <v>681</v>
      </c>
      <c r="AG38" s="2135" t="s">
        <v>251</v>
      </c>
    </row>
    <row r="39" spans="1:33" ht="15.75">
      <c r="A39" s="5158"/>
      <c r="B39" s="2129" t="s">
        <v>95</v>
      </c>
      <c r="C39" s="2136" t="s">
        <v>249</v>
      </c>
      <c r="D39" s="2110"/>
      <c r="E39" s="2111"/>
      <c r="F39" s="2111"/>
      <c r="G39" s="2111"/>
      <c r="H39" s="2111"/>
      <c r="I39" s="2111"/>
      <c r="J39" s="2111"/>
      <c r="K39" s="2111"/>
      <c r="L39" s="2111"/>
      <c r="M39" s="2111"/>
      <c r="N39" s="5110" t="s">
        <v>682</v>
      </c>
      <c r="O39" s="5128"/>
      <c r="P39" s="5128"/>
      <c r="Q39" s="5128"/>
      <c r="R39" s="5128"/>
      <c r="S39" s="5129"/>
      <c r="T39" s="5152" t="s">
        <v>683</v>
      </c>
      <c r="U39" s="5185"/>
      <c r="V39" s="5185"/>
      <c r="W39" s="5185"/>
      <c r="X39" s="5185"/>
      <c r="Y39" s="5185"/>
      <c r="Z39" s="5185"/>
      <c r="AA39" s="2111"/>
      <c r="AB39" s="2111"/>
      <c r="AC39" s="2137" t="s">
        <v>251</v>
      </c>
      <c r="AD39" s="2122"/>
      <c r="AE39" s="2122"/>
      <c r="AF39" s="2122"/>
      <c r="AG39" s="2095"/>
    </row>
    <row r="40" spans="1:33" ht="15.75">
      <c r="A40" s="5158"/>
      <c r="B40" s="2138" t="s">
        <v>113</v>
      </c>
      <c r="C40" s="2121" t="s">
        <v>116</v>
      </c>
      <c r="D40" s="5122" t="s">
        <v>684</v>
      </c>
      <c r="E40" s="5109"/>
      <c r="F40" s="5109"/>
      <c r="G40" s="5109"/>
      <c r="H40" s="5109"/>
      <c r="I40" s="5109"/>
      <c r="J40" s="5109"/>
      <c r="K40" s="5109"/>
      <c r="L40" s="5109"/>
      <c r="M40" s="5109"/>
      <c r="N40" s="5109"/>
      <c r="O40" s="5109"/>
      <c r="P40" s="5109"/>
      <c r="Q40" s="5109"/>
      <c r="R40" s="5109"/>
      <c r="S40" s="5109"/>
      <c r="T40" s="5109"/>
      <c r="U40" s="5109"/>
      <c r="V40" s="5109"/>
      <c r="W40" s="5109"/>
      <c r="X40" s="5109"/>
      <c r="Y40" s="2111"/>
      <c r="Z40" s="2111"/>
      <c r="AA40" s="2111"/>
      <c r="AB40" s="2111"/>
      <c r="AC40" s="2139"/>
      <c r="AD40" s="2054"/>
      <c r="AE40" s="2054"/>
      <c r="AF40" s="2054"/>
      <c r="AG40" s="2140"/>
    </row>
    <row r="41" spans="1:33" ht="15.75">
      <c r="A41" s="5158"/>
      <c r="B41" s="2138" t="s">
        <v>118</v>
      </c>
      <c r="C41" s="2121" t="s">
        <v>119</v>
      </c>
      <c r="D41" s="2110"/>
      <c r="E41" s="2111"/>
      <c r="F41" s="2111"/>
      <c r="G41" s="2111"/>
      <c r="H41" s="2111"/>
      <c r="I41" s="2111"/>
      <c r="J41" s="2111"/>
      <c r="K41" s="2111"/>
      <c r="L41" s="2111"/>
      <c r="M41" s="2111"/>
      <c r="N41" s="2111"/>
      <c r="O41" s="2111"/>
      <c r="P41" s="2111"/>
      <c r="Q41" s="2111"/>
      <c r="R41" s="2111"/>
      <c r="S41" s="2111"/>
      <c r="T41" s="2111"/>
      <c r="U41" s="2111"/>
      <c r="V41" s="2111"/>
      <c r="W41" s="2111"/>
      <c r="X41" s="2111"/>
      <c r="Y41" s="2111"/>
      <c r="Z41" s="2111"/>
      <c r="AA41" s="2122"/>
      <c r="AB41" s="2122"/>
      <c r="AC41" s="2139"/>
      <c r="AD41" s="2141" t="s">
        <v>251</v>
      </c>
      <c r="AE41" s="5126" t="s">
        <v>685</v>
      </c>
      <c r="AF41" s="5126"/>
      <c r="AG41" s="5127"/>
    </row>
    <row r="42" spans="1:33" ht="15.75">
      <c r="A42" s="5158"/>
      <c r="B42" s="2138" t="s">
        <v>500</v>
      </c>
      <c r="C42" s="2121" t="s">
        <v>126</v>
      </c>
      <c r="D42" s="5122" t="s">
        <v>616</v>
      </c>
      <c r="E42" s="5109"/>
      <c r="F42" s="5109"/>
      <c r="G42" s="2122"/>
      <c r="H42" s="2122"/>
      <c r="I42" s="2122"/>
      <c r="J42" s="2122"/>
      <c r="K42" s="2122"/>
      <c r="L42" s="2122"/>
      <c r="M42" s="2122"/>
      <c r="N42" s="2122"/>
      <c r="O42" s="2122"/>
      <c r="P42" s="2122"/>
      <c r="Q42" s="2142" t="s">
        <v>251</v>
      </c>
      <c r="R42" s="2050"/>
      <c r="S42" s="2143"/>
      <c r="T42" s="5184" t="s">
        <v>683</v>
      </c>
      <c r="U42" s="5147"/>
      <c r="V42" s="5147"/>
      <c r="W42" s="5147"/>
      <c r="X42" s="5147"/>
      <c r="Y42" s="5147"/>
      <c r="Z42" s="5147"/>
      <c r="AA42" s="2122"/>
      <c r="AB42" s="2122"/>
      <c r="AC42" s="2144" t="s">
        <v>251</v>
      </c>
      <c r="AD42" s="2094"/>
      <c r="AE42" s="2094"/>
      <c r="AF42" s="2094"/>
      <c r="AG42" s="2112"/>
    </row>
    <row r="43" spans="1:33" ht="15.75">
      <c r="A43" s="5158"/>
      <c r="B43" s="2138" t="s">
        <v>113</v>
      </c>
      <c r="C43" s="2121" t="s">
        <v>114</v>
      </c>
      <c r="D43" s="2124"/>
      <c r="E43" s="2122"/>
      <c r="F43" s="2122"/>
      <c r="G43" s="2122"/>
      <c r="H43" s="2122"/>
      <c r="I43" s="2145"/>
      <c r="J43" s="5109" t="s">
        <v>686</v>
      </c>
      <c r="K43" s="5109"/>
      <c r="L43" s="5109"/>
      <c r="M43" s="5109"/>
      <c r="N43" s="5109"/>
      <c r="O43" s="5109"/>
      <c r="P43" s="5109"/>
      <c r="Q43" s="5109"/>
      <c r="R43" s="5109"/>
      <c r="S43" s="5109"/>
      <c r="T43" s="5109"/>
      <c r="U43" s="2146"/>
      <c r="V43" s="2111"/>
      <c r="W43" s="2111"/>
      <c r="X43" s="2111"/>
      <c r="Y43" s="2111"/>
      <c r="Z43" s="2111"/>
      <c r="AA43" s="2111"/>
      <c r="AB43" s="2111"/>
      <c r="AC43" s="2111"/>
      <c r="AD43" s="2111"/>
      <c r="AE43" s="2111"/>
      <c r="AF43" s="5110" t="s">
        <v>112</v>
      </c>
      <c r="AG43" s="5111"/>
    </row>
    <row r="44" spans="1:33" ht="15.75">
      <c r="A44" s="5158"/>
      <c r="B44" s="2138" t="s">
        <v>120</v>
      </c>
      <c r="C44" s="2121" t="s">
        <v>121</v>
      </c>
      <c r="D44" s="2110"/>
      <c r="E44" s="2111"/>
      <c r="F44" s="2139"/>
      <c r="G44" s="2028"/>
      <c r="H44" s="2028"/>
      <c r="I44" s="2028"/>
      <c r="J44" s="2147"/>
      <c r="K44" s="2147"/>
      <c r="L44" s="2147"/>
      <c r="M44" s="2147"/>
      <c r="N44" s="2147"/>
      <c r="O44" s="2147"/>
      <c r="P44" s="2147"/>
      <c r="Q44" s="2148"/>
      <c r="R44" s="2147"/>
      <c r="S44" s="2149"/>
      <c r="T44" s="2147"/>
      <c r="U44" s="2147"/>
      <c r="V44" s="2147"/>
      <c r="W44" s="2147"/>
      <c r="X44" s="2147"/>
      <c r="Y44" s="2147"/>
      <c r="Z44" s="2147"/>
      <c r="AA44" s="2147"/>
      <c r="AB44" s="2150"/>
      <c r="AC44" s="2107"/>
      <c r="AD44" s="5135" t="s">
        <v>251</v>
      </c>
      <c r="AE44" s="5136"/>
      <c r="AF44" s="5179" t="s">
        <v>687</v>
      </c>
      <c r="AG44" s="5180"/>
    </row>
    <row r="45" spans="1:33" ht="15.75">
      <c r="A45" s="5158"/>
      <c r="B45" s="2138" t="s">
        <v>122</v>
      </c>
      <c r="C45" s="2121" t="s">
        <v>123</v>
      </c>
      <c r="D45" s="5142" t="s">
        <v>688</v>
      </c>
      <c r="E45" s="5143"/>
      <c r="F45" s="5143"/>
      <c r="G45" s="5144"/>
      <c r="H45" s="5144"/>
      <c r="I45" s="2107"/>
      <c r="J45" s="2107"/>
      <c r="K45" s="2107"/>
      <c r="L45" s="2107"/>
      <c r="M45" s="2107"/>
      <c r="N45" s="5144" t="s">
        <v>251</v>
      </c>
      <c r="O45" s="5144"/>
      <c r="P45" s="5126" t="s">
        <v>689</v>
      </c>
      <c r="Q45" s="5126"/>
      <c r="R45" s="5126"/>
      <c r="S45" s="5126"/>
      <c r="T45" s="5126"/>
      <c r="U45" s="3649" t="s">
        <v>251</v>
      </c>
      <c r="V45" s="2107"/>
      <c r="W45" s="5110" t="s">
        <v>438</v>
      </c>
      <c r="X45" s="5128"/>
      <c r="Y45" s="5128"/>
      <c r="Z45" s="5128"/>
      <c r="AA45" s="5129"/>
      <c r="AB45" s="2111"/>
      <c r="AC45" s="2111"/>
      <c r="AD45" s="2050"/>
      <c r="AE45" s="2050"/>
      <c r="AF45" s="2050"/>
      <c r="AG45" s="2151"/>
    </row>
    <row r="46" spans="1:33" ht="15.75">
      <c r="A46" s="5158"/>
      <c r="B46" s="2138" t="s">
        <v>122</v>
      </c>
      <c r="C46" s="2121" t="s">
        <v>553</v>
      </c>
      <c r="D46" s="2152"/>
      <c r="E46" s="2153"/>
      <c r="F46" s="2153"/>
      <c r="G46" s="2153"/>
      <c r="H46" s="2153"/>
      <c r="I46" s="2154"/>
      <c r="J46" s="2154"/>
      <c r="K46" s="2154"/>
      <c r="L46" s="2154"/>
      <c r="M46" s="5110" t="s">
        <v>690</v>
      </c>
      <c r="N46" s="5128"/>
      <c r="O46" s="5128"/>
      <c r="P46" s="5129"/>
      <c r="Q46" s="2153"/>
      <c r="R46" s="2153"/>
      <c r="S46" s="2153"/>
      <c r="T46" s="2153"/>
      <c r="U46" s="2153"/>
      <c r="V46" s="2154"/>
      <c r="W46" s="2154"/>
      <c r="X46" s="2154"/>
      <c r="Y46" s="2154"/>
      <c r="Z46" s="2154"/>
      <c r="AA46" s="2154"/>
      <c r="AB46" s="2154"/>
      <c r="AC46" s="2155"/>
      <c r="AD46" s="2156" t="s">
        <v>251</v>
      </c>
      <c r="AE46" s="5147" t="s">
        <v>685</v>
      </c>
      <c r="AF46" s="5147"/>
      <c r="AG46" s="5148"/>
    </row>
    <row r="47" spans="1:33" ht="15.75">
      <c r="A47" s="5158"/>
      <c r="B47" s="2138" t="s">
        <v>124</v>
      </c>
      <c r="C47" s="2121" t="s">
        <v>125</v>
      </c>
      <c r="D47" s="2110"/>
      <c r="E47" s="2111"/>
      <c r="F47" s="2111"/>
      <c r="G47" s="2111"/>
      <c r="H47" s="2111"/>
      <c r="I47" s="2111"/>
      <c r="J47" s="2111"/>
      <c r="K47" s="2111"/>
      <c r="L47" s="2111"/>
      <c r="M47" s="2111"/>
      <c r="N47" s="5143" t="s">
        <v>251</v>
      </c>
      <c r="O47" s="5143"/>
      <c r="P47" s="5125" t="s">
        <v>689</v>
      </c>
      <c r="Q47" s="5125"/>
      <c r="R47" s="5125"/>
      <c r="S47" s="5125"/>
      <c r="T47" s="5125"/>
      <c r="U47" s="5109" t="s">
        <v>691</v>
      </c>
      <c r="V47" s="5109"/>
      <c r="W47" s="5109"/>
      <c r="X47" s="5109"/>
      <c r="Y47" s="5109"/>
      <c r="Z47" s="5109"/>
      <c r="AA47" s="5109"/>
      <c r="AB47" s="5149" t="s">
        <v>251</v>
      </c>
      <c r="AC47" s="5150"/>
      <c r="AD47" s="5151"/>
      <c r="AE47" s="2157"/>
      <c r="AF47" s="2157"/>
      <c r="AG47" s="2158"/>
    </row>
    <row r="48" spans="1:33" ht="15.75">
      <c r="A48" s="5158"/>
      <c r="B48" s="2138" t="s">
        <v>692</v>
      </c>
      <c r="C48" s="2121" t="s">
        <v>693</v>
      </c>
      <c r="D48" s="2110"/>
      <c r="E48" s="2111"/>
      <c r="F48" s="2111"/>
      <c r="G48" s="2111"/>
      <c r="H48" s="2111"/>
      <c r="I48" s="2111"/>
      <c r="J48" s="2111"/>
      <c r="K48" s="2111"/>
      <c r="L48" s="2111"/>
      <c r="M48" s="2111"/>
      <c r="N48" s="2159"/>
      <c r="O48" s="2159"/>
      <c r="P48" s="2159"/>
      <c r="Q48" s="2159"/>
      <c r="R48" s="2159"/>
      <c r="S48" s="2159"/>
      <c r="T48" s="2159"/>
      <c r="U48" s="2159"/>
      <c r="V48" s="2159"/>
      <c r="W48" s="2159"/>
      <c r="X48" s="2159"/>
      <c r="Y48" s="2159"/>
      <c r="Z48" s="2159"/>
      <c r="AA48" s="2160"/>
      <c r="AB48" s="2159"/>
      <c r="AC48" s="2159"/>
      <c r="AD48" s="2159"/>
      <c r="AE48" s="2161"/>
      <c r="AF48" s="2162"/>
      <c r="AG48" s="2163"/>
    </row>
    <row r="49" spans="1:33" ht="15.75">
      <c r="A49" s="5158"/>
      <c r="B49" s="2138" t="s">
        <v>127</v>
      </c>
      <c r="C49" s="2121" t="s">
        <v>128</v>
      </c>
      <c r="D49" s="5142" t="s">
        <v>688</v>
      </c>
      <c r="E49" s="5143"/>
      <c r="F49" s="5143"/>
      <c r="G49" s="5143"/>
      <c r="H49" s="5143"/>
      <c r="I49" s="2111"/>
      <c r="J49" s="2111"/>
      <c r="K49" s="2111"/>
      <c r="L49" s="2111"/>
      <c r="M49" s="2111"/>
      <c r="N49" s="2111"/>
      <c r="O49" s="2111"/>
      <c r="P49" s="2111"/>
      <c r="Q49" s="2111"/>
      <c r="R49" s="2111"/>
      <c r="S49" s="2111"/>
      <c r="T49" s="2111"/>
      <c r="U49" s="2111"/>
      <c r="V49" s="2111"/>
      <c r="W49" s="2111"/>
      <c r="X49" s="2111"/>
      <c r="Y49" s="2111"/>
      <c r="Z49" s="2111"/>
      <c r="AA49" s="2111"/>
      <c r="AB49" s="2107"/>
      <c r="AC49" s="5145" t="s">
        <v>112</v>
      </c>
      <c r="AD49" s="5145"/>
      <c r="AE49" s="5145"/>
      <c r="AF49" s="5145"/>
      <c r="AG49" s="5146"/>
    </row>
    <row r="50" spans="1:33" ht="15.75">
      <c r="A50" s="5158"/>
      <c r="B50" s="2138" t="s">
        <v>127</v>
      </c>
      <c r="C50" s="2121" t="s">
        <v>132</v>
      </c>
      <c r="D50" s="2110"/>
      <c r="E50" s="2111"/>
      <c r="F50" s="2111"/>
      <c r="G50" s="2111"/>
      <c r="H50" s="2111"/>
      <c r="I50" s="2111"/>
      <c r="J50" s="5110" t="s">
        <v>694</v>
      </c>
      <c r="K50" s="5128"/>
      <c r="L50" s="5128"/>
      <c r="M50" s="5128"/>
      <c r="N50" s="5128"/>
      <c r="O50" s="5128"/>
      <c r="P50" s="5129"/>
      <c r="Q50" s="2111"/>
      <c r="R50" s="2122"/>
      <c r="S50" s="2122"/>
      <c r="T50" s="2122"/>
      <c r="U50" s="2122"/>
      <c r="V50" s="2122"/>
      <c r="W50" s="2122"/>
      <c r="X50" s="2122"/>
      <c r="Y50" s="2111"/>
      <c r="Z50" s="2111"/>
      <c r="AA50" s="2111"/>
      <c r="AB50" s="2028"/>
      <c r="AC50" s="2202"/>
      <c r="AD50" s="2202"/>
      <c r="AE50" s="2202"/>
      <c r="AF50" s="2202"/>
      <c r="AG50" s="2203"/>
    </row>
    <row r="51" spans="1:33" ht="15.75">
      <c r="A51" s="5158"/>
      <c r="B51" s="2138" t="s">
        <v>129</v>
      </c>
      <c r="C51" s="2121" t="s">
        <v>474</v>
      </c>
      <c r="D51" s="5142" t="s">
        <v>688</v>
      </c>
      <c r="E51" s="5143"/>
      <c r="F51" s="5143"/>
      <c r="G51" s="5140"/>
      <c r="H51" s="5140"/>
      <c r="I51" s="2122"/>
      <c r="J51" s="2122"/>
      <c r="K51" s="2122"/>
      <c r="L51" s="2122"/>
      <c r="M51" s="2122"/>
      <c r="N51" s="2122"/>
      <c r="O51" s="2122"/>
      <c r="P51" s="2122"/>
      <c r="Q51" s="2122"/>
      <c r="R51" s="2122"/>
      <c r="S51" s="2122"/>
      <c r="T51" s="2122"/>
      <c r="U51" s="2122"/>
      <c r="V51" s="2122"/>
      <c r="W51" s="2122"/>
      <c r="X51" s="2122"/>
      <c r="Y51" s="2122"/>
      <c r="Z51" s="2122"/>
      <c r="AA51" s="2122"/>
      <c r="AB51" s="2111"/>
      <c r="AC51" s="2156" t="s">
        <v>251</v>
      </c>
      <c r="AD51" s="5154" t="s">
        <v>695</v>
      </c>
      <c r="AE51" s="5155"/>
      <c r="AF51" s="5155"/>
      <c r="AG51" s="5156"/>
    </row>
    <row r="52" spans="1:33" ht="15.75">
      <c r="A52" s="5158"/>
      <c r="B52" s="2138" t="s">
        <v>134</v>
      </c>
      <c r="C52" s="2121" t="s">
        <v>135</v>
      </c>
      <c r="D52" s="2110"/>
      <c r="E52" s="2111"/>
      <c r="F52" s="2139"/>
      <c r="G52" s="2028"/>
      <c r="H52" s="2028"/>
      <c r="I52" s="2028"/>
      <c r="J52" s="2028"/>
      <c r="K52" s="2028"/>
      <c r="L52" s="2028"/>
      <c r="M52" s="2028"/>
      <c r="N52" s="2028"/>
      <c r="O52" s="2028"/>
      <c r="P52" s="2028"/>
      <c r="Q52" s="2028"/>
      <c r="R52" s="2028"/>
      <c r="S52" s="2028"/>
      <c r="T52" s="2028"/>
      <c r="U52" s="2028"/>
      <c r="V52" s="2028"/>
      <c r="W52" s="2028"/>
      <c r="X52" s="2028"/>
      <c r="Y52" s="2028"/>
      <c r="Z52" s="2028"/>
      <c r="AA52" s="2028"/>
      <c r="AB52" s="2146"/>
      <c r="AC52" s="2111"/>
      <c r="AD52" s="5135" t="s">
        <v>251</v>
      </c>
      <c r="AE52" s="5136"/>
      <c r="AF52" s="5152" t="s">
        <v>687</v>
      </c>
      <c r="AG52" s="5153"/>
    </row>
    <row r="53" spans="1:33" ht="15.75">
      <c r="A53" s="5158"/>
      <c r="B53" s="2164" t="s">
        <v>333</v>
      </c>
      <c r="C53" s="2091" t="s">
        <v>334</v>
      </c>
      <c r="D53" s="5139" t="s">
        <v>688</v>
      </c>
      <c r="E53" s="5140"/>
      <c r="F53" s="5140"/>
      <c r="G53" s="5141"/>
      <c r="H53" s="5141"/>
      <c r="I53" s="2094"/>
      <c r="J53" s="2094"/>
      <c r="K53" s="2094"/>
      <c r="L53" s="2094"/>
      <c r="M53" s="2094"/>
      <c r="N53" s="2094"/>
      <c r="O53" s="2094"/>
      <c r="P53" s="2094"/>
      <c r="Q53" s="2165"/>
      <c r="R53" s="5123" t="s">
        <v>158</v>
      </c>
      <c r="S53" s="5123"/>
      <c r="T53" s="5123"/>
      <c r="U53" s="5123"/>
      <c r="V53" s="5123"/>
      <c r="W53" s="5123"/>
      <c r="X53" s="5123"/>
      <c r="Y53" s="5123"/>
      <c r="Z53" s="5123"/>
      <c r="AA53" s="5123"/>
      <c r="AB53" s="5124"/>
      <c r="AC53" s="5124"/>
      <c r="AD53" s="2122"/>
      <c r="AE53" s="2122"/>
      <c r="AF53" s="2122"/>
      <c r="AG53" s="2095"/>
    </row>
    <row r="54" spans="1:33" ht="15.75">
      <c r="A54" s="5131" t="s">
        <v>136</v>
      </c>
      <c r="B54" s="2166" t="s">
        <v>77</v>
      </c>
      <c r="C54" s="2083" t="s">
        <v>153</v>
      </c>
      <c r="D54" s="2167"/>
      <c r="E54" s="2168"/>
      <c r="F54" s="2168"/>
      <c r="G54" s="2168"/>
      <c r="H54" s="2168"/>
      <c r="I54" s="2168"/>
      <c r="J54" s="2168"/>
      <c r="K54" s="2168"/>
      <c r="L54" s="2168"/>
      <c r="M54" s="2168"/>
      <c r="N54" s="2168"/>
      <c r="O54" s="2168"/>
      <c r="P54" s="2168"/>
      <c r="Q54" s="2168"/>
      <c r="R54" s="2168"/>
      <c r="S54" s="2168"/>
      <c r="T54" s="2168"/>
      <c r="U54" s="2168"/>
      <c r="V54" s="2169"/>
      <c r="W54" s="2168"/>
      <c r="X54" s="2168"/>
      <c r="Y54" s="2168"/>
      <c r="Z54" s="2168"/>
      <c r="AA54" s="2168"/>
      <c r="AB54" s="2168"/>
      <c r="AC54" s="2168"/>
      <c r="AD54" s="2087"/>
      <c r="AE54" s="2087"/>
      <c r="AF54" s="2087"/>
      <c r="AG54" s="2089"/>
    </row>
    <row r="55" spans="1:33" ht="15.75">
      <c r="A55" s="5132"/>
      <c r="B55" s="2138" t="s">
        <v>95</v>
      </c>
      <c r="C55" s="2091" t="s">
        <v>139</v>
      </c>
      <c r="D55" s="2110"/>
      <c r="E55" s="2111"/>
      <c r="F55" s="2111"/>
      <c r="G55" s="2111"/>
      <c r="H55" s="2111"/>
      <c r="I55" s="2111"/>
      <c r="J55" s="2111"/>
      <c r="K55" s="2111"/>
      <c r="L55" s="2111"/>
      <c r="M55" s="2111"/>
      <c r="N55" s="2111"/>
      <c r="O55" s="2111"/>
      <c r="P55" s="2111"/>
      <c r="Q55" s="2111"/>
      <c r="R55" s="2111"/>
      <c r="S55" s="2111"/>
      <c r="T55" s="5110" t="s">
        <v>696</v>
      </c>
      <c r="U55" s="5137"/>
      <c r="V55" s="5137"/>
      <c r="W55" s="5138"/>
      <c r="X55" s="2111"/>
      <c r="Y55" s="2111"/>
      <c r="Z55" s="5110" t="s">
        <v>697</v>
      </c>
      <c r="AA55" s="5128"/>
      <c r="AB55" s="5128"/>
      <c r="AC55" s="5128"/>
      <c r="AD55" s="5129"/>
      <c r="AE55" s="2111"/>
      <c r="AF55" s="2111"/>
      <c r="AG55" s="2123"/>
    </row>
    <row r="56" spans="1:33" ht="15" customHeight="1">
      <c r="A56" s="5133"/>
      <c r="B56" s="2170" t="s">
        <v>142</v>
      </c>
      <c r="C56" s="2126" t="s">
        <v>143</v>
      </c>
      <c r="D56" s="2127"/>
      <c r="E56" s="2117"/>
      <c r="F56" s="2117"/>
      <c r="G56" s="2117"/>
      <c r="H56" s="2117"/>
      <c r="I56" s="2117"/>
      <c r="J56" s="2117"/>
      <c r="K56" s="2117"/>
      <c r="L56" s="2117"/>
      <c r="M56" s="2117"/>
      <c r="N56" s="2117"/>
      <c r="O56" s="2117"/>
      <c r="P56" s="2117"/>
      <c r="Q56" s="2117"/>
      <c r="R56" s="2117"/>
      <c r="S56" s="2117"/>
      <c r="T56" s="2117"/>
      <c r="U56" s="2117"/>
      <c r="V56" s="2117"/>
      <c r="W56" s="2117"/>
      <c r="X56" s="2117"/>
      <c r="Y56" s="2117"/>
      <c r="Z56" s="2117"/>
      <c r="AA56" s="2117"/>
      <c r="AB56" s="2117"/>
      <c r="AC56" s="2117"/>
      <c r="AD56" s="2117"/>
      <c r="AE56" s="2171"/>
      <c r="AF56" s="2171"/>
      <c r="AG56" s="2172"/>
    </row>
    <row r="57" spans="1:33" ht="15.75">
      <c r="A57" s="5134" t="s">
        <v>144</v>
      </c>
      <c r="B57" s="2101" t="s">
        <v>145</v>
      </c>
      <c r="C57" s="2173" t="s">
        <v>148</v>
      </c>
      <c r="D57" s="2131"/>
      <c r="E57" s="2107"/>
      <c r="F57" s="2107"/>
      <c r="G57" s="2107"/>
      <c r="H57" s="2107"/>
      <c r="I57" s="2107"/>
      <c r="J57" s="2107"/>
      <c r="K57" s="2107"/>
      <c r="L57" s="2107"/>
      <c r="M57" s="2107"/>
      <c r="N57" s="2107"/>
      <c r="O57" s="2107"/>
      <c r="P57" s="2162"/>
      <c r="Q57" s="2162"/>
      <c r="R57" s="2162"/>
      <c r="S57" s="2162"/>
      <c r="T57" s="2162"/>
      <c r="U57" s="2107"/>
      <c r="V57" s="2107"/>
      <c r="W57" s="2107"/>
      <c r="X57" s="2107"/>
      <c r="Y57" s="2107"/>
      <c r="Z57" s="2107"/>
      <c r="AA57" s="2107"/>
      <c r="AB57" s="2107"/>
      <c r="AC57" s="2107"/>
      <c r="AD57" s="2107"/>
      <c r="AE57" s="2107"/>
      <c r="AF57" s="2107"/>
      <c r="AG57" s="2108"/>
    </row>
    <row r="58" spans="1:33" ht="15.75">
      <c r="A58" s="5134"/>
      <c r="B58" s="2109" t="s">
        <v>145</v>
      </c>
      <c r="C58" s="2116" t="s">
        <v>618</v>
      </c>
      <c r="D58" s="2131"/>
      <c r="E58" s="2107"/>
      <c r="F58" s="2107"/>
      <c r="G58" s="2107"/>
      <c r="H58" s="2107"/>
      <c r="I58" s="2107"/>
      <c r="J58" s="2107"/>
      <c r="K58" s="2107"/>
      <c r="L58" s="2107"/>
      <c r="M58" s="2107"/>
      <c r="N58" s="2107"/>
      <c r="O58" s="2107"/>
      <c r="P58" s="2162"/>
      <c r="Q58" s="2162"/>
      <c r="R58" s="2162"/>
      <c r="S58" s="2162"/>
      <c r="T58" s="2162"/>
      <c r="U58" s="2107"/>
      <c r="V58" s="2107"/>
      <c r="W58" s="2107"/>
      <c r="X58" s="2107"/>
      <c r="Y58" s="2107"/>
      <c r="Z58" s="2107"/>
      <c r="AA58" s="2107"/>
      <c r="AB58" s="2107"/>
      <c r="AC58" s="2107"/>
      <c r="AD58" s="2107"/>
      <c r="AE58" s="2107"/>
      <c r="AF58" s="2107"/>
      <c r="AG58" s="2108"/>
    </row>
    <row r="59" spans="1:33" ht="15.75">
      <c r="A59" s="5134"/>
      <c r="B59" s="2109" t="s">
        <v>149</v>
      </c>
      <c r="C59" s="2116" t="s">
        <v>150</v>
      </c>
      <c r="D59" s="5107" t="s">
        <v>664</v>
      </c>
      <c r="E59" s="5108"/>
      <c r="F59" s="5108"/>
      <c r="G59" s="2027" t="s">
        <v>55</v>
      </c>
      <c r="H59" s="2107"/>
      <c r="I59" s="2107"/>
      <c r="J59" s="2107"/>
      <c r="K59" s="2107"/>
      <c r="L59" s="2107"/>
      <c r="M59" s="2111"/>
      <c r="N59" s="2111"/>
      <c r="O59" s="2111" t="s">
        <v>30</v>
      </c>
      <c r="P59" s="2111"/>
      <c r="Q59" s="2111"/>
      <c r="R59" s="2111"/>
      <c r="S59" s="2111"/>
      <c r="T59" s="2111"/>
      <c r="U59" s="2111"/>
      <c r="V59" s="2111"/>
      <c r="W59" s="2107"/>
      <c r="X59" s="2174" t="s">
        <v>698</v>
      </c>
      <c r="Y59" s="2111"/>
      <c r="Z59" s="2111"/>
      <c r="AA59" s="2111"/>
      <c r="AB59" s="2111"/>
      <c r="AC59" s="2111"/>
      <c r="AD59" s="2111"/>
      <c r="AE59" s="2111"/>
      <c r="AF59" s="2111"/>
      <c r="AG59" s="2123"/>
    </row>
    <row r="60" spans="1:33" ht="15.75">
      <c r="A60" s="5134"/>
      <c r="B60" s="2125" t="s">
        <v>149</v>
      </c>
      <c r="C60" s="2175" t="s">
        <v>151</v>
      </c>
      <c r="D60" s="2176"/>
      <c r="E60" s="2171"/>
      <c r="F60" s="2171"/>
      <c r="G60" s="2171"/>
      <c r="H60" s="2171"/>
      <c r="I60" s="2171"/>
      <c r="J60" s="2171"/>
      <c r="K60" s="2171"/>
      <c r="L60" s="2171"/>
      <c r="M60" s="2171"/>
      <c r="N60" s="2171"/>
      <c r="O60" s="2171"/>
      <c r="P60" s="2171"/>
      <c r="Q60" s="2171"/>
      <c r="R60" s="2171"/>
      <c r="S60" s="2171"/>
      <c r="T60" s="2171"/>
      <c r="U60" s="2171"/>
      <c r="V60" s="2171"/>
      <c r="W60" s="2065" t="s">
        <v>667</v>
      </c>
      <c r="X60" s="2171"/>
      <c r="Y60" s="2171"/>
      <c r="Z60" s="2171"/>
      <c r="AA60" s="2171"/>
      <c r="AB60" s="2171"/>
      <c r="AC60" s="2171"/>
      <c r="AD60" s="2171"/>
      <c r="AE60" s="2171"/>
      <c r="AF60" s="2171"/>
      <c r="AG60" s="2172"/>
    </row>
    <row r="61" spans="1:33" ht="15.75">
      <c r="A61" s="5130" t="s">
        <v>13</v>
      </c>
      <c r="B61" s="2177" t="s">
        <v>100</v>
      </c>
      <c r="C61" s="2178" t="s">
        <v>78</v>
      </c>
      <c r="D61" s="2131"/>
      <c r="E61" s="2107"/>
      <c r="F61" s="2107"/>
      <c r="G61" s="2094"/>
      <c r="H61" s="2107"/>
      <c r="I61" s="2107"/>
      <c r="J61" s="2107"/>
      <c r="K61" s="2179" t="s">
        <v>665</v>
      </c>
      <c r="L61" s="2094"/>
      <c r="M61" s="5110" t="s">
        <v>690</v>
      </c>
      <c r="N61" s="5128"/>
      <c r="O61" s="5128"/>
      <c r="P61" s="5129"/>
      <c r="Q61" s="2094"/>
      <c r="R61" s="2094"/>
      <c r="S61" s="2094"/>
      <c r="T61" s="2107"/>
      <c r="U61" s="2150"/>
      <c r="V61" s="2107"/>
      <c r="W61" s="2065" t="s">
        <v>667</v>
      </c>
      <c r="X61" s="2180" t="s">
        <v>698</v>
      </c>
      <c r="Y61" s="2107"/>
      <c r="Z61" s="2107"/>
      <c r="AA61" s="2107"/>
      <c r="AB61" s="2107"/>
      <c r="AC61" s="2107"/>
      <c r="AD61" s="2107"/>
      <c r="AE61" s="2107"/>
      <c r="AF61" s="2060" t="s">
        <v>592</v>
      </c>
      <c r="AG61" s="2089"/>
    </row>
    <row r="62" spans="1:33" ht="15.75">
      <c r="A62" s="5130"/>
      <c r="B62" s="2181" t="s">
        <v>248</v>
      </c>
      <c r="C62" s="2091" t="s">
        <v>86</v>
      </c>
      <c r="D62" s="5107" t="s">
        <v>664</v>
      </c>
      <c r="E62" s="5108"/>
      <c r="F62" s="5108"/>
      <c r="G62" s="2184" t="s">
        <v>55</v>
      </c>
      <c r="H62" s="2185"/>
      <c r="I62" s="2122"/>
      <c r="J62" s="2122"/>
      <c r="K62" s="2143"/>
      <c r="L62" s="2122"/>
      <c r="M62" s="2122"/>
      <c r="N62" s="2111"/>
      <c r="O62" s="2111"/>
      <c r="P62" s="2111"/>
      <c r="Q62" s="2122"/>
      <c r="R62" s="2111"/>
      <c r="S62" s="2111"/>
      <c r="T62" s="2107"/>
      <c r="U62" s="2111"/>
      <c r="V62" s="2111"/>
      <c r="W62" s="2065" t="s">
        <v>667</v>
      </c>
      <c r="X62" s="2174" t="s">
        <v>698</v>
      </c>
      <c r="Y62" s="2111"/>
      <c r="Z62" s="2111"/>
      <c r="AA62" s="2111"/>
      <c r="AB62" s="2111"/>
      <c r="AC62" s="2111"/>
      <c r="AD62" s="2111"/>
      <c r="AE62" s="2111"/>
      <c r="AF62" s="2111"/>
      <c r="AG62" s="2123"/>
    </row>
    <row r="63" spans="1:33" ht="15.75">
      <c r="A63" s="5130"/>
      <c r="B63" s="2181" t="s">
        <v>248</v>
      </c>
      <c r="C63" s="2091" t="s">
        <v>620</v>
      </c>
      <c r="D63" s="5107" t="s">
        <v>664</v>
      </c>
      <c r="E63" s="5108"/>
      <c r="F63" s="5108"/>
      <c r="G63" s="2186" t="s">
        <v>55</v>
      </c>
      <c r="H63" s="2111"/>
      <c r="I63" s="2111"/>
      <c r="J63" s="2111"/>
      <c r="K63" s="2179" t="s">
        <v>665</v>
      </c>
      <c r="L63" s="2111"/>
      <c r="M63" s="2111"/>
      <c r="N63" s="2111"/>
      <c r="O63" s="2111"/>
      <c r="P63" s="2111"/>
      <c r="Q63" s="2122"/>
      <c r="R63" s="2111"/>
      <c r="S63" s="2122"/>
      <c r="T63" s="2107"/>
      <c r="U63" s="2111"/>
      <c r="V63" s="2111"/>
      <c r="W63" s="2065" t="s">
        <v>667</v>
      </c>
      <c r="X63" s="2174" t="s">
        <v>698</v>
      </c>
      <c r="Y63" s="2111"/>
      <c r="Z63" s="2111"/>
      <c r="AA63" s="2111"/>
      <c r="AB63" s="2111"/>
      <c r="AC63" s="2111"/>
      <c r="AD63" s="2111"/>
      <c r="AE63" s="2111"/>
      <c r="AF63" s="2060" t="s">
        <v>592</v>
      </c>
      <c r="AG63" s="2123"/>
    </row>
    <row r="64" spans="1:33" ht="15.75">
      <c r="A64" s="5130"/>
      <c r="B64" s="2181" t="s">
        <v>81</v>
      </c>
      <c r="C64" s="2091" t="s">
        <v>396</v>
      </c>
      <c r="D64" s="5107" t="s">
        <v>664</v>
      </c>
      <c r="E64" s="5108"/>
      <c r="F64" s="5108"/>
      <c r="G64" s="2020" t="s">
        <v>55</v>
      </c>
      <c r="H64" s="2028"/>
      <c r="I64" s="2028"/>
      <c r="J64" s="2028"/>
      <c r="K64" s="2028"/>
      <c r="L64" s="2028"/>
      <c r="M64" s="2029"/>
      <c r="N64" s="2122"/>
      <c r="O64" s="2122"/>
      <c r="P64" s="2122"/>
      <c r="Q64" s="2122"/>
      <c r="R64" s="2122"/>
      <c r="S64" s="2122"/>
      <c r="T64" s="2122"/>
      <c r="U64" s="2122"/>
      <c r="V64" s="2122"/>
      <c r="W64" s="2065" t="s">
        <v>667</v>
      </c>
      <c r="X64" s="2122"/>
      <c r="Y64" s="2122"/>
      <c r="Z64" s="2122"/>
      <c r="AA64" s="2122"/>
      <c r="AB64" s="2122"/>
      <c r="AC64" s="2122"/>
      <c r="AD64" s="2122"/>
      <c r="AE64" s="2122"/>
      <c r="AF64" s="2111"/>
      <c r="AG64" s="2123"/>
    </row>
    <row r="65" spans="1:33" ht="15.75">
      <c r="A65" s="5130"/>
      <c r="B65" s="2181" t="s">
        <v>248</v>
      </c>
      <c r="C65" s="2182" t="s">
        <v>303</v>
      </c>
      <c r="D65" s="5107" t="s">
        <v>664</v>
      </c>
      <c r="E65" s="5108"/>
      <c r="F65" s="5108"/>
      <c r="G65" s="2020" t="s">
        <v>55</v>
      </c>
      <c r="H65" s="2094"/>
      <c r="I65" s="2094"/>
      <c r="J65" s="2094"/>
      <c r="K65" s="2094"/>
      <c r="L65" s="2094"/>
      <c r="M65" s="2122"/>
      <c r="N65" s="2122"/>
      <c r="O65" s="2122"/>
      <c r="P65" s="2020" t="s">
        <v>55</v>
      </c>
      <c r="Q65" s="5212" t="s">
        <v>669</v>
      </c>
      <c r="R65" s="5213"/>
      <c r="S65" s="5213"/>
      <c r="T65" s="2020" t="s">
        <v>55</v>
      </c>
      <c r="U65" s="2122"/>
      <c r="V65" s="2122"/>
      <c r="W65" s="2065" t="s">
        <v>667</v>
      </c>
      <c r="X65" s="2122"/>
      <c r="Y65" s="2122"/>
      <c r="Z65" s="2122"/>
      <c r="AA65" s="2122"/>
      <c r="AB65" s="2122"/>
      <c r="AC65" s="2122"/>
      <c r="AD65" s="2122"/>
      <c r="AE65" s="2122"/>
      <c r="AF65" s="2111"/>
      <c r="AG65" s="2123"/>
    </row>
    <row r="66" spans="1:33" ht="15.75">
      <c r="A66" s="5130"/>
      <c r="B66" s="2183" t="s">
        <v>699</v>
      </c>
      <c r="C66" s="2097" t="s">
        <v>532</v>
      </c>
      <c r="D66" s="2176"/>
      <c r="E66" s="2171"/>
      <c r="F66" s="2171"/>
      <c r="G66" s="2171"/>
      <c r="H66" s="2171"/>
      <c r="I66" s="2171"/>
      <c r="J66" s="2171"/>
      <c r="K66" s="2171"/>
      <c r="L66" s="2171"/>
      <c r="M66" s="2171"/>
      <c r="N66" s="2171"/>
      <c r="O66" s="2171"/>
      <c r="P66" s="2021" t="s">
        <v>55</v>
      </c>
      <c r="Q66" s="5214" t="s">
        <v>669</v>
      </c>
      <c r="R66" s="5215"/>
      <c r="S66" s="5215"/>
      <c r="T66" s="2021" t="s">
        <v>55</v>
      </c>
      <c r="U66" s="2171"/>
      <c r="V66" s="2171"/>
      <c r="W66" s="2171"/>
      <c r="X66" s="2171"/>
      <c r="Y66" s="2171"/>
      <c r="Z66" s="2171"/>
      <c r="AA66" s="2171"/>
      <c r="AB66" s="2171"/>
      <c r="AC66" s="2171"/>
      <c r="AD66" s="2171"/>
      <c r="AE66" s="2171"/>
      <c r="AF66" s="2171"/>
      <c r="AG66" s="2172"/>
    </row>
  </sheetData>
  <mergeCells count="93">
    <mergeCell ref="Q65:S65"/>
    <mergeCell ref="Q66:S66"/>
    <mergeCell ref="Q17:S17"/>
    <mergeCell ref="A32:A36"/>
    <mergeCell ref="A5:C5"/>
    <mergeCell ref="A18:C18"/>
    <mergeCell ref="A19:C19"/>
    <mergeCell ref="A6:C6"/>
    <mergeCell ref="A8:C8"/>
    <mergeCell ref="A9:C9"/>
    <mergeCell ref="A17:C17"/>
    <mergeCell ref="A10:C10"/>
    <mergeCell ref="A7:C7"/>
    <mergeCell ref="A11:C11"/>
    <mergeCell ref="A12:C12"/>
    <mergeCell ref="A14:C14"/>
    <mergeCell ref="W45:AA45"/>
    <mergeCell ref="A16:C16"/>
    <mergeCell ref="A20:C20"/>
    <mergeCell ref="A21:C21"/>
    <mergeCell ref="A13:C13"/>
    <mergeCell ref="A29:A31"/>
    <mergeCell ref="A26:A28"/>
    <mergeCell ref="A22:C22"/>
    <mergeCell ref="A15:C15"/>
    <mergeCell ref="X32:AC32"/>
    <mergeCell ref="P30:T30"/>
    <mergeCell ref="M33:P33"/>
    <mergeCell ref="D29:F29"/>
    <mergeCell ref="Y23:AD23"/>
    <mergeCell ref="W30:AG30"/>
    <mergeCell ref="Q23:S23"/>
    <mergeCell ref="AF44:AG44"/>
    <mergeCell ref="AD34:AG34"/>
    <mergeCell ref="N39:S39"/>
    <mergeCell ref="AD44:AE44"/>
    <mergeCell ref="AD35:AG35"/>
    <mergeCell ref="T42:Z42"/>
    <mergeCell ref="T39:Z39"/>
    <mergeCell ref="U29:AC29"/>
    <mergeCell ref="A37:A53"/>
    <mergeCell ref="M46:P46"/>
    <mergeCell ref="A1:C1"/>
    <mergeCell ref="D1:AG1"/>
    <mergeCell ref="A2:C2"/>
    <mergeCell ref="A3:C3"/>
    <mergeCell ref="A4:C4"/>
    <mergeCell ref="M4:P4"/>
    <mergeCell ref="Z4:AC4"/>
    <mergeCell ref="D7:H7"/>
    <mergeCell ref="R6:X6"/>
    <mergeCell ref="D23:E23"/>
    <mergeCell ref="D12:L12"/>
    <mergeCell ref="J50:P50"/>
    <mergeCell ref="M32:P32"/>
    <mergeCell ref="AD52:AE52"/>
    <mergeCell ref="T55:W55"/>
    <mergeCell ref="D42:F42"/>
    <mergeCell ref="D53:H53"/>
    <mergeCell ref="D51:H51"/>
    <mergeCell ref="D45:H45"/>
    <mergeCell ref="D49:H49"/>
    <mergeCell ref="Z55:AD55"/>
    <mergeCell ref="AC49:AG49"/>
    <mergeCell ref="AE46:AG46"/>
    <mergeCell ref="AB47:AD47"/>
    <mergeCell ref="AF52:AG52"/>
    <mergeCell ref="AD51:AG51"/>
    <mergeCell ref="N47:O47"/>
    <mergeCell ref="N45:O45"/>
    <mergeCell ref="U47:AA47"/>
    <mergeCell ref="A61:A66"/>
    <mergeCell ref="D63:F63"/>
    <mergeCell ref="D62:F62"/>
    <mergeCell ref="A54:A56"/>
    <mergeCell ref="D65:F65"/>
    <mergeCell ref="A57:A60"/>
    <mergeCell ref="AD5:AG5"/>
    <mergeCell ref="D64:F64"/>
    <mergeCell ref="J43:T43"/>
    <mergeCell ref="AF43:AG43"/>
    <mergeCell ref="Y27:AG27"/>
    <mergeCell ref="M31:P31"/>
    <mergeCell ref="AD19:AG19"/>
    <mergeCell ref="D59:F59"/>
    <mergeCell ref="D33:F33"/>
    <mergeCell ref="D40:X40"/>
    <mergeCell ref="R53:AC53"/>
    <mergeCell ref="P47:T47"/>
    <mergeCell ref="P45:T45"/>
    <mergeCell ref="AE41:AG41"/>
    <mergeCell ref="T34:W34"/>
    <mergeCell ref="M61:P61"/>
  </mergeCells>
  <pageMargins left="0.25" right="0.25" top="0.75" bottom="0.75" header="0.3" footer="0.3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9E11C-7FDA-424A-A64E-C24C9A92327E}">
  <sheetPr>
    <pageSetUpPr fitToPage="1"/>
  </sheetPr>
  <dimension ref="A1:AH74"/>
  <sheetViews>
    <sheetView workbookViewId="0">
      <pane ySplit="1" topLeftCell="A68" activePane="bottomLeft" state="frozen"/>
      <selection pane="bottomLeft" activeCell="G68" sqref="D68:G68"/>
    </sheetView>
  </sheetViews>
  <sheetFormatPr defaultRowHeight="15"/>
  <cols>
    <col min="1" max="1" width="10.5703125" customWidth="1"/>
    <col min="3" max="3" width="11.5703125" bestFit="1" customWidth="1"/>
  </cols>
  <sheetData>
    <row r="1" spans="1:34">
      <c r="A1" s="4375" t="s">
        <v>29</v>
      </c>
      <c r="B1" s="4375"/>
      <c r="C1" s="4375"/>
      <c r="D1" s="5244" t="s">
        <v>700</v>
      </c>
      <c r="E1" s="5244"/>
      <c r="F1" s="5244"/>
      <c r="G1" s="5244"/>
      <c r="H1" s="5244"/>
      <c r="I1" s="5244"/>
      <c r="J1" s="5244"/>
      <c r="K1" s="5244"/>
      <c r="L1" s="5244"/>
      <c r="M1" s="5244"/>
      <c r="N1" s="5244"/>
      <c r="O1" s="5244"/>
      <c r="P1" s="5244"/>
      <c r="Q1" s="5244"/>
      <c r="R1" s="5244"/>
      <c r="S1" s="5244"/>
      <c r="T1" s="5244"/>
      <c r="U1" s="5244"/>
      <c r="V1" s="5244"/>
      <c r="W1" s="5244"/>
      <c r="X1" s="5244"/>
      <c r="Y1" s="5244"/>
      <c r="Z1" s="5244"/>
      <c r="AA1" s="5244"/>
      <c r="AB1" s="5244"/>
      <c r="AC1" s="5244"/>
      <c r="AD1" s="5244"/>
      <c r="AE1" s="5244"/>
      <c r="AF1" s="5244"/>
      <c r="AG1" s="5244"/>
      <c r="AH1" s="5244"/>
    </row>
    <row r="2" spans="1:34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4378" t="s">
        <v>32</v>
      </c>
      <c r="B3" s="4378"/>
      <c r="C3" s="4378"/>
      <c r="D3" s="3703" t="s">
        <v>37</v>
      </c>
      <c r="E3" s="3703" t="s">
        <v>33</v>
      </c>
      <c r="F3" s="3703" t="s">
        <v>34</v>
      </c>
      <c r="G3" s="19" t="s">
        <v>33</v>
      </c>
      <c r="H3" s="19" t="s">
        <v>35</v>
      </c>
      <c r="I3" s="19" t="s">
        <v>36</v>
      </c>
      <c r="J3" s="19" t="s">
        <v>36</v>
      </c>
      <c r="K3" s="3703" t="s">
        <v>37</v>
      </c>
      <c r="L3" s="3703" t="s">
        <v>33</v>
      </c>
      <c r="M3" s="3703" t="s">
        <v>34</v>
      </c>
      <c r="N3" s="3703" t="s">
        <v>33</v>
      </c>
      <c r="O3" s="3703" t="s">
        <v>35</v>
      </c>
      <c r="P3" s="19" t="s">
        <v>36</v>
      </c>
      <c r="Q3" s="19" t="s">
        <v>36</v>
      </c>
      <c r="R3" s="3703" t="s">
        <v>37</v>
      </c>
      <c r="S3" s="3703" t="s">
        <v>33</v>
      </c>
      <c r="T3" s="3703" t="s">
        <v>34</v>
      </c>
      <c r="U3" s="40" t="s">
        <v>33</v>
      </c>
      <c r="V3" s="3703" t="s">
        <v>35</v>
      </c>
      <c r="W3" s="19" t="s">
        <v>36</v>
      </c>
      <c r="X3" s="19" t="s">
        <v>36</v>
      </c>
      <c r="Y3" s="3703" t="s">
        <v>37</v>
      </c>
      <c r="Z3" s="41" t="s">
        <v>33</v>
      </c>
      <c r="AA3" s="41" t="s">
        <v>34</v>
      </c>
      <c r="AB3" s="41" t="s">
        <v>33</v>
      </c>
      <c r="AC3" s="3703" t="s">
        <v>35</v>
      </c>
      <c r="AD3" s="19" t="s">
        <v>36</v>
      </c>
      <c r="AE3" s="19" t="s">
        <v>36</v>
      </c>
      <c r="AF3" s="3703" t="s">
        <v>37</v>
      </c>
      <c r="AG3" s="41" t="s">
        <v>33</v>
      </c>
      <c r="AH3" s="41" t="s">
        <v>34</v>
      </c>
    </row>
    <row r="4" spans="1:34" ht="15.75">
      <c r="A4" s="5285" t="s">
        <v>38</v>
      </c>
      <c r="B4" s="5285"/>
      <c r="C4" s="5285"/>
      <c r="D4" s="998"/>
      <c r="E4" s="973"/>
      <c r="F4" s="800"/>
      <c r="G4" s="5245" t="s">
        <v>701</v>
      </c>
      <c r="H4" s="5246"/>
      <c r="I4" s="5246"/>
      <c r="J4" s="5247"/>
      <c r="K4" s="800"/>
      <c r="L4" s="800"/>
      <c r="M4" s="800"/>
      <c r="N4" s="425"/>
      <c r="O4" s="425"/>
      <c r="P4" s="425"/>
      <c r="Q4" s="973"/>
      <c r="R4" s="973"/>
      <c r="S4" s="973"/>
      <c r="T4" s="800"/>
      <c r="U4" s="973"/>
      <c r="V4" s="973"/>
      <c r="W4" s="973"/>
      <c r="X4" s="973"/>
      <c r="Y4" s="973"/>
      <c r="Z4" s="800"/>
      <c r="AA4" s="982"/>
      <c r="AB4" s="982"/>
      <c r="AC4" s="851"/>
      <c r="AD4" s="851"/>
      <c r="AE4" s="851"/>
      <c r="AF4" s="851"/>
      <c r="AG4" s="801"/>
      <c r="AH4" s="801"/>
    </row>
    <row r="5" spans="1:34" s="567" customFormat="1">
      <c r="A5" s="4061" t="s">
        <v>165</v>
      </c>
      <c r="B5" s="4061"/>
      <c r="C5" s="4061"/>
      <c r="D5" s="861"/>
      <c r="E5" s="380"/>
      <c r="F5" s="380"/>
      <c r="G5" s="380"/>
      <c r="H5" s="380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537"/>
      <c r="Z5" s="537"/>
      <c r="AA5" s="537"/>
      <c r="AB5" s="380"/>
      <c r="AC5" s="380"/>
      <c r="AD5" s="380"/>
      <c r="AE5" s="380"/>
      <c r="AF5" s="380"/>
      <c r="AG5" s="803"/>
      <c r="AH5" s="803"/>
    </row>
    <row r="6" spans="1:34">
      <c r="A6" s="4265" t="s">
        <v>407</v>
      </c>
      <c r="B6" s="4265"/>
      <c r="C6" s="4265"/>
      <c r="D6" s="861"/>
      <c r="E6" s="380"/>
      <c r="F6" s="380"/>
      <c r="G6" s="380"/>
      <c r="H6" s="380"/>
      <c r="I6" s="537"/>
      <c r="J6" s="537"/>
      <c r="K6" s="380"/>
      <c r="L6" s="380"/>
      <c r="M6" s="380"/>
      <c r="N6" s="537"/>
      <c r="O6" s="537"/>
      <c r="P6" s="537"/>
      <c r="Q6" s="537"/>
      <c r="R6" s="537"/>
      <c r="S6" s="380"/>
      <c r="T6" s="380"/>
      <c r="U6" s="380"/>
      <c r="V6" s="380"/>
      <c r="W6" s="380"/>
      <c r="X6" s="380"/>
      <c r="Y6" s="380"/>
      <c r="Z6" s="380"/>
      <c r="AA6" s="380"/>
      <c r="AB6" s="537"/>
      <c r="AC6" s="537"/>
      <c r="AD6" s="537"/>
      <c r="AE6" s="537"/>
      <c r="AF6" s="537"/>
      <c r="AG6" s="964"/>
      <c r="AH6" s="964"/>
    </row>
    <row r="7" spans="1:34">
      <c r="A7" s="4533" t="s">
        <v>262</v>
      </c>
      <c r="B7" s="4533"/>
      <c r="C7" s="4533"/>
      <c r="D7" s="861"/>
      <c r="F7" s="380"/>
      <c r="G7" s="380"/>
      <c r="H7" s="380"/>
      <c r="I7" s="779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380"/>
      <c r="U7" s="380"/>
      <c r="V7" s="380"/>
      <c r="W7" s="380"/>
      <c r="X7" s="380"/>
      <c r="Y7" s="380"/>
      <c r="Z7" s="537"/>
      <c r="AA7" s="537"/>
      <c r="AB7" s="537"/>
      <c r="AC7" s="537"/>
      <c r="AD7" s="537"/>
      <c r="AE7" s="537"/>
      <c r="AF7" s="537"/>
      <c r="AG7" s="964"/>
      <c r="AH7" s="964"/>
    </row>
    <row r="8" spans="1:34">
      <c r="A8" s="5289" t="s">
        <v>702</v>
      </c>
      <c r="B8" s="5290"/>
      <c r="C8" s="5291"/>
      <c r="D8" s="861"/>
      <c r="F8" s="380"/>
      <c r="G8" s="380"/>
      <c r="H8" s="380"/>
      <c r="I8" s="779"/>
      <c r="J8" s="537"/>
      <c r="K8" s="5248" t="s">
        <v>703</v>
      </c>
      <c r="L8" s="5249"/>
      <c r="M8" s="5249"/>
      <c r="N8" s="5249"/>
      <c r="O8" s="5250"/>
      <c r="P8" s="537"/>
      <c r="Q8" s="537"/>
      <c r="R8" s="537"/>
      <c r="S8" s="537"/>
      <c r="T8" s="380"/>
      <c r="U8" s="380"/>
      <c r="V8" s="380"/>
      <c r="W8" s="380"/>
      <c r="X8" s="380"/>
      <c r="Y8" s="380"/>
      <c r="Z8" s="537"/>
      <c r="AA8" s="537"/>
      <c r="AB8" s="537"/>
      <c r="AC8" s="537"/>
      <c r="AD8" s="537"/>
      <c r="AE8" s="537"/>
      <c r="AF8" s="537"/>
      <c r="AG8" s="964"/>
      <c r="AH8" s="964"/>
    </row>
    <row r="9" spans="1:34" ht="15" customHeight="1">
      <c r="A9" s="4381" t="s">
        <v>272</v>
      </c>
      <c r="B9" s="4381"/>
      <c r="C9" s="4381"/>
      <c r="D9" s="963"/>
      <c r="E9" s="537"/>
      <c r="F9" s="537"/>
      <c r="G9" s="537"/>
      <c r="H9" s="537"/>
      <c r="I9" s="537"/>
      <c r="J9" s="537"/>
      <c r="K9" s="537"/>
      <c r="L9" s="537"/>
      <c r="M9" s="537"/>
      <c r="N9" s="537"/>
      <c r="O9" s="537"/>
      <c r="P9" s="537"/>
      <c r="Q9" s="537"/>
      <c r="R9" s="537"/>
      <c r="S9" s="537"/>
      <c r="T9" s="537"/>
      <c r="U9" s="537"/>
      <c r="V9" s="537"/>
      <c r="W9" s="537"/>
      <c r="X9" s="537"/>
      <c r="Y9" s="537"/>
      <c r="Z9" s="537"/>
      <c r="AA9" s="2399" t="s">
        <v>704</v>
      </c>
      <c r="AB9" s="779"/>
      <c r="AC9" s="537"/>
      <c r="AD9" s="537"/>
      <c r="AE9" s="537"/>
      <c r="AF9" s="537"/>
      <c r="AG9" s="964"/>
      <c r="AH9" s="964"/>
    </row>
    <row r="10" spans="1:34" ht="15" customHeight="1">
      <c r="A10" s="4380" t="s">
        <v>265</v>
      </c>
      <c r="B10" s="4380"/>
      <c r="C10" s="4380"/>
      <c r="D10" s="999"/>
      <c r="E10" s="946"/>
      <c r="F10" s="537"/>
      <c r="G10" s="380"/>
      <c r="H10" s="380"/>
      <c r="I10" s="537"/>
      <c r="J10" s="537"/>
      <c r="K10" s="380"/>
      <c r="L10" s="380"/>
      <c r="M10" s="380"/>
      <c r="N10" s="380"/>
      <c r="O10" s="779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964"/>
      <c r="AH10" s="964"/>
    </row>
    <row r="11" spans="1:34" ht="15.75">
      <c r="A11" s="5286" t="s">
        <v>60</v>
      </c>
      <c r="B11" s="5286"/>
      <c r="C11" s="5286"/>
      <c r="D11" s="935"/>
      <c r="E11" s="537"/>
      <c r="F11" s="537"/>
      <c r="G11" s="537"/>
      <c r="H11" s="537"/>
      <c r="I11" s="537"/>
      <c r="J11" s="537"/>
      <c r="K11" s="380"/>
      <c r="L11" s="380"/>
      <c r="M11" s="380"/>
      <c r="N11" s="380"/>
      <c r="O11" s="779"/>
      <c r="P11" s="779"/>
      <c r="Q11" s="779"/>
      <c r="R11" s="779"/>
      <c r="S11" s="779"/>
      <c r="T11" s="779"/>
      <c r="U11" s="779"/>
      <c r="V11" s="779"/>
      <c r="W11" s="779"/>
      <c r="X11" s="779"/>
      <c r="Y11" s="779"/>
      <c r="Z11" s="779"/>
      <c r="AA11" s="779"/>
      <c r="AB11" s="779"/>
      <c r="AC11" s="380"/>
      <c r="AD11" s="380"/>
      <c r="AE11" s="779"/>
      <c r="AF11" s="779"/>
      <c r="AG11" s="804"/>
      <c r="AH11" s="804"/>
    </row>
    <row r="12" spans="1:34">
      <c r="A12" s="5287" t="s">
        <v>63</v>
      </c>
      <c r="B12" s="5287"/>
      <c r="C12" s="5287"/>
      <c r="D12" s="963"/>
      <c r="E12" s="537"/>
      <c r="F12" s="537"/>
      <c r="G12" s="537"/>
      <c r="H12" s="537"/>
      <c r="I12" s="537"/>
      <c r="J12" s="537"/>
      <c r="K12" s="537"/>
      <c r="L12" s="537"/>
      <c r="M12" s="537"/>
      <c r="N12" s="537"/>
      <c r="O12" s="779"/>
      <c r="P12" s="537"/>
      <c r="Q12" s="537"/>
      <c r="R12" s="537"/>
      <c r="S12" s="537"/>
      <c r="T12" s="537"/>
      <c r="U12" s="537"/>
      <c r="V12" s="537"/>
      <c r="W12" s="537"/>
      <c r="X12" s="537"/>
      <c r="Y12" s="537"/>
      <c r="Z12" s="779"/>
      <c r="AA12" s="779"/>
      <c r="AB12" s="943"/>
      <c r="AC12" s="537"/>
      <c r="AD12" s="537"/>
      <c r="AE12" s="537"/>
      <c r="AF12" s="537"/>
      <c r="AG12" s="964"/>
      <c r="AH12" s="964"/>
    </row>
    <row r="13" spans="1:34" ht="15.75" customHeight="1">
      <c r="A13" s="5288" t="s">
        <v>54</v>
      </c>
      <c r="B13" s="5288"/>
      <c r="C13" s="5288"/>
      <c r="D13" s="861"/>
      <c r="E13" s="380"/>
      <c r="F13" s="380"/>
      <c r="G13" s="380"/>
      <c r="H13" s="380"/>
      <c r="I13" s="537"/>
      <c r="J13" s="537"/>
      <c r="K13" s="380"/>
      <c r="L13" s="380"/>
      <c r="M13" s="380"/>
      <c r="N13" s="537"/>
      <c r="O13" s="537"/>
      <c r="P13" s="537"/>
      <c r="Q13" s="537"/>
      <c r="R13" s="537"/>
      <c r="S13" s="380"/>
      <c r="T13" s="380"/>
      <c r="U13" s="380"/>
      <c r="V13" s="380"/>
      <c r="W13" s="380"/>
      <c r="X13" s="380"/>
      <c r="Y13" s="380"/>
      <c r="Z13" s="380"/>
      <c r="AA13" s="380"/>
      <c r="AB13" s="537"/>
      <c r="AC13" s="537"/>
      <c r="AD13" s="537"/>
      <c r="AE13" s="537"/>
      <c r="AF13" s="537"/>
      <c r="AG13" s="964"/>
      <c r="AH13" s="964"/>
    </row>
    <row r="14" spans="1:34">
      <c r="A14" s="5033" t="s">
        <v>365</v>
      </c>
      <c r="B14" s="5033"/>
      <c r="C14" s="5033"/>
      <c r="D14" s="861"/>
      <c r="E14" s="380"/>
      <c r="F14" s="380"/>
      <c r="G14" s="380"/>
      <c r="H14" s="380"/>
      <c r="I14" s="537"/>
      <c r="J14" s="537"/>
      <c r="K14" s="380"/>
      <c r="L14" s="380"/>
      <c r="M14" s="380"/>
      <c r="N14" s="537"/>
      <c r="O14" s="537"/>
      <c r="P14" s="537"/>
      <c r="Q14" s="537"/>
      <c r="R14" s="537"/>
      <c r="S14" s="380"/>
      <c r="T14" s="380"/>
      <c r="U14" s="380"/>
      <c r="V14" s="380"/>
      <c r="W14" s="380"/>
      <c r="X14" s="380"/>
      <c r="Y14" s="380"/>
      <c r="Z14" s="380"/>
      <c r="AA14" s="380"/>
      <c r="AB14" s="537"/>
      <c r="AC14" s="537"/>
      <c r="AD14" s="537"/>
      <c r="AE14" s="537"/>
      <c r="AF14" s="537"/>
      <c r="AG14" s="964"/>
      <c r="AH14" s="964"/>
    </row>
    <row r="15" spans="1:34">
      <c r="A15" s="5033" t="s">
        <v>365</v>
      </c>
      <c r="B15" s="5033"/>
      <c r="C15" s="5033"/>
      <c r="D15" s="861"/>
      <c r="F15" s="380"/>
      <c r="G15" s="380"/>
      <c r="H15" s="380"/>
      <c r="I15" s="779"/>
      <c r="J15" s="537"/>
      <c r="K15" s="537"/>
      <c r="L15" s="537"/>
      <c r="M15" s="537"/>
      <c r="N15" s="537"/>
      <c r="O15" s="537"/>
      <c r="P15" s="537"/>
      <c r="Q15" s="537"/>
      <c r="R15" s="537"/>
      <c r="S15" s="537"/>
      <c r="T15" s="380"/>
      <c r="U15" s="380"/>
      <c r="V15" s="380"/>
      <c r="W15" s="380"/>
      <c r="X15" s="380"/>
      <c r="Y15" s="380"/>
      <c r="Z15" s="537"/>
      <c r="AA15" s="537"/>
      <c r="AB15" s="537"/>
      <c r="AC15" s="537"/>
      <c r="AD15" s="537"/>
      <c r="AE15" s="537"/>
      <c r="AF15" s="537"/>
      <c r="AG15" s="964"/>
      <c r="AH15" s="964"/>
    </row>
    <row r="16" spans="1:34">
      <c r="A16" s="4763" t="s">
        <v>705</v>
      </c>
      <c r="B16" s="4763"/>
      <c r="C16" s="4763"/>
      <c r="D16" s="963"/>
      <c r="E16" s="537"/>
      <c r="F16" s="537"/>
      <c r="G16" s="537"/>
      <c r="H16" s="537"/>
      <c r="I16" s="537"/>
      <c r="J16" s="537"/>
      <c r="K16" s="380"/>
      <c r="L16" s="380"/>
      <c r="M16" s="380"/>
      <c r="N16" s="380"/>
      <c r="O16" s="380"/>
      <c r="P16" s="380"/>
      <c r="Q16" s="380"/>
      <c r="R16" s="380"/>
      <c r="S16" s="537"/>
      <c r="T16" s="537"/>
      <c r="U16" s="5251" t="s">
        <v>706</v>
      </c>
      <c r="V16" s="5253"/>
      <c r="W16" s="5253"/>
      <c r="X16" s="5253"/>
      <c r="Y16" s="5253"/>
      <c r="Z16" s="5253"/>
      <c r="AA16" s="5253"/>
      <c r="AB16" s="5253"/>
      <c r="AC16" s="5253"/>
      <c r="AD16" s="537"/>
      <c r="AE16" s="537"/>
      <c r="AF16" s="537"/>
      <c r="AG16" s="964"/>
      <c r="AH16" s="964"/>
    </row>
    <row r="17" spans="1:34" ht="15.75">
      <c r="A17" s="5292" t="s">
        <v>366</v>
      </c>
      <c r="B17" s="5292"/>
      <c r="C17" s="5292"/>
      <c r="D17" s="963"/>
      <c r="E17" s="537"/>
      <c r="F17" s="537"/>
      <c r="G17" s="537"/>
      <c r="H17" s="537"/>
      <c r="I17" s="537"/>
      <c r="J17" s="537"/>
      <c r="K17" s="537"/>
      <c r="L17" s="537"/>
      <c r="M17" s="537"/>
      <c r="N17" s="537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380"/>
      <c r="AB17" s="779"/>
      <c r="AC17" s="537"/>
      <c r="AD17" s="537"/>
      <c r="AE17" s="537"/>
      <c r="AF17" s="537"/>
      <c r="AG17" s="964"/>
      <c r="AH17" s="964"/>
    </row>
    <row r="18" spans="1:34" ht="15.75">
      <c r="A18" s="3674"/>
      <c r="B18" s="3673" t="s">
        <v>411</v>
      </c>
      <c r="C18" s="3674"/>
      <c r="D18" s="963"/>
      <c r="E18" s="999"/>
      <c r="F18" s="946"/>
      <c r="G18" s="537"/>
      <c r="H18" s="380"/>
      <c r="I18" s="380"/>
      <c r="J18" s="537"/>
      <c r="K18" s="537"/>
      <c r="L18" s="5258" t="s">
        <v>707</v>
      </c>
      <c r="M18" s="5259"/>
      <c r="N18" s="537"/>
      <c r="O18" s="380"/>
      <c r="P18" s="537"/>
      <c r="Q18" s="537"/>
      <c r="R18" s="537"/>
      <c r="S18" s="537"/>
      <c r="T18" s="537"/>
      <c r="U18" s="537"/>
      <c r="V18" s="537"/>
      <c r="W18" s="537"/>
      <c r="X18" s="537"/>
      <c r="Y18" s="537"/>
      <c r="Z18" s="537"/>
      <c r="AA18" s="537"/>
      <c r="AB18" s="537"/>
      <c r="AC18" s="537"/>
      <c r="AD18" s="537"/>
      <c r="AE18" s="537"/>
      <c r="AF18" s="537"/>
      <c r="AG18" s="964"/>
      <c r="AH18" s="964"/>
    </row>
    <row r="19" spans="1:34">
      <c r="A19" s="4405" t="s">
        <v>540</v>
      </c>
      <c r="B19" s="4405"/>
      <c r="C19" s="4405"/>
      <c r="D19" s="935"/>
      <c r="E19" s="537"/>
      <c r="F19" s="537"/>
      <c r="G19" s="537"/>
      <c r="H19" s="537"/>
      <c r="I19" s="537"/>
      <c r="J19" s="537"/>
      <c r="K19" s="380"/>
      <c r="L19" s="380"/>
      <c r="M19" s="380"/>
      <c r="N19" s="380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380"/>
      <c r="AD19" s="380"/>
      <c r="AE19" s="779"/>
      <c r="AF19" s="779"/>
      <c r="AH19" s="2729" t="s">
        <v>708</v>
      </c>
    </row>
    <row r="20" spans="1:34">
      <c r="A20" s="4399" t="s">
        <v>541</v>
      </c>
      <c r="B20" s="4399"/>
      <c r="C20" s="4399"/>
      <c r="D20" s="963"/>
      <c r="E20" s="537"/>
      <c r="F20" s="537"/>
      <c r="G20" s="537"/>
      <c r="H20" s="537"/>
      <c r="I20" s="537"/>
      <c r="J20" s="537"/>
      <c r="K20" s="537"/>
      <c r="L20" s="537"/>
      <c r="M20" s="537"/>
      <c r="N20" s="537"/>
      <c r="O20" s="779"/>
      <c r="P20" s="537"/>
      <c r="Q20" s="537"/>
      <c r="R20" s="537"/>
      <c r="S20" s="537"/>
      <c r="T20" s="537"/>
      <c r="U20" s="537"/>
      <c r="V20" s="537"/>
      <c r="W20" s="537"/>
      <c r="X20" s="537"/>
      <c r="Y20" s="537"/>
      <c r="Z20" s="779"/>
      <c r="AA20" s="779"/>
      <c r="AB20" s="943"/>
      <c r="AC20" s="537"/>
      <c r="AD20" s="537"/>
      <c r="AE20" s="537"/>
      <c r="AF20" s="537"/>
      <c r="AG20" s="964"/>
      <c r="AH20" s="964"/>
    </row>
    <row r="21" spans="1:34">
      <c r="A21" s="5300" t="s">
        <v>709</v>
      </c>
      <c r="B21" s="5300"/>
      <c r="C21" s="5300"/>
      <c r="D21" s="963"/>
      <c r="E21" s="537"/>
      <c r="F21" s="537"/>
      <c r="G21" s="537"/>
      <c r="H21" s="537"/>
      <c r="I21" s="537"/>
      <c r="J21" s="939"/>
      <c r="K21" s="939"/>
      <c r="L21" s="939"/>
      <c r="M21" s="939"/>
      <c r="N21" s="537"/>
      <c r="O21" s="779"/>
      <c r="P21" s="537"/>
      <c r="Q21" s="537"/>
      <c r="R21" s="537"/>
      <c r="S21" s="2745" t="s">
        <v>710</v>
      </c>
      <c r="T21" s="537"/>
      <c r="U21" s="537"/>
      <c r="V21" s="537"/>
      <c r="W21" s="537"/>
      <c r="X21" s="537"/>
      <c r="Y21" s="537"/>
      <c r="Z21" s="537"/>
      <c r="AA21" s="537"/>
      <c r="AB21" s="537"/>
      <c r="AC21" s="537"/>
      <c r="AD21" s="537"/>
      <c r="AE21" s="537"/>
      <c r="AF21" s="537"/>
      <c r="AG21" s="964"/>
      <c r="AH21" s="964"/>
    </row>
    <row r="22" spans="1:34">
      <c r="A22" s="4356" t="s">
        <v>64</v>
      </c>
      <c r="B22" s="4356"/>
      <c r="C22" s="4356"/>
      <c r="D22" s="1711"/>
      <c r="E22" s="939"/>
      <c r="F22" s="939"/>
      <c r="G22" s="939"/>
      <c r="H22" s="939"/>
      <c r="I22" s="939"/>
      <c r="J22" s="966"/>
      <c r="K22" s="939"/>
      <c r="L22" s="939"/>
      <c r="M22" s="939"/>
      <c r="N22" s="939"/>
      <c r="O22" s="939"/>
      <c r="P22" s="966"/>
      <c r="Q22" s="939"/>
      <c r="R22" s="939"/>
      <c r="S22" s="939"/>
      <c r="T22" s="939"/>
      <c r="U22" s="939"/>
      <c r="V22" s="939"/>
      <c r="W22" s="939"/>
      <c r="X22" s="939"/>
      <c r="Y22" s="939"/>
      <c r="Z22" s="939"/>
      <c r="AA22" s="939"/>
      <c r="AB22" s="939"/>
      <c r="AC22" s="939"/>
      <c r="AD22" s="939"/>
      <c r="AE22" s="939"/>
      <c r="AF22" s="939"/>
      <c r="AG22" s="1712"/>
      <c r="AH22" s="1712"/>
    </row>
    <row r="23" spans="1:34">
      <c r="A23" s="35" t="s">
        <v>66</v>
      </c>
      <c r="B23" s="950" t="s">
        <v>67</v>
      </c>
      <c r="C23" s="1033" t="s">
        <v>74</v>
      </c>
      <c r="D23" s="1713"/>
      <c r="E23" s="961"/>
      <c r="F23" s="961"/>
      <c r="G23" s="961"/>
      <c r="H23" s="961"/>
      <c r="I23" s="961"/>
      <c r="J23" s="846"/>
      <c r="K23" s="5254" t="s">
        <v>483</v>
      </c>
      <c r="L23" s="5254"/>
      <c r="M23" s="5254"/>
      <c r="N23" s="5254"/>
      <c r="O23" s="5254"/>
      <c r="P23" s="2668"/>
      <c r="Q23" s="5260" t="s">
        <v>711</v>
      </c>
      <c r="R23" s="5261"/>
      <c r="S23" s="5262"/>
      <c r="T23" s="2563" t="s">
        <v>251</v>
      </c>
      <c r="U23" s="5251" t="s">
        <v>706</v>
      </c>
      <c r="V23" s="5252"/>
      <c r="W23" s="2563" t="s">
        <v>251</v>
      </c>
      <c r="X23" s="961"/>
      <c r="Y23" s="961"/>
      <c r="Z23" s="5255" t="s">
        <v>712</v>
      </c>
      <c r="AA23" s="5256"/>
      <c r="AB23" s="5256"/>
      <c r="AC23" s="5256"/>
      <c r="AD23" s="5257"/>
      <c r="AE23" s="961"/>
      <c r="AF23" s="961"/>
      <c r="AG23" s="1719"/>
      <c r="AH23" s="1716"/>
    </row>
    <row r="24" spans="1:34" ht="15.75">
      <c r="A24" s="32" t="s">
        <v>73</v>
      </c>
      <c r="B24" s="951" t="s">
        <v>67</v>
      </c>
      <c r="C24" s="1034" t="s">
        <v>458</v>
      </c>
      <c r="D24" s="988"/>
      <c r="E24" s="2531"/>
      <c r="F24" s="2015"/>
      <c r="G24" s="939"/>
      <c r="H24" s="939"/>
      <c r="I24" s="939"/>
      <c r="J24" s="2195"/>
      <c r="K24" s="1765"/>
      <c r="L24" s="3681" t="s">
        <v>251</v>
      </c>
      <c r="M24" s="5240" t="s">
        <v>707</v>
      </c>
      <c r="N24" s="5241"/>
      <c r="O24" s="3681" t="s">
        <v>251</v>
      </c>
      <c r="P24" s="939"/>
      <c r="Q24" s="939"/>
      <c r="R24" s="939"/>
      <c r="S24" s="6682" t="s">
        <v>710</v>
      </c>
      <c r="T24" s="797"/>
      <c r="U24" s="939"/>
      <c r="V24" s="939"/>
      <c r="W24" s="537"/>
      <c r="X24" s="537"/>
      <c r="Y24" s="537"/>
      <c r="Z24" s="537"/>
      <c r="AA24" s="537"/>
      <c r="AB24" s="537"/>
      <c r="AC24" s="537"/>
      <c r="AD24" s="537"/>
      <c r="AE24" s="537"/>
      <c r="AF24" s="537"/>
      <c r="AG24" s="511"/>
      <c r="AH24" s="1717"/>
    </row>
    <row r="25" spans="1:34" ht="15.75">
      <c r="A25" s="426" t="s">
        <v>713</v>
      </c>
      <c r="B25" s="990" t="s">
        <v>67</v>
      </c>
      <c r="C25" s="1417" t="s">
        <v>714</v>
      </c>
      <c r="D25" s="2687"/>
      <c r="E25" s="947"/>
      <c r="F25" s="511"/>
      <c r="G25" s="537"/>
      <c r="H25" s="537"/>
      <c r="I25" s="537"/>
      <c r="J25" s="920"/>
      <c r="K25" s="537"/>
      <c r="L25" s="3685"/>
      <c r="M25" s="3685"/>
      <c r="N25" s="3685"/>
      <c r="O25" s="3685"/>
      <c r="P25" s="537"/>
      <c r="Q25" s="537"/>
      <c r="R25" s="537"/>
      <c r="S25" s="374"/>
      <c r="T25" s="797"/>
      <c r="U25" s="939"/>
      <c r="V25" s="939"/>
      <c r="W25" s="939"/>
      <c r="X25" s="939"/>
      <c r="Y25" s="939"/>
      <c r="Z25" s="939"/>
      <c r="AA25" s="939"/>
      <c r="AB25" s="939"/>
      <c r="AC25" s="939"/>
      <c r="AD25" s="939"/>
      <c r="AE25" s="939"/>
      <c r="AF25" s="939"/>
      <c r="AG25" s="2015"/>
      <c r="AH25" s="2688"/>
    </row>
    <row r="26" spans="1:34" s="1704" customFormat="1" ht="15.75" customHeight="1">
      <c r="A26" s="1035" t="s">
        <v>599</v>
      </c>
      <c r="B26" s="1707" t="s">
        <v>543</v>
      </c>
      <c r="C26" s="1105" t="s">
        <v>544</v>
      </c>
      <c r="D26" s="4417" t="s">
        <v>715</v>
      </c>
      <c r="E26" s="5063"/>
      <c r="F26" s="5064"/>
      <c r="G26" s="1650"/>
      <c r="H26" s="1650"/>
      <c r="I26" s="1650"/>
      <c r="J26" s="1650"/>
      <c r="K26" s="1650"/>
      <c r="L26" s="1650"/>
      <c r="M26" s="1650"/>
      <c r="N26" s="1650"/>
      <c r="O26" s="1650"/>
      <c r="P26" s="1650"/>
      <c r="Q26" s="1650"/>
      <c r="R26" s="1650"/>
      <c r="S26" s="2625"/>
      <c r="T26" s="968"/>
      <c r="U26" s="966"/>
      <c r="V26" s="966"/>
      <c r="W26" s="966"/>
      <c r="X26" s="2384"/>
      <c r="Y26" s="2385"/>
      <c r="Z26" s="2385"/>
      <c r="AA26" s="2385"/>
      <c r="AB26" s="2385"/>
      <c r="AC26" s="2385"/>
      <c r="AD26" s="2385"/>
      <c r="AE26" s="537"/>
      <c r="AF26" s="537"/>
      <c r="AG26" s="964"/>
      <c r="AH26" s="964"/>
    </row>
    <row r="27" spans="1:34">
      <c r="A27" s="1936" t="s">
        <v>84</v>
      </c>
      <c r="B27" s="952" t="s">
        <v>85</v>
      </c>
      <c r="C27" s="952" t="s">
        <v>716</v>
      </c>
      <c r="D27" s="2746"/>
      <c r="E27" s="2747"/>
      <c r="F27" s="2747"/>
      <c r="G27" s="2747"/>
      <c r="H27" s="2747"/>
      <c r="I27" s="2747"/>
      <c r="J27" s="2747"/>
      <c r="K27" s="2747"/>
      <c r="L27" s="2747"/>
      <c r="M27" s="2747"/>
      <c r="N27" s="2748"/>
      <c r="O27" s="2749" t="s">
        <v>717</v>
      </c>
      <c r="P27" s="2747"/>
      <c r="Q27" s="2747"/>
      <c r="R27" s="2747"/>
      <c r="S27" s="6683" t="s">
        <v>710</v>
      </c>
      <c r="T27" s="2750"/>
      <c r="U27" s="1040"/>
      <c r="V27" s="2751"/>
      <c r="W27" s="1040"/>
      <c r="X27" s="2752"/>
      <c r="Y27" s="2747"/>
      <c r="Z27" s="2747"/>
      <c r="AA27" s="2747"/>
      <c r="AB27" s="2747"/>
      <c r="AC27" s="2747"/>
      <c r="AD27" s="2747"/>
      <c r="AE27" s="2747"/>
      <c r="AF27" s="2747"/>
      <c r="AG27" s="2753"/>
      <c r="AH27" s="2754" t="s">
        <v>717</v>
      </c>
    </row>
    <row r="28" spans="1:34" ht="15.75">
      <c r="A28" s="5029" t="s">
        <v>92</v>
      </c>
      <c r="B28" s="953" t="s">
        <v>95</v>
      </c>
      <c r="C28" s="996" t="s">
        <v>243</v>
      </c>
      <c r="D28" s="2755"/>
      <c r="E28" s="2756"/>
      <c r="F28" s="971"/>
      <c r="G28" s="2757"/>
      <c r="H28" s="2757"/>
      <c r="I28" s="799"/>
      <c r="J28" s="971"/>
      <c r="K28" s="799"/>
      <c r="L28" s="799"/>
      <c r="M28" s="799"/>
      <c r="N28" s="799"/>
      <c r="O28" s="799"/>
      <c r="P28" s="799"/>
      <c r="Q28" s="902"/>
      <c r="R28" s="902"/>
      <c r="S28" s="902"/>
      <c r="T28" s="3681" t="s">
        <v>251</v>
      </c>
      <c r="U28" s="5263" t="s">
        <v>706</v>
      </c>
      <c r="V28" s="5264"/>
      <c r="W28" s="3681" t="s">
        <v>251</v>
      </c>
      <c r="X28" s="799"/>
      <c r="Y28" s="799"/>
      <c r="Z28" s="2758"/>
      <c r="AA28" s="2758"/>
      <c r="AB28" s="799"/>
      <c r="AC28" s="799"/>
      <c r="AD28" s="799"/>
      <c r="AE28" s="799"/>
      <c r="AF28" s="799"/>
      <c r="AG28" s="2759"/>
      <c r="AH28" s="994"/>
    </row>
    <row r="29" spans="1:34" ht="15.75">
      <c r="A29" s="5030"/>
      <c r="B29" s="953" t="s">
        <v>81</v>
      </c>
      <c r="C29" s="997" t="s">
        <v>718</v>
      </c>
      <c r="D29" s="988"/>
      <c r="E29" s="947"/>
      <c r="F29" s="511"/>
      <c r="G29" s="2491"/>
      <c r="H29" s="2491"/>
      <c r="I29" s="537"/>
      <c r="J29" s="511"/>
      <c r="K29" s="2015"/>
      <c r="L29" s="511"/>
      <c r="M29" s="2015"/>
      <c r="N29" s="2015"/>
      <c r="O29" s="2015"/>
      <c r="P29" s="901"/>
      <c r="Q29" s="901"/>
      <c r="R29" s="901"/>
      <c r="S29" s="901"/>
      <c r="T29" s="901"/>
      <c r="U29" s="901"/>
      <c r="V29" s="901"/>
      <c r="W29" s="901"/>
      <c r="X29" s="901"/>
      <c r="Y29" s="901"/>
      <c r="Z29" s="901"/>
      <c r="AA29" s="901"/>
      <c r="AB29" s="901"/>
      <c r="AC29" s="901"/>
      <c r="AD29" s="901"/>
      <c r="AE29" s="901"/>
      <c r="AF29" s="901"/>
      <c r="AG29" s="901"/>
      <c r="AH29" s="985"/>
    </row>
    <row r="30" spans="1:34" ht="15.75">
      <c r="A30" s="5030"/>
      <c r="B30" s="953" t="s">
        <v>326</v>
      </c>
      <c r="C30" s="997" t="s">
        <v>327</v>
      </c>
      <c r="D30" s="988"/>
      <c r="E30" s="947"/>
      <c r="F30" s="1190"/>
      <c r="G30" s="2491"/>
      <c r="H30" s="2491"/>
      <c r="I30" s="537"/>
      <c r="J30" s="590"/>
      <c r="K30" s="3651" t="s">
        <v>719</v>
      </c>
      <c r="L30" s="2723" t="s">
        <v>720</v>
      </c>
      <c r="M30" s="5302" t="s">
        <v>721</v>
      </c>
      <c r="N30" s="5302"/>
      <c r="O30" s="5302"/>
      <c r="P30" s="2658"/>
      <c r="Q30" s="901"/>
      <c r="R30" s="2434"/>
      <c r="S30" s="6682" t="s">
        <v>710</v>
      </c>
      <c r="T30" s="901"/>
      <c r="U30" s="901"/>
      <c r="V30" s="901"/>
      <c r="W30" s="901"/>
      <c r="X30" s="901"/>
      <c r="Y30" s="2434" t="s">
        <v>722</v>
      </c>
      <c r="Z30" s="901"/>
      <c r="AA30" s="901"/>
      <c r="AB30" s="901"/>
      <c r="AC30" s="901"/>
      <c r="AD30" s="901"/>
      <c r="AE30" s="2434" t="s">
        <v>722</v>
      </c>
      <c r="AF30" s="901"/>
      <c r="AH30" s="2731" t="s">
        <v>708</v>
      </c>
    </row>
    <row r="31" spans="1:34" ht="15.75">
      <c r="A31" s="5030"/>
      <c r="B31" s="1327" t="s">
        <v>606</v>
      </c>
      <c r="C31" s="997" t="s">
        <v>98</v>
      </c>
      <c r="D31" s="1711"/>
      <c r="E31" s="939"/>
      <c r="F31" s="939"/>
      <c r="G31" s="939"/>
      <c r="H31" s="1465" t="s">
        <v>722</v>
      </c>
      <c r="I31" s="939"/>
      <c r="J31" s="3681" t="s">
        <v>251</v>
      </c>
      <c r="K31" s="5240" t="s">
        <v>723</v>
      </c>
      <c r="L31" s="5265"/>
      <c r="M31" s="5240" t="s">
        <v>593</v>
      </c>
      <c r="N31" s="5241"/>
      <c r="O31" s="3681" t="s">
        <v>251</v>
      </c>
      <c r="P31" s="4423" t="s">
        <v>724</v>
      </c>
      <c r="Q31" s="4638"/>
      <c r="R31" s="939"/>
      <c r="S31" s="799"/>
      <c r="T31" s="2437" t="s">
        <v>720</v>
      </c>
      <c r="U31" s="901"/>
      <c r="V31" s="901"/>
      <c r="W31" s="901"/>
      <c r="X31" s="2437"/>
      <c r="Y31" s="901"/>
      <c r="Z31" s="901"/>
      <c r="AA31" s="901"/>
      <c r="AB31" s="2437" t="s">
        <v>720</v>
      </c>
      <c r="AC31" s="901"/>
      <c r="AD31" s="780"/>
      <c r="AE31" s="780"/>
      <c r="AF31" s="780"/>
      <c r="AG31" s="780"/>
      <c r="AH31" s="808"/>
    </row>
    <row r="32" spans="1:34">
      <c r="A32" s="5029" t="s">
        <v>99</v>
      </c>
      <c r="B32" s="950" t="s">
        <v>100</v>
      </c>
      <c r="C32" s="950" t="s">
        <v>101</v>
      </c>
      <c r="D32" s="1713"/>
      <c r="E32" s="961"/>
      <c r="F32" s="2648"/>
      <c r="G32" s="2648"/>
      <c r="H32" s="2648"/>
      <c r="I32" s="2648"/>
      <c r="J32" s="2648"/>
      <c r="K32" s="2648"/>
      <c r="L32" s="2648"/>
      <c r="M32" s="2648"/>
      <c r="N32" s="2648"/>
      <c r="O32" s="2648"/>
      <c r="P32" s="2648"/>
      <c r="Q32" s="2648"/>
      <c r="R32" s="2648"/>
      <c r="S32" s="2648"/>
      <c r="T32" s="2649"/>
      <c r="U32" s="2648"/>
      <c r="V32" s="2648"/>
      <c r="W32" s="2648"/>
      <c r="X32" s="2648"/>
      <c r="Y32" s="2648"/>
      <c r="Z32" s="2648"/>
      <c r="AA32" s="2648"/>
      <c r="AB32" s="2648"/>
      <c r="AC32" s="2648"/>
      <c r="AD32" s="2650"/>
      <c r="AE32" s="2650"/>
      <c r="AF32" s="2650"/>
      <c r="AG32" s="2651"/>
      <c r="AH32" s="2652"/>
    </row>
    <row r="33" spans="1:34">
      <c r="A33" s="5030"/>
      <c r="B33" s="951" t="s">
        <v>100</v>
      </c>
      <c r="C33" s="32" t="s">
        <v>725</v>
      </c>
      <c r="D33" s="970"/>
      <c r="E33" s="799"/>
      <c r="F33" s="799"/>
      <c r="G33" s="799"/>
      <c r="H33" s="799"/>
      <c r="I33" s="799"/>
      <c r="J33" s="799"/>
      <c r="K33" s="5280" t="s">
        <v>721</v>
      </c>
      <c r="L33" s="5281"/>
      <c r="M33" s="5281"/>
      <c r="N33" s="5281"/>
      <c r="O33" s="5282"/>
      <c r="P33" s="799"/>
      <c r="Q33" s="799"/>
      <c r="R33" s="799"/>
      <c r="S33" s="6682" t="s">
        <v>710</v>
      </c>
      <c r="T33" s="941"/>
      <c r="U33" s="799"/>
      <c r="V33" s="799"/>
      <c r="W33" s="799"/>
      <c r="X33" s="799"/>
      <c r="Y33" s="799"/>
      <c r="Z33" s="799"/>
      <c r="AA33" s="799"/>
      <c r="AB33" s="799"/>
      <c r="AC33" s="799"/>
      <c r="AD33" s="2653"/>
      <c r="AE33" s="2653"/>
      <c r="AF33" s="2653"/>
      <c r="AG33" s="2654"/>
      <c r="AH33" s="2655"/>
    </row>
    <row r="34" spans="1:34">
      <c r="A34" s="5030"/>
      <c r="B34" s="951" t="s">
        <v>95</v>
      </c>
      <c r="C34" s="32" t="s">
        <v>726</v>
      </c>
      <c r="D34" s="2645" t="s">
        <v>717</v>
      </c>
      <c r="E34" s="537"/>
      <c r="F34" s="537"/>
      <c r="G34" s="537"/>
      <c r="H34" s="537"/>
      <c r="I34" s="537"/>
      <c r="J34" s="2667"/>
      <c r="K34" s="2549"/>
      <c r="L34" s="3681" t="s">
        <v>251</v>
      </c>
      <c r="M34" s="5306" t="s">
        <v>593</v>
      </c>
      <c r="N34" s="5265"/>
      <c r="O34" s="3681" t="s">
        <v>251</v>
      </c>
      <c r="P34" s="374"/>
      <c r="Q34" s="537"/>
      <c r="R34" s="939"/>
      <c r="S34" s="6682" t="s">
        <v>710</v>
      </c>
      <c r="T34" s="942"/>
      <c r="U34" s="537"/>
      <c r="V34" s="537"/>
      <c r="W34" s="537"/>
      <c r="X34" s="537"/>
      <c r="Y34" s="537"/>
      <c r="Z34" s="537"/>
      <c r="AA34" s="537"/>
      <c r="AB34" s="537"/>
      <c r="AC34" s="537"/>
      <c r="AD34" s="931"/>
      <c r="AE34" s="931"/>
      <c r="AF34" s="931"/>
      <c r="AG34" s="2656"/>
      <c r="AH34" s="2731" t="s">
        <v>708</v>
      </c>
    </row>
    <row r="35" spans="1:34">
      <c r="A35" s="5030"/>
      <c r="B35" s="951" t="s">
        <v>95</v>
      </c>
      <c r="C35" s="951" t="s">
        <v>548</v>
      </c>
      <c r="D35" s="3600" t="s">
        <v>112</v>
      </c>
      <c r="E35" s="537"/>
      <c r="F35" s="537"/>
      <c r="G35" s="537"/>
      <c r="H35" s="537"/>
      <c r="I35" s="537"/>
      <c r="J35" s="537"/>
      <c r="K35" s="5307" t="s">
        <v>721</v>
      </c>
      <c r="L35" s="5308"/>
      <c r="M35" s="5258" t="s">
        <v>727</v>
      </c>
      <c r="N35" s="5259"/>
      <c r="O35" s="3650" t="s">
        <v>719</v>
      </c>
      <c r="P35" s="2434" t="s">
        <v>720</v>
      </c>
      <c r="Q35" s="846"/>
      <c r="R35" s="2"/>
      <c r="S35" s="6682" t="s">
        <v>710</v>
      </c>
      <c r="T35" s="942"/>
      <c r="U35" s="537"/>
      <c r="V35" s="537"/>
      <c r="W35" s="1459" t="s">
        <v>722</v>
      </c>
      <c r="X35" s="537"/>
      <c r="Y35" s="537"/>
      <c r="Z35" s="537"/>
      <c r="AA35" s="537"/>
      <c r="AB35" s="537"/>
      <c r="AC35" s="537"/>
      <c r="AD35" s="779"/>
      <c r="AE35" s="779"/>
      <c r="AF35" s="779"/>
      <c r="AG35" s="931"/>
      <c r="AH35" s="2731" t="s">
        <v>708</v>
      </c>
    </row>
    <row r="36" spans="1:34" ht="15" customHeight="1">
      <c r="A36" s="5030"/>
      <c r="B36" s="951" t="s">
        <v>106</v>
      </c>
      <c r="C36" s="951" t="s">
        <v>107</v>
      </c>
      <c r="D36" s="2645"/>
      <c r="E36" s="537"/>
      <c r="F36" s="1459"/>
      <c r="G36" s="537"/>
      <c r="H36" s="537"/>
      <c r="I36" s="537"/>
      <c r="J36" s="933"/>
      <c r="K36" s="5280" t="s">
        <v>728</v>
      </c>
      <c r="L36" s="5282"/>
      <c r="M36" s="2434" t="s">
        <v>720</v>
      </c>
      <c r="N36" s="5280" t="s">
        <v>721</v>
      </c>
      <c r="O36" s="5282"/>
      <c r="P36" s="374"/>
      <c r="Q36" s="933"/>
      <c r="R36" s="537"/>
      <c r="S36" s="537"/>
      <c r="T36" s="942"/>
      <c r="U36" s="1459"/>
      <c r="V36" s="537"/>
      <c r="W36" s="537"/>
      <c r="X36" s="537"/>
      <c r="Y36" s="537"/>
      <c r="Z36" s="537"/>
      <c r="AA36" s="1459" t="s">
        <v>720</v>
      </c>
      <c r="AB36" s="537"/>
      <c r="AC36" s="537"/>
      <c r="AD36" s="931"/>
      <c r="AE36" s="795"/>
      <c r="AF36" s="3685" t="s">
        <v>720</v>
      </c>
      <c r="AG36" s="779"/>
      <c r="AH36" s="985"/>
    </row>
    <row r="37" spans="1:34" ht="15.75">
      <c r="A37" s="5030"/>
      <c r="B37" s="955" t="s">
        <v>108</v>
      </c>
      <c r="C37" s="955" t="s">
        <v>109</v>
      </c>
      <c r="D37" s="2530"/>
      <c r="E37" s="2531"/>
      <c r="F37" s="2728" t="s">
        <v>722</v>
      </c>
      <c r="G37" s="939"/>
      <c r="H37" s="939"/>
      <c r="I37" s="939"/>
      <c r="J37" s="939"/>
      <c r="K37" s="5237" t="s">
        <v>721</v>
      </c>
      <c r="L37" s="5238"/>
      <c r="M37" s="5238"/>
      <c r="N37" s="5238"/>
      <c r="O37" s="5239"/>
      <c r="P37" s="1459" t="s">
        <v>722</v>
      </c>
      <c r="Q37" s="939"/>
      <c r="R37" s="1765"/>
      <c r="S37" s="2349"/>
      <c r="T37" s="2349"/>
      <c r="U37" s="939"/>
      <c r="V37" s="939"/>
      <c r="W37" s="939"/>
      <c r="X37" s="939"/>
      <c r="Y37" s="939"/>
      <c r="Z37" s="939"/>
      <c r="AA37" s="939"/>
      <c r="AB37" s="939"/>
      <c r="AC37" s="939"/>
      <c r="AD37" s="939"/>
      <c r="AE37" s="939"/>
      <c r="AF37" s="939"/>
      <c r="AG37" s="2708" t="s">
        <v>722</v>
      </c>
      <c r="AH37" s="2532"/>
    </row>
    <row r="38" spans="1:34">
      <c r="A38" s="5029" t="s">
        <v>110</v>
      </c>
      <c r="B38" s="1937" t="s">
        <v>283</v>
      </c>
      <c r="C38" s="1971" t="s">
        <v>201</v>
      </c>
      <c r="D38" s="1332"/>
      <c r="E38" s="2433" t="s">
        <v>720</v>
      </c>
      <c r="F38" s="937"/>
      <c r="G38" s="937"/>
      <c r="H38" s="937"/>
      <c r="I38" s="937"/>
      <c r="J38" s="937"/>
      <c r="K38" s="5293" t="s">
        <v>721</v>
      </c>
      <c r="L38" s="5294"/>
      <c r="M38" s="5295"/>
      <c r="N38" s="5294"/>
      <c r="O38" s="5296"/>
      <c r="P38" s="937"/>
      <c r="Q38" s="937"/>
      <c r="R38" s="937"/>
      <c r="S38" s="2433"/>
      <c r="T38" s="937"/>
      <c r="U38" s="5275" t="s">
        <v>112</v>
      </c>
      <c r="V38" s="5276"/>
      <c r="W38" s="5276"/>
      <c r="X38" s="5276"/>
      <c r="Y38" s="5276"/>
      <c r="Z38" s="5276"/>
      <c r="AA38" s="5277"/>
      <c r="AB38" s="937"/>
      <c r="AC38" s="2433"/>
      <c r="AD38" s="937"/>
      <c r="AE38" s="937"/>
      <c r="AF38" s="937"/>
      <c r="AG38" s="937"/>
      <c r="AH38" s="1333"/>
    </row>
    <row r="39" spans="1:34">
      <c r="A39" s="5030"/>
      <c r="B39" s="1969" t="s">
        <v>283</v>
      </c>
      <c r="C39" s="1977" t="s">
        <v>610</v>
      </c>
      <c r="D39" s="822"/>
      <c r="E39" s="779"/>
      <c r="F39" s="1459" t="s">
        <v>720</v>
      </c>
      <c r="G39" s="779"/>
      <c r="H39" s="779"/>
      <c r="I39" s="779"/>
      <c r="J39" s="779"/>
      <c r="K39" s="779"/>
      <c r="L39" s="847"/>
      <c r="M39" s="2"/>
      <c r="N39" s="283"/>
      <c r="O39" s="2434" t="s">
        <v>720</v>
      </c>
      <c r="P39" s="2434"/>
      <c r="Q39" s="779"/>
      <c r="R39" s="779"/>
      <c r="S39" s="779"/>
      <c r="T39" s="779"/>
      <c r="U39" s="779"/>
      <c r="V39" s="779"/>
      <c r="W39" s="779"/>
      <c r="X39" s="2434"/>
      <c r="Y39" s="779"/>
      <c r="Z39" s="2434" t="s">
        <v>720</v>
      </c>
      <c r="AA39" s="779"/>
      <c r="AB39" s="779"/>
      <c r="AC39" s="779"/>
      <c r="AD39" s="779"/>
      <c r="AE39" s="779"/>
      <c r="AF39" s="779"/>
      <c r="AG39" s="779"/>
      <c r="AH39" s="805"/>
    </row>
    <row r="40" spans="1:34">
      <c r="A40" s="5030"/>
      <c r="B40" s="1969" t="s">
        <v>95</v>
      </c>
      <c r="C40" s="1980" t="s">
        <v>249</v>
      </c>
      <c r="D40" s="2690"/>
      <c r="E40" s="779"/>
      <c r="F40" s="1459"/>
      <c r="G40" s="779"/>
      <c r="H40" s="779"/>
      <c r="I40" s="779"/>
      <c r="J40" s="2434" t="s">
        <v>722</v>
      </c>
      <c r="K40" s="779"/>
      <c r="L40" s="779"/>
      <c r="M40" s="778"/>
      <c r="N40" s="779"/>
      <c r="O40" s="779"/>
      <c r="P40" s="779"/>
      <c r="Q40" s="2434"/>
      <c r="R40" s="2434" t="s">
        <v>720</v>
      </c>
      <c r="S40" s="779"/>
      <c r="T40" s="3685" t="s">
        <v>722</v>
      </c>
      <c r="U40" s="779"/>
      <c r="V40" s="779"/>
      <c r="W40" s="779"/>
      <c r="X40" s="779"/>
      <c r="Y40" s="779"/>
      <c r="Z40" s="779"/>
      <c r="AA40" s="779"/>
      <c r="AB40" s="779"/>
      <c r="AC40" s="779"/>
      <c r="AD40" s="779"/>
      <c r="AE40" s="779"/>
      <c r="AF40" s="779"/>
      <c r="AG40" s="779"/>
      <c r="AH40" s="805"/>
    </row>
    <row r="41" spans="1:34">
      <c r="A41" s="5030"/>
      <c r="B41" s="1939" t="s">
        <v>113</v>
      </c>
      <c r="C41" s="1972" t="s">
        <v>116</v>
      </c>
      <c r="D41" s="3658" t="s">
        <v>251</v>
      </c>
      <c r="E41" s="779"/>
      <c r="F41" s="779"/>
      <c r="G41" s="779"/>
      <c r="H41" s="779"/>
      <c r="I41" s="2434" t="s">
        <v>720</v>
      </c>
      <c r="J41" s="779"/>
      <c r="K41" s="779"/>
      <c r="L41" s="779"/>
      <c r="M41" s="2434" t="s">
        <v>722</v>
      </c>
      <c r="N41" s="779"/>
      <c r="O41" s="779"/>
      <c r="P41" s="2434"/>
      <c r="Q41" s="779"/>
      <c r="R41" s="779"/>
      <c r="S41" s="779"/>
      <c r="T41" s="3685"/>
      <c r="U41" s="779"/>
      <c r="V41" s="779"/>
      <c r="W41" s="779"/>
      <c r="X41" s="2434" t="s">
        <v>720</v>
      </c>
      <c r="Y41" s="779"/>
      <c r="Z41" s="2434"/>
      <c r="AA41" s="779"/>
      <c r="AB41" s="779"/>
      <c r="AC41" s="780"/>
      <c r="AD41" s="780"/>
      <c r="AE41" s="780"/>
      <c r="AF41" s="779"/>
      <c r="AG41" s="779"/>
      <c r="AH41" s="805"/>
    </row>
    <row r="42" spans="1:34">
      <c r="A42" s="5030"/>
      <c r="B42" s="1939" t="s">
        <v>118</v>
      </c>
      <c r="C42" s="1972" t="s">
        <v>119</v>
      </c>
      <c r="D42" s="822"/>
      <c r="E42" s="779"/>
      <c r="F42" s="779"/>
      <c r="G42" s="779"/>
      <c r="H42" s="779"/>
      <c r="I42" s="779"/>
      <c r="J42" s="779"/>
      <c r="K42" s="779"/>
      <c r="L42" s="779"/>
      <c r="M42" s="779"/>
      <c r="N42" s="779"/>
      <c r="O42" s="779"/>
      <c r="P42" s="779"/>
      <c r="Q42" s="779"/>
      <c r="R42" s="780"/>
      <c r="S42" s="780"/>
      <c r="T42" s="780"/>
      <c r="U42" s="780"/>
      <c r="V42" s="780"/>
      <c r="W42" s="780"/>
      <c r="X42" s="780"/>
      <c r="Y42" s="780"/>
      <c r="Z42" s="780"/>
      <c r="AA42" s="780"/>
      <c r="AB42" s="783"/>
      <c r="AC42" s="2735"/>
      <c r="AD42" s="2736" t="s">
        <v>251</v>
      </c>
      <c r="AE42" s="2735"/>
      <c r="AF42" s="5283" t="s">
        <v>729</v>
      </c>
      <c r="AG42" s="5283"/>
      <c r="AH42" s="5284"/>
    </row>
    <row r="43" spans="1:34">
      <c r="A43" s="5030"/>
      <c r="B43" s="1939" t="s">
        <v>500</v>
      </c>
      <c r="C43" s="1972" t="s">
        <v>126</v>
      </c>
      <c r="D43" s="2690" t="s">
        <v>722</v>
      </c>
      <c r="E43" s="2434"/>
      <c r="F43" s="1459"/>
      <c r="G43" s="4475" t="s">
        <v>730</v>
      </c>
      <c r="H43" s="4475"/>
      <c r="I43" s="4475"/>
      <c r="J43" s="4475"/>
      <c r="K43" s="2434" t="s">
        <v>720</v>
      </c>
      <c r="L43" s="779"/>
      <c r="M43" s="779"/>
      <c r="N43" s="779"/>
      <c r="O43" s="779"/>
      <c r="P43" s="779"/>
      <c r="Q43" s="2706" t="s">
        <v>720</v>
      </c>
      <c r="R43" s="323"/>
      <c r="S43" s="323"/>
      <c r="T43" s="323"/>
      <c r="U43" s="323"/>
      <c r="V43" s="323"/>
      <c r="W43" s="2715" t="s">
        <v>251</v>
      </c>
      <c r="X43" s="4487" t="s">
        <v>731</v>
      </c>
      <c r="Y43" s="5278"/>
      <c r="Z43" s="5278"/>
      <c r="AA43" s="5278"/>
      <c r="AB43" s="5278"/>
      <c r="AC43" s="5279"/>
      <c r="AD43" s="4580" t="s">
        <v>482</v>
      </c>
      <c r="AE43" s="5063"/>
      <c r="AF43" s="4468"/>
      <c r="AG43" s="4468"/>
      <c r="AH43" s="5274"/>
    </row>
    <row r="44" spans="1:34">
      <c r="A44" s="5030"/>
      <c r="B44" s="1949" t="s">
        <v>120</v>
      </c>
      <c r="C44" s="1981" t="s">
        <v>121</v>
      </c>
      <c r="D44" s="784"/>
      <c r="E44" s="780"/>
      <c r="F44" s="780"/>
      <c r="G44" s="780"/>
      <c r="H44" s="780"/>
      <c r="I44" s="780"/>
      <c r="J44" s="780"/>
      <c r="K44" s="780"/>
      <c r="L44" s="780"/>
      <c r="M44" s="780"/>
      <c r="N44" s="780"/>
      <c r="O44" s="780"/>
      <c r="P44" s="780"/>
      <c r="Q44" s="783"/>
      <c r="R44" s="5270" t="s">
        <v>732</v>
      </c>
      <c r="S44" s="5270"/>
      <c r="T44" s="5270"/>
      <c r="U44" s="5270"/>
      <c r="V44" s="5270"/>
      <c r="W44" s="5270"/>
      <c r="X44" s="5271"/>
      <c r="Y44" s="5270"/>
      <c r="Z44" s="5270"/>
      <c r="AA44" s="5272"/>
      <c r="AB44" s="5272"/>
      <c r="AC44" s="5270"/>
      <c r="AD44" s="5270"/>
      <c r="AE44" s="5270"/>
      <c r="AF44" s="5270"/>
      <c r="AG44" s="5270"/>
      <c r="AH44" s="5273"/>
    </row>
    <row r="45" spans="1:34">
      <c r="A45" s="5030"/>
      <c r="B45" s="1943" t="s">
        <v>122</v>
      </c>
      <c r="C45" s="2196" t="s">
        <v>123</v>
      </c>
      <c r="D45" s="822"/>
      <c r="E45" s="779"/>
      <c r="F45" s="779"/>
      <c r="G45" s="2434"/>
      <c r="H45" s="2260"/>
      <c r="I45" s="2260"/>
      <c r="J45" s="2260"/>
      <c r="K45" s="2260"/>
      <c r="L45" s="2260"/>
      <c r="M45" s="2260"/>
      <c r="N45" s="2722"/>
      <c r="O45" s="2259"/>
      <c r="P45" s="2259"/>
      <c r="Q45" s="2707"/>
      <c r="R45" s="776"/>
      <c r="S45" s="776"/>
      <c r="T45" s="776"/>
      <c r="U45" s="776"/>
      <c r="V45" s="776"/>
      <c r="W45" s="776"/>
      <c r="X45" s="776"/>
      <c r="Y45" s="776"/>
      <c r="Z45" s="1384"/>
      <c r="AA45" s="779"/>
      <c r="AB45" s="779"/>
      <c r="AC45" s="2741"/>
      <c r="AD45" s="2736" t="s">
        <v>251</v>
      </c>
      <c r="AE45" s="2735"/>
      <c r="AF45" s="5283" t="s">
        <v>729</v>
      </c>
      <c r="AG45" s="5283"/>
      <c r="AH45" s="5284"/>
    </row>
    <row r="46" spans="1:34">
      <c r="A46" s="5030"/>
      <c r="B46" s="1943" t="s">
        <v>122</v>
      </c>
      <c r="C46" s="2227" t="s">
        <v>553</v>
      </c>
      <c r="D46" s="2469"/>
      <c r="E46" s="2434" t="s">
        <v>717</v>
      </c>
      <c r="F46" s="2265"/>
      <c r="G46" s="4475" t="s">
        <v>730</v>
      </c>
      <c r="H46" s="4475"/>
      <c r="I46" s="4475"/>
      <c r="J46" s="4475"/>
      <c r="K46" s="2265"/>
      <c r="L46" s="2265"/>
      <c r="M46" s="2265"/>
      <c r="N46" s="2705" t="s">
        <v>717</v>
      </c>
      <c r="O46" s="2266"/>
      <c r="P46" s="2266"/>
      <c r="Q46" s="2266"/>
      <c r="R46" s="785"/>
      <c r="S46" s="785"/>
      <c r="T46" s="785"/>
      <c r="U46" s="785"/>
      <c r="V46" s="785"/>
      <c r="W46" s="785"/>
      <c r="X46" s="785"/>
      <c r="Y46" s="2734" t="s">
        <v>717</v>
      </c>
      <c r="Z46" s="849"/>
      <c r="AA46" s="779"/>
      <c r="AB46" s="779"/>
      <c r="AC46" s="793"/>
      <c r="AD46" s="778"/>
      <c r="AE46" s="778"/>
      <c r="AF46" s="778"/>
      <c r="AG46" s="778"/>
      <c r="AH46" s="805"/>
    </row>
    <row r="47" spans="1:34">
      <c r="A47" s="5030"/>
      <c r="B47" s="1943" t="s">
        <v>124</v>
      </c>
      <c r="C47" s="1989" t="s">
        <v>125</v>
      </c>
      <c r="D47" s="705"/>
      <c r="E47" s="793"/>
      <c r="F47" s="778"/>
      <c r="G47" s="2437" t="s">
        <v>722</v>
      </c>
      <c r="H47" s="778"/>
      <c r="I47" s="778"/>
      <c r="J47" s="778"/>
      <c r="K47" s="778"/>
      <c r="L47" s="2437" t="s">
        <v>722</v>
      </c>
      <c r="M47" s="778"/>
      <c r="N47" s="778"/>
      <c r="O47" s="778"/>
      <c r="P47" s="778"/>
      <c r="Q47" s="781"/>
      <c r="R47" s="2735"/>
      <c r="S47" s="2735"/>
      <c r="T47" s="2735"/>
      <c r="U47" s="2735"/>
      <c r="V47" s="2735"/>
      <c r="W47" s="2735"/>
      <c r="X47" s="2735"/>
      <c r="Y47" s="2735"/>
      <c r="Z47" s="2740"/>
      <c r="AA47" s="779"/>
      <c r="AB47" s="779"/>
      <c r="AC47" s="2741"/>
      <c r="AD47" s="2736" t="s">
        <v>251</v>
      </c>
      <c r="AE47" s="2735"/>
      <c r="AF47" s="5283" t="s">
        <v>729</v>
      </c>
      <c r="AG47" s="5283"/>
      <c r="AH47" s="5284"/>
    </row>
    <row r="48" spans="1:34">
      <c r="A48" s="5030"/>
      <c r="B48" s="1943" t="s">
        <v>293</v>
      </c>
      <c r="C48" s="1977" t="s">
        <v>733</v>
      </c>
      <c r="D48" s="5268" t="s">
        <v>734</v>
      </c>
      <c r="E48" s="5269"/>
      <c r="F48" s="778"/>
      <c r="G48" s="778"/>
      <c r="H48" s="778"/>
      <c r="I48" s="778"/>
      <c r="J48" s="778"/>
      <c r="K48" s="778"/>
      <c r="L48" s="2437"/>
      <c r="M48" s="2437" t="s">
        <v>717</v>
      </c>
      <c r="N48" s="778"/>
      <c r="O48" s="778"/>
      <c r="P48" s="778"/>
      <c r="Q48" s="778"/>
      <c r="R48" s="778"/>
      <c r="S48" s="6682" t="s">
        <v>710</v>
      </c>
      <c r="T48" s="778"/>
      <c r="U48" s="778"/>
      <c r="V48" s="2437" t="s">
        <v>717</v>
      </c>
      <c r="W48" s="778"/>
      <c r="X48" s="778"/>
      <c r="Y48" s="778"/>
      <c r="Z48" s="781"/>
      <c r="AA48" s="779"/>
      <c r="AB48" s="779"/>
      <c r="AC48" s="822"/>
      <c r="AD48" s="779"/>
      <c r="AE48" s="779"/>
      <c r="AF48" s="779"/>
      <c r="AG48" s="779"/>
      <c r="AH48" s="804"/>
    </row>
    <row r="49" spans="1:34">
      <c r="A49" s="5030"/>
      <c r="B49" s="1943" t="s">
        <v>692</v>
      </c>
      <c r="C49" s="2197" t="s">
        <v>693</v>
      </c>
      <c r="D49" s="5266" t="s">
        <v>112</v>
      </c>
      <c r="E49" s="5267"/>
      <c r="F49" s="5267"/>
      <c r="G49" s="5267"/>
      <c r="H49" s="5267"/>
      <c r="I49" s="5267"/>
      <c r="J49" s="5267"/>
      <c r="K49" s="5267"/>
      <c r="L49" s="2637" t="s">
        <v>251</v>
      </c>
      <c r="M49" s="778"/>
      <c r="N49" s="778"/>
      <c r="O49" s="778"/>
      <c r="P49" s="2437" t="s">
        <v>717</v>
      </c>
      <c r="Q49" s="778"/>
      <c r="R49" s="779"/>
      <c r="S49" s="779"/>
      <c r="T49" s="779"/>
      <c r="U49" s="779"/>
      <c r="V49" s="779"/>
      <c r="W49" s="779"/>
      <c r="X49" s="2437" t="s">
        <v>717</v>
      </c>
      <c r="Y49" s="779"/>
      <c r="Z49" s="779"/>
      <c r="AA49" s="778"/>
      <c r="AB49" s="778"/>
      <c r="AC49" s="779"/>
      <c r="AD49" s="2437" t="s">
        <v>717</v>
      </c>
      <c r="AE49" s="779"/>
      <c r="AF49" s="779"/>
      <c r="AG49" s="779"/>
      <c r="AH49" s="805"/>
    </row>
    <row r="50" spans="1:34">
      <c r="A50" s="5030"/>
      <c r="B50" s="2267" t="s">
        <v>127</v>
      </c>
      <c r="C50" s="1977" t="s">
        <v>657</v>
      </c>
      <c r="D50" s="793"/>
      <c r="E50" s="779"/>
      <c r="F50" s="779"/>
      <c r="G50" s="2434"/>
      <c r="H50" s="2434"/>
      <c r="I50" s="2434" t="s">
        <v>717</v>
      </c>
      <c r="J50" s="2434"/>
      <c r="K50" s="822"/>
      <c r="L50" s="779"/>
      <c r="M50" s="779"/>
      <c r="N50" s="779"/>
      <c r="O50" s="779"/>
      <c r="P50" s="779"/>
      <c r="Q50" s="2437" t="s">
        <v>717</v>
      </c>
      <c r="R50" s="779"/>
      <c r="S50" s="779"/>
      <c r="T50" s="779"/>
      <c r="U50" s="779"/>
      <c r="V50" s="779"/>
      <c r="W50" s="779"/>
      <c r="X50" s="779"/>
      <c r="Y50" s="779"/>
      <c r="Z50" s="779"/>
      <c r="AA50" s="779"/>
      <c r="AB50" s="779"/>
      <c r="AC50" s="2437" t="s">
        <v>717</v>
      </c>
      <c r="AD50" s="779"/>
      <c r="AE50" s="779"/>
      <c r="AF50" s="779"/>
      <c r="AG50" s="779"/>
      <c r="AH50" s="2733"/>
    </row>
    <row r="51" spans="1:34">
      <c r="A51" s="5030"/>
      <c r="B51" s="1939" t="s">
        <v>554</v>
      </c>
      <c r="C51" s="1972" t="s">
        <v>555</v>
      </c>
      <c r="D51" s="822"/>
      <c r="E51" s="779"/>
      <c r="F51" s="779"/>
      <c r="G51" s="2434" t="s">
        <v>717</v>
      </c>
      <c r="H51" s="2434"/>
      <c r="I51" s="779"/>
      <c r="J51" s="778"/>
      <c r="K51" s="779"/>
      <c r="L51" s="779"/>
      <c r="M51" s="779"/>
      <c r="N51" s="779"/>
      <c r="O51" s="779"/>
      <c r="P51" s="779"/>
      <c r="Q51" s="779"/>
      <c r="R51" s="780"/>
      <c r="S51" s="780"/>
      <c r="T51" s="780"/>
      <c r="U51" s="780"/>
      <c r="V51" s="780"/>
      <c r="W51" s="2435" t="s">
        <v>717</v>
      </c>
      <c r="X51" s="780"/>
      <c r="Y51" s="780"/>
      <c r="Z51" s="780"/>
      <c r="AA51" s="780"/>
      <c r="AB51" s="780"/>
      <c r="AC51" s="780"/>
      <c r="AD51" s="780"/>
      <c r="AE51" s="2435" t="s">
        <v>717</v>
      </c>
      <c r="AF51" s="780"/>
      <c r="AG51" s="780"/>
      <c r="AH51" s="808"/>
    </row>
    <row r="52" spans="1:34" ht="15.75">
      <c r="A52" s="5030"/>
      <c r="B52" s="1939" t="s">
        <v>129</v>
      </c>
      <c r="C52" s="1972" t="s">
        <v>474</v>
      </c>
      <c r="D52" s="822"/>
      <c r="E52" s="3600" t="s">
        <v>735</v>
      </c>
      <c r="F52" s="779"/>
      <c r="G52" s="779"/>
      <c r="H52" s="779"/>
      <c r="I52" s="779"/>
      <c r="J52" s="779"/>
      <c r="K52" s="779"/>
      <c r="L52" s="2434" t="s">
        <v>717</v>
      </c>
      <c r="M52" s="779"/>
      <c r="N52" s="779"/>
      <c r="O52" s="779"/>
      <c r="P52" s="779"/>
      <c r="Q52" s="847"/>
      <c r="R52" s="2735"/>
      <c r="S52" s="6682" t="s">
        <v>710</v>
      </c>
      <c r="T52" s="2735"/>
      <c r="U52" s="2735"/>
      <c r="V52" s="2735"/>
      <c r="W52" s="2735"/>
      <c r="X52" s="2735"/>
      <c r="Y52" s="2735"/>
      <c r="Z52" s="2735"/>
      <c r="AA52" s="2735"/>
      <c r="AB52" s="2735"/>
      <c r="AC52" s="2735"/>
      <c r="AD52" s="2735"/>
      <c r="AE52" s="2735"/>
      <c r="AF52" s="2735"/>
      <c r="AG52" s="2735"/>
      <c r="AH52" s="2760"/>
    </row>
    <row r="53" spans="1:34">
      <c r="A53" s="5030"/>
      <c r="B53" s="1939" t="s">
        <v>134</v>
      </c>
      <c r="C53" s="1972" t="s">
        <v>135</v>
      </c>
      <c r="D53" s="822"/>
      <c r="E53" s="779"/>
      <c r="F53" s="779"/>
      <c r="G53" s="779"/>
      <c r="H53" s="779"/>
      <c r="I53" s="779"/>
      <c r="J53" s="779"/>
      <c r="K53" s="2434" t="s">
        <v>722</v>
      </c>
      <c r="L53" s="779"/>
      <c r="M53" s="779"/>
      <c r="N53" s="779"/>
      <c r="O53" s="779"/>
      <c r="P53" s="779"/>
      <c r="Q53" s="2434" t="s">
        <v>722</v>
      </c>
      <c r="R53" s="778"/>
      <c r="S53" s="778"/>
      <c r="T53" s="778"/>
      <c r="U53" s="778"/>
      <c r="V53" s="2437" t="s">
        <v>722</v>
      </c>
      <c r="W53" s="778"/>
      <c r="X53" s="781"/>
      <c r="Y53" s="4645" t="s">
        <v>112</v>
      </c>
      <c r="Z53" s="4645"/>
      <c r="AA53" s="4645"/>
      <c r="AB53" s="4645"/>
      <c r="AC53" s="4645"/>
      <c r="AD53" s="4645"/>
      <c r="AE53" s="4645"/>
      <c r="AF53" s="4645"/>
      <c r="AG53" s="4645"/>
      <c r="AH53" s="4825"/>
    </row>
    <row r="54" spans="1:34">
      <c r="A54" s="5031"/>
      <c r="B54" s="2268" t="s">
        <v>333</v>
      </c>
      <c r="C54" s="1973" t="s">
        <v>334</v>
      </c>
      <c r="D54" s="5301" t="s">
        <v>736</v>
      </c>
      <c r="E54" s="4424"/>
      <c r="F54" s="4424"/>
      <c r="G54" s="4424"/>
      <c r="H54" s="4424"/>
      <c r="I54" s="4424"/>
      <c r="J54" s="4638"/>
      <c r="K54" s="2366"/>
      <c r="L54" s="2366"/>
      <c r="M54" s="2366"/>
      <c r="N54" s="2711" t="s">
        <v>722</v>
      </c>
      <c r="O54" s="2367"/>
      <c r="P54" s="2367"/>
      <c r="Q54" s="2367"/>
      <c r="R54" s="2443"/>
      <c r="S54" s="782"/>
      <c r="T54" s="782"/>
      <c r="U54" s="782"/>
      <c r="V54" s="782"/>
      <c r="W54" s="2443" t="s">
        <v>720</v>
      </c>
      <c r="X54" s="782"/>
      <c r="Y54" s="823"/>
      <c r="Z54" s="823"/>
      <c r="AA54" s="823"/>
      <c r="AB54" s="2712" t="s">
        <v>722</v>
      </c>
      <c r="AC54" s="823"/>
      <c r="AD54" s="823"/>
      <c r="AE54" s="823"/>
      <c r="AF54" s="823"/>
      <c r="AG54" s="823"/>
      <c r="AH54" s="2713"/>
    </row>
    <row r="55" spans="1:34">
      <c r="A55" s="5030" t="s">
        <v>136</v>
      </c>
      <c r="B55" s="1940" t="s">
        <v>77</v>
      </c>
      <c r="C55" s="2485" t="s">
        <v>153</v>
      </c>
      <c r="D55" s="2714" t="s">
        <v>720</v>
      </c>
      <c r="E55" s="799"/>
      <c r="F55" s="799"/>
      <c r="G55" s="799"/>
      <c r="H55" s="799"/>
      <c r="I55" s="799"/>
      <c r="J55" s="799"/>
      <c r="K55" s="5297" t="s">
        <v>721</v>
      </c>
      <c r="L55" s="5298"/>
      <c r="M55" s="5298"/>
      <c r="N55" s="5298"/>
      <c r="O55" s="5299"/>
      <c r="P55" s="937"/>
      <c r="Q55" s="937"/>
      <c r="R55" s="2284" t="s">
        <v>720</v>
      </c>
      <c r="S55" s="6682" t="s">
        <v>710</v>
      </c>
      <c r="T55" s="799"/>
      <c r="U55" s="799"/>
      <c r="V55" s="2284" t="s">
        <v>720</v>
      </c>
      <c r="W55" s="799"/>
      <c r="X55" s="799"/>
      <c r="Y55" s="5303" t="s">
        <v>737</v>
      </c>
      <c r="Z55" s="5304"/>
      <c r="AA55" s="5304"/>
      <c r="AB55" s="5304"/>
      <c r="AC55" s="5305"/>
      <c r="AD55" s="799"/>
      <c r="AE55" s="799"/>
      <c r="AF55" s="2284"/>
      <c r="AG55" s="799"/>
      <c r="AH55" s="2730" t="s">
        <v>708</v>
      </c>
    </row>
    <row r="56" spans="1:34">
      <c r="A56" s="5030"/>
      <c r="B56" s="1939" t="s">
        <v>95</v>
      </c>
      <c r="C56" s="1034" t="s">
        <v>738</v>
      </c>
      <c r="D56" s="963"/>
      <c r="E56" s="537"/>
      <c r="F56" s="537"/>
      <c r="G56" s="537"/>
      <c r="H56" s="537"/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7"/>
      <c r="V56" s="537"/>
      <c r="W56" s="537"/>
      <c r="X56" s="537"/>
      <c r="Y56" s="537"/>
      <c r="Z56" s="537"/>
      <c r="AA56" s="537"/>
      <c r="AB56" s="537"/>
      <c r="AC56" s="537"/>
      <c r="AD56" s="537"/>
      <c r="AE56" s="537"/>
      <c r="AF56" s="537"/>
      <c r="AG56" s="537"/>
      <c r="AH56" s="808"/>
    </row>
    <row r="57" spans="1:34">
      <c r="A57" s="5031"/>
      <c r="B57" s="2268" t="s">
        <v>739</v>
      </c>
      <c r="C57" s="1035" t="s">
        <v>740</v>
      </c>
      <c r="D57" s="965"/>
      <c r="E57" s="966"/>
      <c r="F57" s="966"/>
      <c r="G57" s="966"/>
      <c r="H57" s="966"/>
      <c r="I57" s="966"/>
      <c r="J57" s="966"/>
      <c r="K57" s="5237" t="s">
        <v>721</v>
      </c>
      <c r="L57" s="5238"/>
      <c r="M57" s="5238"/>
      <c r="N57" s="5238"/>
      <c r="O57" s="5239"/>
      <c r="P57" s="966"/>
      <c r="Q57" s="966"/>
      <c r="R57" s="1470" t="s">
        <v>717</v>
      </c>
      <c r="S57" s="6682" t="s">
        <v>710</v>
      </c>
      <c r="T57" s="966"/>
      <c r="U57" s="966"/>
      <c r="V57" s="966"/>
      <c r="W57" s="966"/>
      <c r="X57" s="966"/>
      <c r="Y57" s="966"/>
      <c r="Z57" s="1470" t="s">
        <v>717</v>
      </c>
      <c r="AA57" s="966"/>
      <c r="AB57" s="966"/>
      <c r="AC57" s="966"/>
      <c r="AD57" s="823"/>
      <c r="AE57" s="823"/>
      <c r="AF57" s="5309"/>
      <c r="AG57" s="5310"/>
      <c r="AH57" s="5311"/>
    </row>
    <row r="58" spans="1:34">
      <c r="A58" s="5320" t="s">
        <v>144</v>
      </c>
      <c r="B58" s="954" t="s">
        <v>145</v>
      </c>
      <c r="C58" s="990" t="s">
        <v>148</v>
      </c>
      <c r="D58" s="2483"/>
      <c r="E58" s="2437" t="s">
        <v>722</v>
      </c>
      <c r="F58" s="795"/>
      <c r="G58" s="5331" t="s">
        <v>741</v>
      </c>
      <c r="H58" s="5332"/>
      <c r="I58" s="5332"/>
      <c r="J58" s="5333"/>
      <c r="K58" s="2667"/>
      <c r="L58" s="846"/>
      <c r="M58" s="1324"/>
      <c r="N58" s="1324"/>
      <c r="O58" s="2437" t="s">
        <v>722</v>
      </c>
      <c r="P58" s="4436" t="s">
        <v>742</v>
      </c>
      <c r="Q58" s="4503"/>
      <c r="R58" s="1324"/>
      <c r="S58" s="1324"/>
      <c r="T58" s="1324"/>
      <c r="U58" s="1324"/>
      <c r="V58" s="1324"/>
      <c r="W58" s="1324"/>
      <c r="X58" s="1324"/>
      <c r="Y58" s="1324"/>
      <c r="Z58" s="1324"/>
      <c r="AA58" s="799"/>
      <c r="AB58" s="1324"/>
      <c r="AC58" s="1324"/>
      <c r="AD58" s="1324"/>
      <c r="AE58" s="1324"/>
      <c r="AF58" s="2537" t="s">
        <v>722</v>
      </c>
      <c r="AG58" s="1324"/>
      <c r="AH58" s="802"/>
    </row>
    <row r="59" spans="1:34">
      <c r="A59" s="5321"/>
      <c r="B59" s="951" t="s">
        <v>145</v>
      </c>
      <c r="C59" s="2732" t="s">
        <v>618</v>
      </c>
      <c r="D59" s="4416" t="s">
        <v>743</v>
      </c>
      <c r="E59" s="4334"/>
      <c r="F59" s="374"/>
      <c r="G59" s="374"/>
      <c r="H59" s="374"/>
      <c r="I59" s="537"/>
      <c r="J59" s="537"/>
      <c r="K59" s="1459" t="s">
        <v>717</v>
      </c>
      <c r="L59" s="5280" t="s">
        <v>721</v>
      </c>
      <c r="M59" s="5281"/>
      <c r="N59" s="5281"/>
      <c r="O59" s="5281"/>
      <c r="P59" s="656"/>
      <c r="Q59" s="656"/>
      <c r="R59" s="380"/>
      <c r="S59" s="2717" t="s">
        <v>717</v>
      </c>
      <c r="T59" s="1255"/>
      <c r="U59" s="2666" t="s">
        <v>706</v>
      </c>
      <c r="V59" s="2666"/>
      <c r="W59" s="2666"/>
      <c r="X59" s="2669"/>
      <c r="Y59" s="2669"/>
      <c r="Z59" s="2666"/>
      <c r="AA59" s="2456" t="s">
        <v>717</v>
      </c>
      <c r="AB59" s="2666"/>
      <c r="AC59" s="2666"/>
      <c r="AD59" s="2666"/>
      <c r="AE59" s="905"/>
      <c r="AF59" s="2668"/>
      <c r="AG59" s="905"/>
      <c r="AH59" s="805"/>
    </row>
    <row r="60" spans="1:34">
      <c r="A60" s="5321"/>
      <c r="B60" s="951" t="s">
        <v>149</v>
      </c>
      <c r="C60" s="990" t="s">
        <v>744</v>
      </c>
      <c r="D60" s="5242" t="s">
        <v>743</v>
      </c>
      <c r="E60" s="5243"/>
      <c r="F60" s="799"/>
      <c r="G60" s="799"/>
      <c r="H60" s="799"/>
      <c r="I60" s="799"/>
      <c r="J60" s="799"/>
      <c r="K60" s="799"/>
      <c r="L60" s="3681" t="s">
        <v>251</v>
      </c>
      <c r="M60" s="5240" t="s">
        <v>593</v>
      </c>
      <c r="N60" s="5241"/>
      <c r="O60" s="3681" t="s">
        <v>251</v>
      </c>
      <c r="P60" s="799"/>
      <c r="Q60" s="799"/>
      <c r="R60" s="799"/>
      <c r="S60" s="6682" t="s">
        <v>710</v>
      </c>
      <c r="T60" s="799"/>
      <c r="U60" s="2284" t="s">
        <v>717</v>
      </c>
      <c r="V60" s="799"/>
      <c r="W60" s="799"/>
      <c r="X60" s="799"/>
      <c r="Y60" s="799"/>
      <c r="Z60" s="799"/>
      <c r="AA60" s="799"/>
      <c r="AB60" s="2284" t="s">
        <v>717</v>
      </c>
      <c r="AC60" s="799"/>
      <c r="AD60" s="799"/>
      <c r="AE60" s="799"/>
      <c r="AF60" s="942"/>
      <c r="AG60" s="964"/>
      <c r="AH60" s="2733"/>
    </row>
    <row r="61" spans="1:34" ht="15.75" customHeight="1">
      <c r="A61" s="5321"/>
      <c r="B61" s="955" t="s">
        <v>149</v>
      </c>
      <c r="C61" s="928" t="s">
        <v>151</v>
      </c>
      <c r="D61" s="1040"/>
      <c r="E61" s="1040"/>
      <c r="F61" s="1040"/>
      <c r="G61" s="1040"/>
      <c r="H61" s="1040"/>
      <c r="I61" s="1040"/>
      <c r="J61" s="1040"/>
      <c r="K61" s="1040"/>
      <c r="L61" s="1040"/>
      <c r="M61" s="2703" t="s">
        <v>722</v>
      </c>
      <c r="N61" s="1040"/>
      <c r="O61" s="1040"/>
      <c r="P61" s="1040"/>
      <c r="Q61" s="1040"/>
      <c r="R61" s="1040"/>
      <c r="S61" s="2703" t="s">
        <v>722</v>
      </c>
      <c r="T61" s="1040"/>
      <c r="U61" s="799"/>
      <c r="V61" s="799"/>
      <c r="W61" s="799"/>
      <c r="X61" s="799"/>
      <c r="Y61" s="799"/>
      <c r="Z61" s="2284" t="s">
        <v>722</v>
      </c>
      <c r="AA61" s="799"/>
      <c r="AB61" s="799"/>
      <c r="AC61" s="799"/>
      <c r="AD61" s="799"/>
      <c r="AE61" s="799"/>
      <c r="AF61" s="2019"/>
      <c r="AG61" s="2244"/>
      <c r="AH61" s="808"/>
    </row>
    <row r="62" spans="1:34">
      <c r="A62" s="5314" t="s">
        <v>745</v>
      </c>
      <c r="B62" s="1033" t="s">
        <v>100</v>
      </c>
      <c r="C62" s="1033" t="s">
        <v>78</v>
      </c>
      <c r="D62" s="2667"/>
      <c r="E62" s="2667"/>
      <c r="F62" s="2667"/>
      <c r="G62" s="2667"/>
      <c r="H62" s="2667"/>
      <c r="I62" s="2667"/>
      <c r="J62" s="2693"/>
      <c r="K62" s="2693"/>
      <c r="L62" s="2693"/>
      <c r="M62" s="4312" t="s">
        <v>746</v>
      </c>
      <c r="N62" s="4312"/>
      <c r="O62" s="2693"/>
      <c r="P62" s="2667"/>
      <c r="Q62" s="2667"/>
      <c r="R62" s="5323" t="s">
        <v>747</v>
      </c>
      <c r="S62" s="5323"/>
      <c r="T62" s="5323"/>
      <c r="U62" s="4523"/>
      <c r="V62" s="4523"/>
      <c r="W62" s="4523"/>
      <c r="X62" s="4523"/>
      <c r="Y62" s="4523"/>
      <c r="Z62" s="4523"/>
      <c r="AA62" s="4523"/>
      <c r="AB62" s="4523"/>
      <c r="AC62" s="4523"/>
      <c r="AD62" s="4523"/>
      <c r="AE62" s="4523"/>
      <c r="AF62" s="4523"/>
      <c r="AG62" s="4523"/>
      <c r="AH62" s="5324"/>
    </row>
    <row r="63" spans="1:34">
      <c r="A63" s="5315"/>
      <c r="B63" s="1034" t="s">
        <v>95</v>
      </c>
      <c r="C63" s="927" t="s">
        <v>620</v>
      </c>
      <c r="D63" s="705"/>
      <c r="E63" s="4748" t="s">
        <v>748</v>
      </c>
      <c r="F63" s="4520"/>
      <c r="G63" s="5243"/>
      <c r="H63" s="1201"/>
      <c r="I63" s="846"/>
      <c r="J63" s="2716" t="s">
        <v>720</v>
      </c>
      <c r="K63" s="2659"/>
      <c r="L63" s="3628" t="s">
        <v>251</v>
      </c>
      <c r="M63" s="4312" t="s">
        <v>593</v>
      </c>
      <c r="N63" s="4312"/>
      <c r="O63" s="3628" t="s">
        <v>251</v>
      </c>
      <c r="P63" s="2630"/>
      <c r="Q63" s="824"/>
      <c r="R63" s="2284"/>
      <c r="S63" s="2284" t="s">
        <v>720</v>
      </c>
      <c r="T63" s="3681" t="s">
        <v>251</v>
      </c>
      <c r="U63" s="5251" t="s">
        <v>706</v>
      </c>
      <c r="V63" s="5253"/>
      <c r="W63" s="5253"/>
      <c r="X63" s="5253"/>
      <c r="Y63" s="5252"/>
      <c r="Z63" s="3681" t="s">
        <v>251</v>
      </c>
      <c r="AA63" s="799"/>
      <c r="AB63" s="799"/>
      <c r="AC63" s="799"/>
      <c r="AD63" s="2284" t="s">
        <v>720</v>
      </c>
      <c r="AE63" s="5329" t="s">
        <v>749</v>
      </c>
      <c r="AF63" s="4331"/>
      <c r="AG63" s="4331"/>
      <c r="AH63" s="5330"/>
    </row>
    <row r="64" spans="1:34" ht="15.75">
      <c r="A64" s="5315"/>
      <c r="B64" s="2237" t="s">
        <v>127</v>
      </c>
      <c r="C64" s="2246" t="s">
        <v>128</v>
      </c>
      <c r="D64" s="705"/>
      <c r="E64" s="2"/>
      <c r="F64" s="2"/>
      <c r="G64" s="590"/>
      <c r="H64" s="1459" t="s">
        <v>720</v>
      </c>
      <c r="I64" s="2692"/>
      <c r="J64" s="3628" t="s">
        <v>251</v>
      </c>
      <c r="K64" s="4312" t="s">
        <v>723</v>
      </c>
      <c r="L64" s="4312"/>
      <c r="M64" s="4312" t="s">
        <v>593</v>
      </c>
      <c r="N64" s="4312"/>
      <c r="O64" s="3628" t="s">
        <v>251</v>
      </c>
      <c r="P64" s="2630"/>
      <c r="Q64" s="2"/>
      <c r="R64" s="2434" t="s">
        <v>722</v>
      </c>
      <c r="S64" s="323"/>
      <c r="T64" s="3681" t="s">
        <v>251</v>
      </c>
      <c r="U64" s="5325" t="s">
        <v>706</v>
      </c>
      <c r="V64" s="5326"/>
      <c r="W64" s="5326"/>
      <c r="X64" s="5326"/>
      <c r="Y64" s="5327"/>
      <c r="Z64" s="3681" t="s">
        <v>251</v>
      </c>
      <c r="AA64" s="799"/>
      <c r="AB64" s="799"/>
      <c r="AC64" s="799"/>
      <c r="AD64" s="2284" t="s">
        <v>722</v>
      </c>
      <c r="AE64" s="799"/>
      <c r="AF64" s="796"/>
      <c r="AG64" s="2662"/>
      <c r="AH64" s="2663"/>
    </row>
    <row r="65" spans="1:34" ht="15.75">
      <c r="A65" s="5315"/>
      <c r="B65" s="2237" t="s">
        <v>90</v>
      </c>
      <c r="C65" s="2246" t="s">
        <v>660</v>
      </c>
      <c r="D65" s="705"/>
      <c r="E65" s="1459"/>
      <c r="F65" s="2"/>
      <c r="G65" s="2"/>
      <c r="H65" s="1459"/>
      <c r="I65" s="1459" t="s">
        <v>722</v>
      </c>
      <c r="J65" s="2659"/>
      <c r="K65" s="2659"/>
      <c r="L65" s="3628" t="s">
        <v>251</v>
      </c>
      <c r="M65" s="4312" t="s">
        <v>593</v>
      </c>
      <c r="N65" s="4312"/>
      <c r="O65" s="4333" t="s">
        <v>711</v>
      </c>
      <c r="P65" s="4334"/>
      <c r="Q65" s="2719" t="s">
        <v>251</v>
      </c>
      <c r="R65" s="590"/>
      <c r="S65" s="537"/>
      <c r="T65" s="3681" t="s">
        <v>251</v>
      </c>
      <c r="U65" s="5325" t="s">
        <v>706</v>
      </c>
      <c r="V65" s="5326"/>
      <c r="W65" s="5326"/>
      <c r="X65" s="5326"/>
      <c r="Y65" s="5327"/>
      <c r="Z65" s="3681" t="s">
        <v>251</v>
      </c>
      <c r="AA65" s="799"/>
      <c r="AB65" s="799"/>
      <c r="AC65" s="3685" t="s">
        <v>722</v>
      </c>
      <c r="AD65" s="799"/>
      <c r="AE65" s="2284"/>
      <c r="AF65" s="2"/>
      <c r="AG65" s="2709" t="s">
        <v>720</v>
      </c>
      <c r="AH65" s="2664"/>
    </row>
    <row r="66" spans="1:34" ht="15.75">
      <c r="A66" s="5316"/>
      <c r="B66" s="1035" t="s">
        <v>81</v>
      </c>
      <c r="C66" s="928" t="s">
        <v>396</v>
      </c>
      <c r="D66" s="992"/>
      <c r="E66" s="993"/>
      <c r="F66" s="969"/>
      <c r="G66" s="1470" t="s">
        <v>720</v>
      </c>
      <c r="H66" s="1470"/>
      <c r="I66" s="966"/>
      <c r="J66" s="4660" t="s">
        <v>750</v>
      </c>
      <c r="K66" s="4661"/>
      <c r="L66" s="4661"/>
      <c r="M66" s="4661"/>
      <c r="N66" s="4661"/>
      <c r="O66" s="4661"/>
      <c r="P66" s="4424"/>
      <c r="Q66" s="4424"/>
      <c r="R66" s="4638"/>
      <c r="S66" s="6682" t="s">
        <v>710</v>
      </c>
      <c r="T66" s="3681" t="s">
        <v>251</v>
      </c>
      <c r="U66" s="5263" t="s">
        <v>706</v>
      </c>
      <c r="V66" s="5328"/>
      <c r="W66" s="5328"/>
      <c r="X66" s="5328"/>
      <c r="Y66" s="5264"/>
      <c r="Z66" s="3681" t="s">
        <v>251</v>
      </c>
      <c r="AA66" s="799"/>
      <c r="AB66" s="799"/>
      <c r="AC66" s="799"/>
      <c r="AD66" s="799"/>
      <c r="AE66" s="2662" t="s">
        <v>720</v>
      </c>
      <c r="AF66" s="796"/>
      <c r="AG66" s="2662"/>
      <c r="AH66" s="802"/>
    </row>
    <row r="67" spans="1:34">
      <c r="A67" s="5312" t="s">
        <v>751</v>
      </c>
      <c r="B67" s="2485" t="s">
        <v>95</v>
      </c>
      <c r="C67" s="2481" t="s">
        <v>303</v>
      </c>
      <c r="D67" s="5322" t="s">
        <v>752</v>
      </c>
      <c r="E67" s="5276"/>
      <c r="F67" s="5276"/>
      <c r="G67" s="5276"/>
      <c r="H67" s="5276"/>
      <c r="I67" s="5276"/>
      <c r="J67" s="5276"/>
      <c r="K67" s="5276"/>
      <c r="L67" s="5276"/>
      <c r="M67" s="5276"/>
      <c r="N67" s="5276"/>
      <c r="O67" s="5277"/>
      <c r="P67" s="3681" t="s">
        <v>251</v>
      </c>
      <c r="Q67" s="799"/>
      <c r="R67" s="799" t="s">
        <v>753</v>
      </c>
      <c r="S67" s="799"/>
      <c r="T67" s="2284"/>
      <c r="U67" s="2770" t="s">
        <v>720</v>
      </c>
      <c r="V67" s="799"/>
      <c r="W67" s="799"/>
      <c r="X67" s="2284" t="s">
        <v>722</v>
      </c>
      <c r="Y67" s="799"/>
      <c r="Z67" s="799"/>
      <c r="AA67" s="799"/>
      <c r="AB67" s="799"/>
      <c r="AC67" s="2284"/>
      <c r="AD67" s="799"/>
      <c r="AE67" s="799"/>
      <c r="AF67" s="2743" t="s">
        <v>251</v>
      </c>
      <c r="AG67" s="5235" t="s">
        <v>754</v>
      </c>
      <c r="AH67" s="5236"/>
    </row>
    <row r="68" spans="1:34" ht="15.75">
      <c r="A68" s="5313"/>
      <c r="B68" s="1035" t="s">
        <v>155</v>
      </c>
      <c r="C68" s="928" t="s">
        <v>532</v>
      </c>
      <c r="D68" s="5317" t="s">
        <v>755</v>
      </c>
      <c r="E68" s="5318"/>
      <c r="F68" s="5319"/>
      <c r="G68" s="2564" t="s">
        <v>251</v>
      </c>
      <c r="H68" s="966"/>
      <c r="I68" s="966"/>
      <c r="J68" s="966"/>
      <c r="K68" s="966"/>
      <c r="L68" s="2691" t="s">
        <v>251</v>
      </c>
      <c r="M68" s="5334" t="s">
        <v>593</v>
      </c>
      <c r="N68" s="5335"/>
      <c r="O68" s="2691" t="s">
        <v>251</v>
      </c>
      <c r="P68" s="966"/>
      <c r="Q68" s="966"/>
      <c r="R68" s="966"/>
      <c r="S68" s="6682" t="s">
        <v>710</v>
      </c>
      <c r="T68" s="966"/>
      <c r="U68" s="1470" t="s">
        <v>722</v>
      </c>
      <c r="V68" s="966"/>
      <c r="W68" s="966"/>
      <c r="X68" s="1470"/>
      <c r="Y68" s="966"/>
      <c r="Z68" s="966"/>
      <c r="AA68" s="1470" t="s">
        <v>722</v>
      </c>
      <c r="AB68" s="966"/>
      <c r="AC68" s="966"/>
      <c r="AD68" s="966"/>
      <c r="AE68" s="966"/>
      <c r="AF68" s="966"/>
      <c r="AG68" s="2400"/>
      <c r="AH68" s="2710" t="s">
        <v>722</v>
      </c>
    </row>
    <row r="69" spans="1:34">
      <c r="G69" s="916"/>
    </row>
    <row r="74" spans="1:34">
      <c r="I74" s="917"/>
    </row>
  </sheetData>
  <mergeCells count="93">
    <mergeCell ref="A67:A68"/>
    <mergeCell ref="A62:A66"/>
    <mergeCell ref="D68:F68"/>
    <mergeCell ref="J66:R66"/>
    <mergeCell ref="A58:A61"/>
    <mergeCell ref="D67:O67"/>
    <mergeCell ref="R62:AH62"/>
    <mergeCell ref="U63:Y63"/>
    <mergeCell ref="U64:Y64"/>
    <mergeCell ref="U66:Y66"/>
    <mergeCell ref="AE63:AH63"/>
    <mergeCell ref="G58:J58"/>
    <mergeCell ref="M68:N68"/>
    <mergeCell ref="U65:Y65"/>
    <mergeCell ref="O65:P65"/>
    <mergeCell ref="K64:L64"/>
    <mergeCell ref="Y55:AC55"/>
    <mergeCell ref="P58:Q58"/>
    <mergeCell ref="G46:J46"/>
    <mergeCell ref="G43:J43"/>
    <mergeCell ref="M34:N34"/>
    <mergeCell ref="K35:L35"/>
    <mergeCell ref="K36:L36"/>
    <mergeCell ref="K37:O37"/>
    <mergeCell ref="N36:O36"/>
    <mergeCell ref="M35:N35"/>
    <mergeCell ref="Y53:AH53"/>
    <mergeCell ref="AF57:AH57"/>
    <mergeCell ref="E63:G63"/>
    <mergeCell ref="A16:C16"/>
    <mergeCell ref="A17:C17"/>
    <mergeCell ref="K38:O38"/>
    <mergeCell ref="K55:O55"/>
    <mergeCell ref="A21:C21"/>
    <mergeCell ref="A22:C22"/>
    <mergeCell ref="A28:A31"/>
    <mergeCell ref="A19:C19"/>
    <mergeCell ref="A20:C20"/>
    <mergeCell ref="D54:J54"/>
    <mergeCell ref="A32:A37"/>
    <mergeCell ref="A55:A57"/>
    <mergeCell ref="A38:A54"/>
    <mergeCell ref="M30:O30"/>
    <mergeCell ref="L59:O59"/>
    <mergeCell ref="A1:C1"/>
    <mergeCell ref="A2:C2"/>
    <mergeCell ref="A3:C3"/>
    <mergeCell ref="A4:C4"/>
    <mergeCell ref="A15:C15"/>
    <mergeCell ref="A11:C11"/>
    <mergeCell ref="A12:C12"/>
    <mergeCell ref="A13:C13"/>
    <mergeCell ref="A14:C14"/>
    <mergeCell ref="A5:C5"/>
    <mergeCell ref="A6:C6"/>
    <mergeCell ref="A7:C7"/>
    <mergeCell ref="A8:C8"/>
    <mergeCell ref="A9:C9"/>
    <mergeCell ref="A10:C10"/>
    <mergeCell ref="M31:N31"/>
    <mergeCell ref="D49:K49"/>
    <mergeCell ref="D48:E48"/>
    <mergeCell ref="R44:AH44"/>
    <mergeCell ref="AD43:AH43"/>
    <mergeCell ref="U38:AA38"/>
    <mergeCell ref="X43:AC43"/>
    <mergeCell ref="K33:O33"/>
    <mergeCell ref="AF42:AH42"/>
    <mergeCell ref="AF45:AH45"/>
    <mergeCell ref="AF47:AH47"/>
    <mergeCell ref="D59:E59"/>
    <mergeCell ref="D60:E60"/>
    <mergeCell ref="D1:AH1"/>
    <mergeCell ref="G4:J4"/>
    <mergeCell ref="K8:O8"/>
    <mergeCell ref="D26:F26"/>
    <mergeCell ref="U23:V23"/>
    <mergeCell ref="U16:AC16"/>
    <mergeCell ref="K23:O23"/>
    <mergeCell ref="M24:N24"/>
    <mergeCell ref="Z23:AD23"/>
    <mergeCell ref="L18:M18"/>
    <mergeCell ref="Q23:S23"/>
    <mergeCell ref="P31:Q31"/>
    <mergeCell ref="U28:V28"/>
    <mergeCell ref="K31:L31"/>
    <mergeCell ref="AG67:AH67"/>
    <mergeCell ref="M64:N64"/>
    <mergeCell ref="M65:N65"/>
    <mergeCell ref="K57:O57"/>
    <mergeCell ref="M60:N60"/>
    <mergeCell ref="M62:N62"/>
    <mergeCell ref="M63:N63"/>
  </mergeCells>
  <pageMargins left="0.7" right="0.7" top="0.75" bottom="0.75" header="0.3" footer="0.3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C9874-2251-4065-97D4-39EAF0C5FD9A}">
  <sheetPr>
    <pageSetUpPr fitToPage="1"/>
  </sheetPr>
  <dimension ref="A1:AK95"/>
  <sheetViews>
    <sheetView topLeftCell="A20" workbookViewId="0">
      <selection activeCell="G68" sqref="G68"/>
    </sheetView>
  </sheetViews>
  <sheetFormatPr defaultRowHeight="15"/>
  <cols>
    <col min="3" max="3" width="11.42578125" bestFit="1" customWidth="1"/>
    <col min="4" max="25" width="9.140625" bestFit="1" customWidth="1"/>
    <col min="26" max="26" width="11.140625" customWidth="1"/>
    <col min="27" max="33" width="9.140625" bestFit="1" customWidth="1"/>
    <col min="34" max="34" width="10.42578125" customWidth="1"/>
  </cols>
  <sheetData>
    <row r="1" spans="1:34">
      <c r="A1" s="4375" t="s">
        <v>29</v>
      </c>
      <c r="B1" s="4375"/>
      <c r="C1" s="4375"/>
      <c r="D1" s="4376" t="s">
        <v>304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525"/>
    </row>
    <row r="2" spans="1:34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4378" t="s">
        <v>32</v>
      </c>
      <c r="B3" s="4378"/>
      <c r="C3" s="4378"/>
      <c r="D3" s="3703" t="s">
        <v>34</v>
      </c>
      <c r="E3" s="3703" t="s">
        <v>33</v>
      </c>
      <c r="F3" s="3703" t="s">
        <v>35</v>
      </c>
      <c r="G3" s="19" t="s">
        <v>36</v>
      </c>
      <c r="H3" s="19" t="s">
        <v>36</v>
      </c>
      <c r="I3" s="3703" t="s">
        <v>37</v>
      </c>
      <c r="J3" s="3703" t="s">
        <v>33</v>
      </c>
      <c r="K3" s="3703" t="s">
        <v>34</v>
      </c>
      <c r="L3" s="3703" t="s">
        <v>33</v>
      </c>
      <c r="M3" s="3703" t="s">
        <v>35</v>
      </c>
      <c r="N3" s="19" t="s">
        <v>36</v>
      </c>
      <c r="O3" s="19" t="s">
        <v>36</v>
      </c>
      <c r="P3" s="3703" t="s">
        <v>37</v>
      </c>
      <c r="Q3" s="3703" t="s">
        <v>33</v>
      </c>
      <c r="R3" s="3703" t="s">
        <v>34</v>
      </c>
      <c r="S3" s="3703" t="s">
        <v>33</v>
      </c>
      <c r="T3" s="3703" t="s">
        <v>35</v>
      </c>
      <c r="U3" s="19" t="s">
        <v>36</v>
      </c>
      <c r="V3" s="19" t="s">
        <v>36</v>
      </c>
      <c r="W3" s="3703" t="s">
        <v>37</v>
      </c>
      <c r="X3" s="3703" t="s">
        <v>33</v>
      </c>
      <c r="Y3" s="3703" t="s">
        <v>34</v>
      </c>
      <c r="Z3" s="40" t="s">
        <v>33</v>
      </c>
      <c r="AA3" s="3703" t="s">
        <v>35</v>
      </c>
      <c r="AB3" s="19" t="s">
        <v>36</v>
      </c>
      <c r="AC3" s="19" t="s">
        <v>36</v>
      </c>
      <c r="AD3" s="3703" t="s">
        <v>37</v>
      </c>
      <c r="AE3" s="41" t="s">
        <v>33</v>
      </c>
      <c r="AF3" s="41" t="s">
        <v>34</v>
      </c>
      <c r="AG3" s="41" t="s">
        <v>33</v>
      </c>
      <c r="AH3" s="41" t="s">
        <v>35</v>
      </c>
    </row>
    <row r="4" spans="1:34" ht="15.75">
      <c r="A4" s="4249" t="s">
        <v>38</v>
      </c>
      <c r="B4" s="4250"/>
      <c r="C4" s="4611"/>
      <c r="D4" s="251"/>
      <c r="E4" s="252"/>
      <c r="F4" s="253"/>
      <c r="G4" s="253"/>
      <c r="H4" s="253"/>
      <c r="I4" s="253"/>
      <c r="J4" s="253"/>
      <c r="K4" s="253"/>
      <c r="L4" s="253"/>
      <c r="M4" s="253"/>
      <c r="N4" s="254"/>
      <c r="O4" s="254"/>
      <c r="P4" s="254"/>
      <c r="Q4" s="252"/>
      <c r="R4" s="252"/>
      <c r="S4" s="252"/>
      <c r="T4" s="253"/>
      <c r="U4" s="252"/>
      <c r="V4" s="252"/>
      <c r="W4" s="5371" t="s">
        <v>756</v>
      </c>
      <c r="X4" s="5372"/>
      <c r="Y4" s="5372"/>
      <c r="Z4" s="5372"/>
      <c r="AA4" s="5373"/>
      <c r="AB4" s="255"/>
      <c r="AC4" s="255"/>
      <c r="AD4" s="255"/>
      <c r="AE4" s="253"/>
      <c r="AF4" s="253"/>
      <c r="AG4" s="253"/>
      <c r="AH4" s="256"/>
    </row>
    <row r="5" spans="1:34" ht="15.75">
      <c r="A5" s="4286" t="s">
        <v>42</v>
      </c>
      <c r="B5" s="4286"/>
      <c r="C5" s="4389"/>
      <c r="D5" s="880"/>
      <c r="E5" s="655" t="s">
        <v>307</v>
      </c>
      <c r="F5" s="651" t="s">
        <v>163</v>
      </c>
      <c r="G5" s="4389" t="s">
        <v>307</v>
      </c>
      <c r="H5" s="4349"/>
      <c r="I5" s="4349"/>
      <c r="J5" s="4349"/>
      <c r="K5" s="4349"/>
      <c r="L5" s="4349"/>
      <c r="M5" s="4349"/>
      <c r="N5" s="4349"/>
      <c r="O5" s="4349"/>
      <c r="P5" s="4349"/>
      <c r="Q5" s="4349"/>
      <c r="R5" s="4350"/>
      <c r="S5" s="656"/>
      <c r="T5" s="881"/>
      <c r="U5" s="5380" t="s">
        <v>308</v>
      </c>
      <c r="V5" s="5381"/>
      <c r="W5" s="5381"/>
      <c r="X5" s="5381"/>
      <c r="Y5" s="5381"/>
      <c r="Z5" s="5381"/>
      <c r="AA5" s="5381"/>
      <c r="AB5" s="5381"/>
      <c r="AC5" s="5381"/>
      <c r="AD5" s="5381"/>
      <c r="AE5" s="5381"/>
      <c r="AF5" s="5381"/>
      <c r="AG5" s="5381"/>
      <c r="AH5" s="5382"/>
    </row>
    <row r="6" spans="1:34" ht="15.75">
      <c r="A6" s="4061" t="s">
        <v>165</v>
      </c>
      <c r="B6" s="4062"/>
      <c r="C6" s="4062"/>
      <c r="D6" s="836"/>
      <c r="E6" s="837"/>
      <c r="F6" s="837"/>
      <c r="G6" s="838"/>
      <c r="H6" s="838"/>
      <c r="I6" s="838"/>
      <c r="J6" s="838"/>
      <c r="K6" s="839"/>
      <c r="L6" s="840"/>
      <c r="M6" s="840"/>
      <c r="N6" s="840"/>
      <c r="O6" s="840"/>
      <c r="P6" s="840"/>
      <c r="Q6" s="840"/>
      <c r="R6" s="840"/>
      <c r="S6" s="840"/>
      <c r="T6" s="882" t="s">
        <v>163</v>
      </c>
      <c r="U6" s="841"/>
      <c r="V6" s="841"/>
      <c r="W6" s="842"/>
      <c r="X6" s="842" t="s">
        <v>312</v>
      </c>
      <c r="Y6" s="842"/>
      <c r="Z6" s="842"/>
      <c r="AA6" s="843"/>
      <c r="AB6" s="843"/>
      <c r="AC6" s="843"/>
      <c r="AD6" s="843"/>
      <c r="AE6" s="842"/>
      <c r="AF6" s="842"/>
      <c r="AG6" s="844" t="s">
        <v>312</v>
      </c>
      <c r="AH6" s="842"/>
    </row>
    <row r="7" spans="1:34">
      <c r="A7" s="4265" t="s">
        <v>262</v>
      </c>
      <c r="B7" s="4266"/>
      <c r="C7" s="4266"/>
      <c r="D7" s="546"/>
      <c r="E7" s="546"/>
      <c r="F7" s="658"/>
      <c r="G7" s="658"/>
      <c r="H7" s="658"/>
      <c r="I7" s="658"/>
      <c r="J7" s="658"/>
      <c r="K7" s="546"/>
      <c r="L7" s="546"/>
      <c r="M7" s="658"/>
      <c r="N7" s="658"/>
      <c r="O7" s="658"/>
      <c r="P7" s="543"/>
      <c r="Q7" s="658"/>
      <c r="R7" s="658"/>
      <c r="S7" s="658"/>
      <c r="T7" s="658"/>
      <c r="U7" s="831"/>
      <c r="V7" s="831"/>
      <c r="W7" s="831"/>
      <c r="X7" s="832"/>
      <c r="Y7" s="832"/>
      <c r="Z7" s="831"/>
      <c r="AA7" s="831"/>
      <c r="AB7" s="833"/>
      <c r="AC7" s="831"/>
      <c r="AD7" s="834"/>
      <c r="AE7" s="834"/>
      <c r="AF7" s="835"/>
      <c r="AG7" s="834"/>
      <c r="AH7" s="660"/>
    </row>
    <row r="8" spans="1:34">
      <c r="A8" s="4390" t="s">
        <v>49</v>
      </c>
      <c r="B8" s="4390"/>
      <c r="C8" s="4390"/>
      <c r="D8" s="545"/>
      <c r="E8" s="657"/>
      <c r="F8" s="5383" t="s">
        <v>362</v>
      </c>
      <c r="G8" s="5384"/>
      <c r="H8" s="5384"/>
      <c r="I8" s="5384"/>
      <c r="J8" s="5385"/>
      <c r="K8" s="527"/>
      <c r="L8" s="523"/>
      <c r="M8" s="4392" t="s">
        <v>308</v>
      </c>
      <c r="N8" s="4384"/>
      <c r="O8" s="4384"/>
      <c r="P8" s="4384"/>
      <c r="Q8" s="4384"/>
      <c r="R8" s="4384"/>
      <c r="S8" s="4384"/>
      <c r="T8" s="4384"/>
      <c r="U8" s="4384"/>
      <c r="V8" s="4384"/>
      <c r="W8" s="4384"/>
      <c r="X8" s="4384"/>
      <c r="Y8" s="4384"/>
      <c r="Z8" s="4384"/>
      <c r="AA8" s="4384"/>
      <c r="AB8" s="4384"/>
      <c r="AC8" s="4384"/>
      <c r="AD8" s="4384"/>
      <c r="AE8" s="4384"/>
      <c r="AF8" s="4384"/>
      <c r="AG8" s="4384"/>
      <c r="AH8" s="4385"/>
    </row>
    <row r="9" spans="1:34">
      <c r="A9" s="4391" t="s">
        <v>225</v>
      </c>
      <c r="B9" s="5368"/>
      <c r="C9" s="5368"/>
      <c r="D9" s="257"/>
      <c r="E9" s="619"/>
      <c r="F9" s="620"/>
      <c r="G9" s="44"/>
      <c r="H9" s="44"/>
      <c r="I9" s="532"/>
      <c r="J9" s="609"/>
      <c r="K9" s="609"/>
      <c r="L9" s="609"/>
      <c r="M9" s="609"/>
      <c r="N9" s="44"/>
      <c r="O9" s="44"/>
      <c r="P9" s="259"/>
      <c r="Q9" s="259"/>
      <c r="R9" s="259"/>
      <c r="S9" s="5339" t="s">
        <v>310</v>
      </c>
      <c r="T9" s="5340"/>
      <c r="U9" s="44"/>
      <c r="V9" s="44"/>
      <c r="W9" s="44"/>
      <c r="X9" s="532"/>
      <c r="Y9" s="532"/>
      <c r="Z9" s="44"/>
      <c r="AA9" s="260"/>
      <c r="AB9" s="260"/>
      <c r="AC9" s="260"/>
      <c r="AD9" s="260"/>
      <c r="AE9" s="44"/>
      <c r="AF9" s="5377" t="s">
        <v>757</v>
      </c>
      <c r="AG9" s="5378"/>
      <c r="AH9" s="5379"/>
    </row>
    <row r="10" spans="1:34">
      <c r="A10" s="4381" t="s">
        <v>272</v>
      </c>
      <c r="B10" s="4382"/>
      <c r="C10" s="5047"/>
      <c r="D10" s="618"/>
      <c r="E10" s="4337" t="s">
        <v>758</v>
      </c>
      <c r="F10" s="4337"/>
      <c r="G10" s="514"/>
      <c r="H10" s="523"/>
      <c r="I10" s="380"/>
      <c r="J10" s="380"/>
      <c r="K10" s="380"/>
      <c r="L10" s="380"/>
      <c r="M10" s="380"/>
      <c r="N10" s="527"/>
      <c r="O10" s="44"/>
      <c r="P10" s="736"/>
      <c r="Q10" s="736"/>
      <c r="R10" s="736"/>
      <c r="S10" s="736"/>
      <c r="T10" s="736"/>
      <c r="U10" s="44"/>
      <c r="V10" s="44"/>
      <c r="W10" s="523"/>
      <c r="X10" s="521" t="s">
        <v>312</v>
      </c>
      <c r="Y10" s="521"/>
      <c r="Z10" s="527"/>
      <c r="AA10" s="260"/>
      <c r="AB10" s="260"/>
      <c r="AC10" s="260"/>
      <c r="AD10" s="260"/>
      <c r="AE10" s="44"/>
      <c r="AF10" s="44"/>
      <c r="AG10" s="830" t="s">
        <v>312</v>
      </c>
      <c r="AH10" s="520"/>
    </row>
    <row r="11" spans="1:34" ht="15" customHeight="1">
      <c r="A11" s="4380" t="s">
        <v>265</v>
      </c>
      <c r="B11" s="4532"/>
      <c r="C11" s="4532"/>
      <c r="D11" s="515"/>
      <c r="E11" s="532"/>
      <c r="F11" s="44"/>
      <c r="G11" s="24"/>
      <c r="H11" s="24"/>
      <c r="I11" s="258"/>
      <c r="J11" s="258"/>
      <c r="K11" s="258"/>
      <c r="L11" s="258"/>
      <c r="M11" s="258"/>
      <c r="N11" s="18"/>
      <c r="O11" s="524"/>
      <c r="P11" s="2"/>
      <c r="Q11" s="2"/>
      <c r="R11" s="738"/>
      <c r="S11" s="741"/>
      <c r="T11" s="741"/>
      <c r="U11" s="739"/>
      <c r="V11" s="18"/>
      <c r="W11" s="5369" t="s">
        <v>759</v>
      </c>
      <c r="X11" s="5370"/>
      <c r="Y11" s="24"/>
      <c r="Z11" s="514"/>
      <c r="AA11" s="17"/>
      <c r="AB11" s="17"/>
      <c r="AC11" s="17"/>
      <c r="AD11" s="17"/>
      <c r="AE11" s="744" t="s">
        <v>760</v>
      </c>
      <c r="AF11" s="519"/>
      <c r="AG11" s="24"/>
      <c r="AH11" s="45"/>
    </row>
    <row r="12" spans="1:34" ht="15.75">
      <c r="A12" s="4263" t="s">
        <v>60</v>
      </c>
      <c r="B12" s="4264"/>
      <c r="C12" s="5374"/>
      <c r="D12" s="380" t="s">
        <v>313</v>
      </c>
      <c r="E12" s="380"/>
      <c r="F12" s="514"/>
      <c r="G12" s="23"/>
      <c r="H12" s="23"/>
      <c r="I12" s="23"/>
      <c r="J12" s="23"/>
      <c r="K12" s="23"/>
      <c r="L12" s="23"/>
      <c r="M12" s="23"/>
      <c r="N12" s="23"/>
      <c r="O12" s="23"/>
      <c r="P12" s="5375" t="s">
        <v>761</v>
      </c>
      <c r="Q12" s="5376"/>
      <c r="R12" s="737"/>
      <c r="S12" s="44"/>
      <c r="T12" s="740"/>
      <c r="U12" s="20"/>
      <c r="V12" s="24"/>
      <c r="W12" s="525"/>
      <c r="X12" s="46"/>
      <c r="Y12" s="24"/>
      <c r="Z12" s="743"/>
      <c r="AA12" s="24"/>
      <c r="AB12" s="24"/>
      <c r="AC12" s="24"/>
      <c r="AD12" s="24"/>
      <c r="AE12" s="24"/>
      <c r="AF12" s="24"/>
      <c r="AG12" s="24"/>
      <c r="AH12" s="45"/>
    </row>
    <row r="13" spans="1:34" ht="15.75">
      <c r="A13" s="4260" t="s">
        <v>315</v>
      </c>
      <c r="B13" s="4260"/>
      <c r="C13" s="4260"/>
      <c r="D13" s="516"/>
      <c r="E13" s="517"/>
      <c r="F13" s="58"/>
      <c r="G13" s="2"/>
      <c r="H13" s="24"/>
      <c r="I13" s="24"/>
      <c r="J13" s="24"/>
      <c r="K13" s="24"/>
      <c r="L13" s="23"/>
      <c r="M13" s="23"/>
      <c r="N13" s="24"/>
      <c r="O13" s="525"/>
      <c r="P13" s="380"/>
      <c r="Q13" s="380"/>
      <c r="R13" s="514"/>
      <c r="S13" s="24"/>
      <c r="T13" s="24"/>
      <c r="U13" s="24"/>
      <c r="V13" s="24"/>
      <c r="W13" s="525"/>
      <c r="X13" s="47"/>
      <c r="Y13" s="742"/>
      <c r="Z13" s="380"/>
      <c r="AA13" s="513"/>
      <c r="AB13" s="48"/>
      <c r="AC13" s="48"/>
      <c r="AD13" s="4427" t="s">
        <v>762</v>
      </c>
      <c r="AE13" s="4428"/>
      <c r="AF13" s="47"/>
      <c r="AG13" s="47"/>
      <c r="AH13" s="49"/>
    </row>
    <row r="14" spans="1:34" ht="15.75" customHeight="1">
      <c r="A14" s="4623" t="s">
        <v>63</v>
      </c>
      <c r="B14" s="4623"/>
      <c r="C14" s="4766"/>
      <c r="D14" s="726" t="s">
        <v>227</v>
      </c>
      <c r="E14" s="24"/>
      <c r="F14" s="48"/>
      <c r="G14" s="2"/>
      <c r="H14" s="24"/>
      <c r="I14" s="24"/>
      <c r="J14" s="24"/>
      <c r="K14" s="24"/>
      <c r="L14" s="24"/>
      <c r="M14" s="24"/>
      <c r="N14" s="24"/>
      <c r="O14" s="24"/>
      <c r="P14" s="44"/>
      <c r="Q14" s="44"/>
      <c r="R14" s="24"/>
      <c r="S14" s="24"/>
      <c r="T14" s="24"/>
      <c r="U14" s="50"/>
      <c r="V14" s="50"/>
      <c r="W14" s="773"/>
      <c r="X14" s="774"/>
      <c r="Y14" s="774"/>
      <c r="Z14" s="735"/>
      <c r="AA14" s="47"/>
      <c r="AB14" s="47"/>
      <c r="AC14" s="47"/>
      <c r="AD14" s="47"/>
      <c r="AE14" s="47"/>
      <c r="AF14" s="47"/>
      <c r="AG14" s="47"/>
      <c r="AH14" s="745" t="s">
        <v>763</v>
      </c>
    </row>
    <row r="15" spans="1:34">
      <c r="A15" s="5366" t="s">
        <v>317</v>
      </c>
      <c r="B15" s="5366"/>
      <c r="C15" s="5367"/>
      <c r="D15" s="51"/>
      <c r="E15" s="25"/>
      <c r="F15" s="25"/>
      <c r="G15" s="265"/>
      <c r="H15" s="265"/>
      <c r="I15" s="4314" t="s">
        <v>318</v>
      </c>
      <c r="J15" s="4314"/>
      <c r="K15" s="4314"/>
      <c r="L15" s="4314"/>
      <c r="M15" s="4314"/>
      <c r="N15" s="265"/>
      <c r="O15" s="265"/>
      <c r="P15" s="265"/>
      <c r="Q15" s="265"/>
      <c r="R15" s="26"/>
      <c r="S15" s="26"/>
      <c r="T15" s="26"/>
      <c r="U15" s="26"/>
      <c r="V15" s="26"/>
      <c r="W15" s="526"/>
      <c r="X15" s="22"/>
      <c r="Y15" s="526"/>
      <c r="Z15" s="528"/>
      <c r="AA15" s="249"/>
      <c r="AB15" s="249"/>
      <c r="AC15" s="249"/>
      <c r="AD15" s="249"/>
      <c r="AE15" s="249"/>
      <c r="AF15" s="249"/>
      <c r="AG15" s="249"/>
      <c r="AH15" s="250"/>
    </row>
    <row r="16" spans="1:34">
      <c r="A16" s="4405" t="s">
        <v>179</v>
      </c>
      <c r="B16" s="4529"/>
      <c r="C16" s="4530"/>
      <c r="D16" s="42"/>
      <c r="E16" s="43"/>
      <c r="F16" s="43"/>
      <c r="G16" s="43"/>
      <c r="H16" s="43"/>
      <c r="I16" s="424" t="s">
        <v>319</v>
      </c>
      <c r="J16" s="425"/>
      <c r="K16" s="42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523"/>
      <c r="X16" s="775"/>
      <c r="Y16" s="775"/>
      <c r="Z16" s="529"/>
      <c r="AA16" s="261"/>
      <c r="AB16" s="261"/>
      <c r="AC16" s="262"/>
      <c r="AD16" s="261"/>
      <c r="AE16" s="261"/>
      <c r="AF16" s="261"/>
      <c r="AG16" s="261"/>
      <c r="AH16" s="263"/>
    </row>
    <row r="17" spans="1:34">
      <c r="A17" s="4399" t="s">
        <v>26</v>
      </c>
      <c r="B17" s="4316"/>
      <c r="C17" s="4531"/>
      <c r="D17" s="52"/>
      <c r="E17" s="21"/>
      <c r="F17" s="21"/>
      <c r="G17" s="21"/>
      <c r="H17" s="21"/>
      <c r="I17" s="24" t="s">
        <v>320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525"/>
      <c r="X17" s="24"/>
      <c r="Y17" s="17"/>
      <c r="Z17" s="530"/>
      <c r="AA17" s="17"/>
      <c r="AB17" s="17"/>
      <c r="AC17" s="53"/>
      <c r="AD17" s="5349" t="s">
        <v>321</v>
      </c>
      <c r="AE17" s="5350"/>
      <c r="AF17" s="5350"/>
      <c r="AG17" s="5350"/>
      <c r="AH17" s="5351"/>
    </row>
    <row r="18" spans="1:34">
      <c r="A18" s="4408" t="s">
        <v>322</v>
      </c>
      <c r="B18" s="4536"/>
      <c r="C18" s="4536"/>
      <c r="D18" s="52"/>
      <c r="E18" s="21"/>
      <c r="F18" s="52"/>
      <c r="G18" s="52"/>
      <c r="H18" s="21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525"/>
      <c r="X18" s="249"/>
      <c r="Y18" s="249"/>
      <c r="Z18" s="530"/>
      <c r="AA18" s="17"/>
      <c r="AB18" s="17"/>
      <c r="AC18" s="53"/>
      <c r="AD18" s="17"/>
      <c r="AE18" s="17"/>
      <c r="AF18" s="17"/>
      <c r="AG18" s="17"/>
      <c r="AH18" s="54"/>
    </row>
    <row r="19" spans="1:34" ht="15.75">
      <c r="A19" s="4356" t="s">
        <v>64</v>
      </c>
      <c r="B19" s="4626"/>
      <c r="C19" s="4602"/>
      <c r="D19" s="52"/>
      <c r="E19" s="21"/>
      <c r="F19" s="21"/>
      <c r="G19" s="55"/>
      <c r="H19" s="55"/>
      <c r="I19" s="22"/>
      <c r="J19" s="22"/>
      <c r="K19" s="22"/>
      <c r="L19" s="22"/>
      <c r="M19" s="22"/>
      <c r="N19" s="26"/>
      <c r="O19" s="26"/>
      <c r="P19" s="26"/>
      <c r="Q19" s="26"/>
      <c r="R19" s="26"/>
      <c r="S19" s="26"/>
      <c r="T19" s="26"/>
      <c r="U19" s="26"/>
      <c r="V19" s="610" t="s">
        <v>55</v>
      </c>
      <c r="W19" s="4357" t="s">
        <v>764</v>
      </c>
      <c r="X19" s="4603"/>
      <c r="Y19" s="4603"/>
      <c r="Z19" s="4603"/>
      <c r="AA19" s="4509"/>
      <c r="AB19" s="610" t="s">
        <v>55</v>
      </c>
      <c r="AC19" s="22"/>
      <c r="AD19" s="22"/>
      <c r="AE19" s="22"/>
      <c r="AF19" s="22"/>
      <c r="AG19" s="22"/>
      <c r="AH19" s="264"/>
    </row>
    <row r="20" spans="1:34" ht="15" customHeight="1">
      <c r="A20" s="27" t="s">
        <v>66</v>
      </c>
      <c r="B20" s="28" t="s">
        <v>67</v>
      </c>
      <c r="C20" s="32" t="s">
        <v>68</v>
      </c>
      <c r="D20" s="623"/>
      <c r="E20" s="623"/>
      <c r="F20" s="623"/>
      <c r="G20" s="623"/>
      <c r="H20" s="623"/>
      <c r="I20" s="623"/>
      <c r="J20" s="600"/>
      <c r="K20" s="622"/>
      <c r="L20" s="622"/>
      <c r="M20" s="624"/>
      <c r="N20" s="593"/>
      <c r="O20" s="627"/>
      <c r="P20" s="627"/>
      <c r="Q20" s="627"/>
      <c r="R20" s="610" t="s">
        <v>55</v>
      </c>
      <c r="S20" s="5339" t="s">
        <v>310</v>
      </c>
      <c r="T20" s="5340"/>
      <c r="U20" s="574" t="s">
        <v>55</v>
      </c>
      <c r="V20" s="600"/>
      <c r="W20" s="626"/>
      <c r="X20" s="776"/>
      <c r="Y20" s="776"/>
      <c r="Z20" s="531"/>
      <c r="AA20" s="268"/>
      <c r="AB20" s="268"/>
      <c r="AC20" s="267"/>
      <c r="AD20" s="587" t="s">
        <v>163</v>
      </c>
      <c r="AE20" s="267"/>
      <c r="AF20" s="267"/>
      <c r="AG20" s="267"/>
      <c r="AH20" s="269"/>
    </row>
    <row r="21" spans="1:34" ht="15" customHeight="1">
      <c r="A21" s="28" t="s">
        <v>73</v>
      </c>
      <c r="B21" s="28" t="s">
        <v>67</v>
      </c>
      <c r="C21" s="32" t="s">
        <v>74</v>
      </c>
      <c r="D21" s="64"/>
      <c r="E21" s="593"/>
      <c r="F21" s="593"/>
      <c r="G21" s="593"/>
      <c r="H21" s="593"/>
      <c r="I21" s="769" t="s">
        <v>765</v>
      </c>
      <c r="J21" s="603"/>
      <c r="K21" s="603"/>
      <c r="L21" s="603"/>
      <c r="M21" s="769" t="s">
        <v>765</v>
      </c>
      <c r="N21" s="627"/>
      <c r="O21" s="26"/>
      <c r="P21" s="26"/>
      <c r="Q21" s="26"/>
      <c r="R21" s="26"/>
      <c r="S21" s="26"/>
      <c r="T21" s="26"/>
      <c r="U21" s="26"/>
      <c r="V21" s="610" t="s">
        <v>55</v>
      </c>
      <c r="W21" s="4357" t="s">
        <v>764</v>
      </c>
      <c r="X21" s="4603"/>
      <c r="Y21" s="4603"/>
      <c r="Z21" s="4603"/>
      <c r="AA21" s="4509"/>
      <c r="AB21" s="610" t="s">
        <v>55</v>
      </c>
      <c r="AC21" s="56"/>
      <c r="AD21" s="587" t="s">
        <v>163</v>
      </c>
      <c r="AE21" s="56"/>
      <c r="AF21" s="746"/>
      <c r="AG21" s="5346"/>
      <c r="AH21" s="5347"/>
    </row>
    <row r="22" spans="1:34" ht="15" customHeight="1">
      <c r="A22" s="29" t="s">
        <v>76</v>
      </c>
      <c r="B22" s="29" t="s">
        <v>100</v>
      </c>
      <c r="C22" s="39" t="s">
        <v>78</v>
      </c>
      <c r="D22" s="621" t="s">
        <v>55</v>
      </c>
      <c r="E22" s="4297" t="s">
        <v>758</v>
      </c>
      <c r="F22" s="4297"/>
      <c r="G22" s="610" t="s">
        <v>55</v>
      </c>
      <c r="H22" s="593"/>
      <c r="I22" s="4294" t="s">
        <v>318</v>
      </c>
      <c r="J22" s="4294"/>
      <c r="K22" s="4294"/>
      <c r="L22" s="4294"/>
      <c r="M22" s="4294"/>
      <c r="N22" s="627"/>
      <c r="O22" s="610" t="s">
        <v>55</v>
      </c>
      <c r="P22" s="5342" t="s">
        <v>761</v>
      </c>
      <c r="Q22" s="5343"/>
      <c r="R22" s="610" t="s">
        <v>55</v>
      </c>
      <c r="S22" s="612"/>
      <c r="T22" s="5363" t="s">
        <v>766</v>
      </c>
      <c r="U22" s="5364"/>
      <c r="V22" s="5364"/>
      <c r="W22" s="5364"/>
      <c r="X22" s="5364"/>
      <c r="Y22" s="5364"/>
      <c r="Z22" s="5364"/>
      <c r="AA22" s="5364"/>
      <c r="AB22" s="5364"/>
      <c r="AC22" s="5364"/>
      <c r="AD22" s="5364"/>
      <c r="AE22" s="5364"/>
      <c r="AF22" s="5364"/>
      <c r="AG22" s="5364"/>
      <c r="AH22" s="5365"/>
    </row>
    <row r="23" spans="1:34" ht="15.75">
      <c r="A23" s="29" t="s">
        <v>80</v>
      </c>
      <c r="B23" s="29" t="s">
        <v>81</v>
      </c>
      <c r="C23" s="39" t="s">
        <v>82</v>
      </c>
      <c r="D23" s="64"/>
      <c r="E23" s="593"/>
      <c r="F23" s="593"/>
      <c r="G23" s="593"/>
      <c r="H23" s="593"/>
      <c r="I23" s="603"/>
      <c r="J23" s="603"/>
      <c r="K23" s="593"/>
      <c r="L23" s="593"/>
      <c r="M23" s="599"/>
      <c r="N23" s="593"/>
      <c r="O23" s="593"/>
      <c r="P23" s="627"/>
      <c r="Q23" s="627"/>
      <c r="R23" s="610" t="s">
        <v>55</v>
      </c>
      <c r="S23" s="5339" t="s">
        <v>310</v>
      </c>
      <c r="T23" s="5340"/>
      <c r="U23" s="771" t="s">
        <v>55</v>
      </c>
      <c r="V23" s="627"/>
      <c r="W23" s="772"/>
      <c r="X23" s="56"/>
      <c r="Y23" s="56"/>
      <c r="Z23" s="518"/>
      <c r="AA23" s="56"/>
      <c r="AB23" s="56"/>
      <c r="AC23" s="56"/>
      <c r="AD23" s="56"/>
      <c r="AE23" s="56"/>
      <c r="AF23" s="56"/>
      <c r="AG23" s="56"/>
      <c r="AH23" s="63"/>
    </row>
    <row r="24" spans="1:34">
      <c r="A24" s="4540" t="s">
        <v>84</v>
      </c>
      <c r="B24" s="31" t="s">
        <v>85</v>
      </c>
      <c r="C24" s="812" t="s">
        <v>86</v>
      </c>
      <c r="D24" s="518"/>
      <c r="E24" s="593"/>
      <c r="F24" s="593"/>
      <c r="G24" s="593"/>
      <c r="H24" s="593"/>
      <c r="I24" s="593"/>
      <c r="J24" s="593"/>
      <c r="K24" s="593"/>
      <c r="L24" s="593"/>
      <c r="M24" s="593"/>
      <c r="N24" s="600"/>
      <c r="O24" s="600"/>
      <c r="P24" s="600"/>
      <c r="Q24" s="600"/>
      <c r="R24" s="600"/>
      <c r="S24" s="593"/>
      <c r="T24" s="593"/>
      <c r="U24" s="593"/>
      <c r="V24" s="600"/>
      <c r="W24" s="599"/>
      <c r="X24" s="56"/>
      <c r="Y24" s="56"/>
      <c r="Z24" s="518"/>
      <c r="AA24" s="56"/>
      <c r="AB24" s="56"/>
      <c r="AC24" s="56"/>
      <c r="AD24" s="56"/>
      <c r="AE24" s="56"/>
      <c r="AF24" s="56"/>
      <c r="AG24" s="56"/>
      <c r="AH24" s="63"/>
    </row>
    <row r="25" spans="1:34">
      <c r="A25" s="4541"/>
      <c r="B25" s="32" t="s">
        <v>87</v>
      </c>
      <c r="C25" s="813" t="s">
        <v>88</v>
      </c>
      <c r="D25" s="815"/>
      <c r="E25" s="601"/>
      <c r="F25" s="601"/>
      <c r="G25" s="601"/>
      <c r="H25" s="601"/>
      <c r="I25" s="601"/>
      <c r="J25" s="601"/>
      <c r="K25" s="601"/>
      <c r="L25" s="601"/>
      <c r="M25" s="601"/>
      <c r="N25" s="601"/>
      <c r="O25" s="601"/>
      <c r="P25" s="601"/>
      <c r="Q25" s="601"/>
      <c r="R25" s="601"/>
      <c r="S25" s="601"/>
      <c r="T25" s="601"/>
      <c r="U25" s="601"/>
      <c r="V25" s="601"/>
      <c r="W25" s="599"/>
      <c r="X25" s="56"/>
      <c r="Y25" s="56"/>
      <c r="Z25" s="518"/>
      <c r="AA25" s="56"/>
      <c r="AB25" s="816"/>
      <c r="AC25" s="816"/>
      <c r="AD25" s="816"/>
      <c r="AE25" s="816"/>
      <c r="AF25" s="816"/>
      <c r="AG25" s="816"/>
      <c r="AH25" s="817"/>
    </row>
    <row r="26" spans="1:34">
      <c r="A26" s="4542"/>
      <c r="B26" s="33" t="s">
        <v>90</v>
      </c>
      <c r="C26" s="814" t="s">
        <v>91</v>
      </c>
      <c r="D26" s="5353" t="s">
        <v>280</v>
      </c>
      <c r="E26" s="5353"/>
      <c r="F26" s="5353"/>
      <c r="G26" s="5353"/>
      <c r="H26" s="5353"/>
      <c r="I26" s="5353"/>
      <c r="J26" s="5353"/>
      <c r="K26" s="5353"/>
      <c r="L26" s="5353"/>
      <c r="M26" s="5353"/>
      <c r="N26" s="5353"/>
      <c r="O26" s="5354"/>
      <c r="P26" s="518"/>
      <c r="Q26" s="56"/>
      <c r="R26" s="56"/>
      <c r="S26" s="56"/>
      <c r="T26" s="56"/>
      <c r="U26" s="56"/>
      <c r="V26" s="56"/>
      <c r="W26" s="772"/>
      <c r="X26" s="56"/>
      <c r="Y26" s="56"/>
      <c r="Z26" s="518"/>
      <c r="AA26" s="522"/>
      <c r="AB26" s="56"/>
      <c r="AC26" s="56"/>
      <c r="AD26" s="56"/>
      <c r="AE26" s="56"/>
      <c r="AF26" s="56"/>
      <c r="AG26" s="56"/>
      <c r="AH26" s="56"/>
    </row>
    <row r="27" spans="1:34" ht="15.75" customHeight="1">
      <c r="A27" s="4540" t="s">
        <v>92</v>
      </c>
      <c r="B27" s="244" t="s">
        <v>95</v>
      </c>
      <c r="C27" s="9" t="s">
        <v>243</v>
      </c>
      <c r="D27" s="810" t="s">
        <v>55</v>
      </c>
      <c r="E27" s="5360" t="s">
        <v>758</v>
      </c>
      <c r="F27" s="5360"/>
      <c r="G27" s="811" t="s">
        <v>55</v>
      </c>
      <c r="H27" s="600"/>
      <c r="I27" s="4505" t="s">
        <v>318</v>
      </c>
      <c r="J27" s="4505"/>
      <c r="K27" s="4505"/>
      <c r="L27" s="4505"/>
      <c r="M27" s="4505"/>
      <c r="N27" s="622"/>
      <c r="O27" s="622"/>
      <c r="P27" s="622"/>
      <c r="Q27" s="622"/>
      <c r="R27" s="809" t="s">
        <v>55</v>
      </c>
      <c r="S27" s="5361" t="s">
        <v>310</v>
      </c>
      <c r="T27" s="5362"/>
      <c r="U27" s="809" t="s">
        <v>55</v>
      </c>
      <c r="V27" s="622"/>
      <c r="W27" s="628"/>
      <c r="X27" s="56"/>
      <c r="Y27" s="56"/>
      <c r="Z27" s="518"/>
      <c r="AA27" s="56"/>
      <c r="AB27" s="266"/>
      <c r="AC27" s="266"/>
      <c r="AD27" s="266"/>
      <c r="AE27" s="266"/>
      <c r="AF27" s="266"/>
      <c r="AG27" s="266"/>
      <c r="AH27" s="818"/>
    </row>
    <row r="28" spans="1:34" ht="15.75" customHeight="1">
      <c r="A28" s="4553"/>
      <c r="B28" s="245" t="s">
        <v>97</v>
      </c>
      <c r="C28" s="16" t="s">
        <v>98</v>
      </c>
      <c r="D28" s="65"/>
      <c r="E28" s="594"/>
      <c r="F28" s="594"/>
      <c r="G28" s="593"/>
      <c r="H28" s="593"/>
      <c r="I28" s="593"/>
      <c r="J28" s="593"/>
      <c r="K28" s="593"/>
      <c r="L28" s="593"/>
      <c r="M28" s="599"/>
      <c r="N28" s="593"/>
      <c r="O28" s="610" t="s">
        <v>55</v>
      </c>
      <c r="P28" s="5342" t="s">
        <v>761</v>
      </c>
      <c r="Q28" s="5343"/>
      <c r="R28" s="610" t="s">
        <v>55</v>
      </c>
      <c r="S28" s="593"/>
      <c r="T28" s="593"/>
      <c r="U28" s="593"/>
      <c r="V28" s="593"/>
      <c r="W28" s="593"/>
      <c r="X28" s="518"/>
      <c r="Y28" s="56"/>
      <c r="Z28" s="518"/>
      <c r="AA28" s="56"/>
      <c r="AB28" s="56"/>
      <c r="AC28" s="56"/>
      <c r="AD28" s="56"/>
      <c r="AE28" s="56"/>
      <c r="AF28" s="56"/>
      <c r="AG28" s="56"/>
      <c r="AH28" s="63"/>
    </row>
    <row r="29" spans="1:34" ht="15.75">
      <c r="A29" s="4554" t="s">
        <v>99</v>
      </c>
      <c r="B29" s="31" t="s">
        <v>100</v>
      </c>
      <c r="C29" s="35" t="s">
        <v>101</v>
      </c>
      <c r="D29" s="65"/>
      <c r="E29" s="594"/>
      <c r="F29" s="594"/>
      <c r="G29" s="594"/>
      <c r="H29" s="594"/>
      <c r="I29" s="594"/>
      <c r="J29" s="593"/>
      <c r="K29" s="593"/>
      <c r="L29" s="593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20" t="s">
        <v>312</v>
      </c>
      <c r="Y29" s="521"/>
      <c r="Z29" s="518"/>
      <c r="AA29" s="56"/>
      <c r="AB29" s="56"/>
      <c r="AC29" s="56"/>
      <c r="AD29" s="56"/>
      <c r="AE29" s="56"/>
      <c r="AF29" s="746"/>
      <c r="AG29" s="5346"/>
      <c r="AH29" s="5347"/>
    </row>
    <row r="30" spans="1:34" ht="15.75">
      <c r="A30" s="4555"/>
      <c r="B30" s="32" t="s">
        <v>77</v>
      </c>
      <c r="C30" s="32" t="s">
        <v>102</v>
      </c>
      <c r="D30" s="65"/>
      <c r="E30" s="594"/>
      <c r="F30" s="594"/>
      <c r="G30" s="594"/>
      <c r="H30" s="594"/>
      <c r="I30" s="594"/>
      <c r="J30" s="594"/>
      <c r="K30" s="594"/>
      <c r="L30" s="593"/>
      <c r="M30" s="599"/>
      <c r="N30" s="593"/>
      <c r="O30" s="593"/>
      <c r="P30" s="593"/>
      <c r="Q30" s="593"/>
      <c r="R30" s="593"/>
      <c r="S30" s="593"/>
      <c r="T30" s="593"/>
      <c r="U30" s="593"/>
      <c r="V30" s="610" t="s">
        <v>55</v>
      </c>
      <c r="W30" s="4537" t="s">
        <v>764</v>
      </c>
      <c r="X30" s="4538"/>
      <c r="Y30" s="4538"/>
      <c r="Z30" s="4538"/>
      <c r="AA30" s="5358"/>
      <c r="AB30" s="610" t="s">
        <v>55</v>
      </c>
      <c r="AC30" s="56"/>
      <c r="AD30" s="56"/>
      <c r="AE30" s="56"/>
      <c r="AF30" s="56"/>
      <c r="AG30" s="56"/>
      <c r="AH30" s="63"/>
    </row>
    <row r="31" spans="1:34">
      <c r="A31" s="4555"/>
      <c r="B31" s="32" t="s">
        <v>95</v>
      </c>
      <c r="C31" s="32" t="s">
        <v>245</v>
      </c>
      <c r="D31" s="65"/>
      <c r="E31" s="594"/>
      <c r="F31" s="594"/>
      <c r="G31" s="594"/>
      <c r="H31" s="594"/>
      <c r="I31" s="874"/>
      <c r="J31" s="594"/>
      <c r="K31" s="594"/>
      <c r="L31" s="593"/>
      <c r="M31" s="599"/>
      <c r="N31" s="599"/>
      <c r="O31" s="599"/>
      <c r="P31" s="883"/>
      <c r="Q31" s="883"/>
      <c r="R31" s="883"/>
      <c r="S31" s="883"/>
      <c r="T31" s="883"/>
      <c r="U31" s="593"/>
      <c r="V31" s="593"/>
      <c r="W31" s="883"/>
      <c r="X31" s="883"/>
      <c r="Y31" s="883"/>
      <c r="Z31" s="883"/>
      <c r="AA31" s="883"/>
      <c r="AB31" s="518"/>
      <c r="AC31" s="56"/>
      <c r="AD31" s="56"/>
      <c r="AE31" s="56"/>
      <c r="AF31" s="56"/>
      <c r="AG31" s="56"/>
      <c r="AH31" s="63"/>
    </row>
    <row r="32" spans="1:34" ht="15.75">
      <c r="A32" s="4555"/>
      <c r="B32" s="32" t="s">
        <v>95</v>
      </c>
      <c r="C32" s="32" t="s">
        <v>105</v>
      </c>
      <c r="D32" s="65"/>
      <c r="E32" s="594"/>
      <c r="F32" s="594"/>
      <c r="G32" s="593"/>
      <c r="H32" s="593"/>
      <c r="I32" s="3596" t="s">
        <v>319</v>
      </c>
      <c r="J32" s="593"/>
      <c r="K32" s="593"/>
      <c r="L32" s="593"/>
      <c r="M32" s="599"/>
      <c r="N32" s="599"/>
      <c r="O32" s="599"/>
      <c r="P32" s="599"/>
      <c r="Q32" s="599"/>
      <c r="R32" s="599"/>
      <c r="S32" s="599"/>
      <c r="T32" s="599"/>
      <c r="U32" s="599"/>
      <c r="V32" s="610" t="s">
        <v>55</v>
      </c>
      <c r="W32" s="4570" t="s">
        <v>764</v>
      </c>
      <c r="X32" s="5359"/>
      <c r="Y32" s="5359"/>
      <c r="Z32" s="5359"/>
      <c r="AA32" s="4571"/>
      <c r="AB32" s="610" t="s">
        <v>55</v>
      </c>
      <c r="AC32" s="56"/>
      <c r="AD32" s="56"/>
      <c r="AE32" s="56"/>
      <c r="AF32" s="56"/>
      <c r="AG32" s="56"/>
      <c r="AH32" s="63"/>
    </row>
    <row r="33" spans="1:34" ht="15.75">
      <c r="A33" s="4555"/>
      <c r="B33" s="32" t="s">
        <v>106</v>
      </c>
      <c r="C33" s="32" t="s">
        <v>107</v>
      </c>
      <c r="D33" s="65"/>
      <c r="E33" s="594"/>
      <c r="F33" s="594"/>
      <c r="G33" s="56"/>
      <c r="H33" s="56"/>
      <c r="I33" s="59"/>
      <c r="J33" s="59"/>
      <c r="K33" s="59"/>
      <c r="L33" s="56"/>
      <c r="M33" s="56"/>
      <c r="N33" s="266"/>
      <c r="O33" s="266"/>
      <c r="P33" s="266"/>
      <c r="Q33" s="266"/>
      <c r="R33" s="266"/>
      <c r="S33" s="266"/>
      <c r="T33" s="266"/>
      <c r="U33" s="266"/>
      <c r="V33" s="610" t="s">
        <v>55</v>
      </c>
      <c r="W33" s="4357" t="s">
        <v>764</v>
      </c>
      <c r="X33" s="4603"/>
      <c r="Y33" s="4603"/>
      <c r="Z33" s="4603"/>
      <c r="AA33" s="4509"/>
      <c r="AB33" s="610" t="s">
        <v>55</v>
      </c>
      <c r="AC33" s="56"/>
      <c r="AD33" s="56"/>
      <c r="AE33" s="56"/>
      <c r="AF33" s="56"/>
      <c r="AG33" s="56"/>
      <c r="AH33" s="63"/>
    </row>
    <row r="34" spans="1:34" ht="15.75">
      <c r="A34" s="4556"/>
      <c r="B34" s="33" t="s">
        <v>108</v>
      </c>
      <c r="C34" s="33" t="s">
        <v>109</v>
      </c>
      <c r="D34" s="65"/>
      <c r="E34" s="594"/>
      <c r="F34" s="594"/>
      <c r="G34" s="57"/>
      <c r="H34" s="57"/>
      <c r="I34" s="57"/>
      <c r="J34" s="57"/>
      <c r="K34" s="57"/>
      <c r="L34" s="56"/>
      <c r="M34" s="56"/>
      <c r="N34" s="56"/>
      <c r="O34" s="56"/>
      <c r="P34" s="60"/>
      <c r="Q34" s="60"/>
      <c r="R34" s="60"/>
      <c r="S34" s="60"/>
      <c r="T34" s="60"/>
      <c r="U34" s="56"/>
      <c r="V34" s="574" t="s">
        <v>55</v>
      </c>
      <c r="W34" s="5336" t="s">
        <v>759</v>
      </c>
      <c r="X34" s="5337"/>
      <c r="Y34" s="574" t="s">
        <v>55</v>
      </c>
      <c r="Z34" s="518"/>
      <c r="AA34" s="56"/>
      <c r="AB34" s="56"/>
      <c r="AC34" s="56"/>
      <c r="AD34" s="56"/>
      <c r="AE34" s="56"/>
      <c r="AF34" s="56"/>
      <c r="AG34" s="56"/>
      <c r="AH34" s="63"/>
    </row>
    <row r="35" spans="1:34" ht="15.75">
      <c r="A35" s="5355" t="s">
        <v>110</v>
      </c>
      <c r="B35" s="213" t="s">
        <v>283</v>
      </c>
      <c r="C35" s="214" t="s">
        <v>201</v>
      </c>
      <c r="D35" s="65"/>
      <c r="E35" s="4389" t="s">
        <v>767</v>
      </c>
      <c r="F35" s="4349"/>
      <c r="G35" s="4349"/>
      <c r="H35" s="4349"/>
      <c r="I35" s="4349"/>
      <c r="J35" s="4349"/>
      <c r="K35" s="4349"/>
      <c r="L35" s="4349"/>
      <c r="M35" s="4349"/>
      <c r="N35" s="4349"/>
      <c r="O35" s="4349"/>
      <c r="P35" s="4349"/>
      <c r="Q35" s="4349"/>
      <c r="R35" s="4350"/>
      <c r="S35" s="60"/>
      <c r="T35" s="60"/>
      <c r="U35" s="56"/>
      <c r="V35" s="56"/>
      <c r="W35" s="522"/>
      <c r="X35" s="56"/>
      <c r="Y35" s="56"/>
      <c r="Z35" s="518"/>
      <c r="AA35" s="56"/>
      <c r="AB35" s="56"/>
      <c r="AC35" s="56"/>
      <c r="AD35" s="56"/>
      <c r="AE35" s="56"/>
      <c r="AF35" s="56"/>
      <c r="AG35" s="56"/>
      <c r="AH35" s="63"/>
    </row>
    <row r="36" spans="1:34" ht="15.75">
      <c r="A36" s="5356"/>
      <c r="B36" s="213" t="s">
        <v>95</v>
      </c>
      <c r="C36" s="86" t="s">
        <v>249</v>
      </c>
      <c r="D36" s="64"/>
      <c r="E36" s="56"/>
      <c r="F36" s="4885" t="s">
        <v>450</v>
      </c>
      <c r="G36" s="4886"/>
      <c r="H36" s="4886"/>
      <c r="I36" s="4886"/>
      <c r="J36" s="5348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22"/>
      <c r="X36" s="56"/>
      <c r="Y36" s="56"/>
      <c r="Z36" s="518"/>
      <c r="AA36" s="56"/>
      <c r="AB36" s="56"/>
      <c r="AC36" s="56"/>
      <c r="AD36" s="56"/>
      <c r="AE36" s="56"/>
      <c r="AF36" s="56"/>
      <c r="AG36" s="56"/>
      <c r="AH36" s="63"/>
    </row>
    <row r="37" spans="1:34" ht="15.75">
      <c r="A37" s="5356"/>
      <c r="B37" s="28" t="s">
        <v>113</v>
      </c>
      <c r="C37" s="306" t="s">
        <v>114</v>
      </c>
      <c r="D37" s="64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62"/>
      <c r="P37" s="62"/>
      <c r="Q37" s="62"/>
      <c r="R37" s="62"/>
      <c r="S37" s="62"/>
      <c r="T37" s="62"/>
      <c r="U37" s="62"/>
      <c r="V37" s="62"/>
      <c r="W37" s="62"/>
      <c r="X37" s="533"/>
      <c r="Y37" s="533"/>
      <c r="Z37" s="62"/>
      <c r="AA37" s="62"/>
      <c r="AB37" s="62"/>
      <c r="AC37" s="62"/>
      <c r="AD37" s="62"/>
      <c r="AE37" s="62"/>
      <c r="AF37" s="62"/>
      <c r="AG37" s="62"/>
      <c r="AH37" s="66"/>
    </row>
    <row r="38" spans="1:34">
      <c r="A38" s="5356"/>
      <c r="B38" s="28" t="s">
        <v>113</v>
      </c>
      <c r="C38" s="32" t="s">
        <v>116</v>
      </c>
      <c r="D38" s="65"/>
      <c r="E38" s="4321" t="s">
        <v>767</v>
      </c>
      <c r="F38" s="4322"/>
      <c r="G38" s="4322"/>
      <c r="H38" s="4322"/>
      <c r="I38" s="4322"/>
      <c r="J38" s="4322"/>
      <c r="K38" s="4322"/>
      <c r="L38" s="4322"/>
      <c r="M38" s="4322"/>
      <c r="N38" s="4322"/>
      <c r="O38" s="4322"/>
      <c r="P38" s="4322"/>
      <c r="Q38" s="4322"/>
      <c r="R38" s="4323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67"/>
    </row>
    <row r="39" spans="1:34">
      <c r="A39" s="5356"/>
      <c r="B39" s="28" t="s">
        <v>118</v>
      </c>
      <c r="C39" s="32" t="s">
        <v>119</v>
      </c>
      <c r="D39" s="65"/>
      <c r="E39" s="4321" t="s">
        <v>767</v>
      </c>
      <c r="F39" s="4322"/>
      <c r="G39" s="4322"/>
      <c r="H39" s="4322"/>
      <c r="I39" s="4322"/>
      <c r="J39" s="4322"/>
      <c r="K39" s="4322"/>
      <c r="L39" s="4322"/>
      <c r="M39" s="4322"/>
      <c r="N39" s="4322"/>
      <c r="O39" s="4322"/>
      <c r="P39" s="4322"/>
      <c r="Q39" s="4322"/>
      <c r="R39" s="4323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67"/>
    </row>
    <row r="40" spans="1:34">
      <c r="A40" s="5356"/>
      <c r="B40" s="28" t="s">
        <v>120</v>
      </c>
      <c r="C40" s="32" t="s">
        <v>121</v>
      </c>
      <c r="D40" s="65"/>
      <c r="E40" s="4321" t="s">
        <v>767</v>
      </c>
      <c r="F40" s="4322"/>
      <c r="G40" s="4322"/>
      <c r="H40" s="4322"/>
      <c r="I40" s="4322"/>
      <c r="J40" s="4322"/>
      <c r="K40" s="4322"/>
      <c r="L40" s="4322"/>
      <c r="M40" s="4322"/>
      <c r="N40" s="4322"/>
      <c r="O40" s="4322"/>
      <c r="P40" s="4322"/>
      <c r="Q40" s="4322"/>
      <c r="R40" s="4323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67"/>
    </row>
    <row r="41" spans="1:34">
      <c r="A41" s="5356"/>
      <c r="B41" s="28" t="s">
        <v>122</v>
      </c>
      <c r="C41" s="32" t="s">
        <v>123</v>
      </c>
      <c r="D41" s="65"/>
      <c r="E41" s="4321" t="s">
        <v>767</v>
      </c>
      <c r="F41" s="4322"/>
      <c r="G41" s="4322"/>
      <c r="H41" s="4322"/>
      <c r="I41" s="4322"/>
      <c r="J41" s="4322"/>
      <c r="K41" s="4322"/>
      <c r="L41" s="4322"/>
      <c r="M41" s="4322"/>
      <c r="N41" s="4322"/>
      <c r="O41" s="4322"/>
      <c r="P41" s="4322"/>
      <c r="Q41" s="4322"/>
      <c r="R41" s="4323"/>
      <c r="S41" s="594"/>
      <c r="T41" s="594"/>
      <c r="U41" s="594"/>
      <c r="V41" s="594"/>
      <c r="W41" s="594"/>
      <c r="X41" s="594"/>
      <c r="Y41" s="594"/>
      <c r="Z41" s="594"/>
      <c r="AA41" s="594"/>
      <c r="AB41" s="594"/>
      <c r="AC41" s="594"/>
      <c r="AD41" s="594"/>
      <c r="AE41" s="594"/>
      <c r="AF41" s="594"/>
      <c r="AG41" s="594"/>
      <c r="AH41" s="595"/>
    </row>
    <row r="42" spans="1:34">
      <c r="A42" s="5356"/>
      <c r="B42" s="28" t="s">
        <v>124</v>
      </c>
      <c r="C42" s="32" t="s">
        <v>125</v>
      </c>
      <c r="D42" s="65"/>
      <c r="E42" s="57"/>
      <c r="F42" s="4885" t="s">
        <v>450</v>
      </c>
      <c r="G42" s="4886"/>
      <c r="H42" s="4886"/>
      <c r="I42" s="4886"/>
      <c r="J42" s="5348"/>
      <c r="K42" s="57"/>
      <c r="L42" s="56"/>
      <c r="M42" s="593"/>
      <c r="N42" s="593"/>
      <c r="O42" s="596"/>
      <c r="P42" s="596"/>
      <c r="Q42" s="593"/>
      <c r="R42" s="593"/>
      <c r="S42" s="593"/>
      <c r="T42" s="593"/>
      <c r="U42" s="593"/>
      <c r="V42" s="596"/>
      <c r="W42" s="596"/>
      <c r="X42" s="596"/>
      <c r="Y42" s="596"/>
      <c r="Z42" s="596"/>
      <c r="AA42" s="596"/>
      <c r="AB42" s="596"/>
      <c r="AC42" s="596"/>
      <c r="AD42" s="596"/>
      <c r="AE42" s="596"/>
      <c r="AF42" s="596"/>
      <c r="AG42" s="596"/>
      <c r="AH42" s="597"/>
    </row>
    <row r="43" spans="1:34">
      <c r="A43" s="5356"/>
      <c r="B43" s="28" t="s">
        <v>124</v>
      </c>
      <c r="C43" s="32" t="s">
        <v>126</v>
      </c>
      <c r="D43" s="65"/>
      <c r="E43" s="57"/>
      <c r="F43" s="57"/>
      <c r="G43" s="57"/>
      <c r="H43" s="57"/>
      <c r="I43" s="57"/>
      <c r="J43" s="57"/>
      <c r="K43" s="57"/>
      <c r="L43" s="56"/>
      <c r="M43" s="593"/>
      <c r="N43" s="593"/>
      <c r="O43" s="596"/>
      <c r="P43" s="596"/>
      <c r="Q43" s="593"/>
      <c r="R43" s="593"/>
      <c r="S43" s="593"/>
      <c r="T43" s="593"/>
      <c r="U43" s="593"/>
      <c r="V43" s="596"/>
      <c r="W43" s="596"/>
      <c r="X43" s="596"/>
      <c r="Y43" s="596"/>
      <c r="Z43" s="596"/>
      <c r="AA43" s="596"/>
      <c r="AB43" s="596"/>
      <c r="AC43" s="596"/>
      <c r="AD43" s="596"/>
      <c r="AE43" s="596"/>
      <c r="AF43" s="596"/>
      <c r="AG43" s="596"/>
      <c r="AH43" s="597"/>
    </row>
    <row r="44" spans="1:34" ht="15" customHeight="1">
      <c r="A44" s="5356"/>
      <c r="B44" s="28" t="s">
        <v>127</v>
      </c>
      <c r="C44" s="32" t="s">
        <v>128</v>
      </c>
      <c r="D44" s="65"/>
      <c r="E44" s="4321" t="s">
        <v>767</v>
      </c>
      <c r="F44" s="4322"/>
      <c r="G44" s="4322"/>
      <c r="H44" s="4322"/>
      <c r="I44" s="4322"/>
      <c r="J44" s="4322"/>
      <c r="K44" s="4322"/>
      <c r="L44" s="4322"/>
      <c r="M44" s="4322"/>
      <c r="N44" s="4322"/>
      <c r="O44" s="4322"/>
      <c r="P44" s="4322"/>
      <c r="Q44" s="4322"/>
      <c r="R44" s="4323"/>
      <c r="S44" s="593"/>
      <c r="T44" s="593"/>
      <c r="U44" s="593"/>
      <c r="V44" s="593"/>
      <c r="W44" s="593"/>
      <c r="X44" s="3653" t="s">
        <v>312</v>
      </c>
      <c r="Y44" s="3654"/>
      <c r="Z44" s="593"/>
      <c r="AA44" s="593"/>
      <c r="AB44" s="593"/>
      <c r="AC44" s="593"/>
      <c r="AD44" s="593"/>
      <c r="AE44" s="593"/>
      <c r="AF44" s="746"/>
      <c r="AG44" s="5346"/>
      <c r="AH44" s="5347"/>
    </row>
    <row r="45" spans="1:34">
      <c r="A45" s="5356"/>
      <c r="B45" s="28" t="s">
        <v>129</v>
      </c>
      <c r="C45" s="32" t="s">
        <v>130</v>
      </c>
      <c r="D45" s="65"/>
      <c r="E45" s="57"/>
      <c r="F45" s="4885" t="s">
        <v>450</v>
      </c>
      <c r="G45" s="4886"/>
      <c r="H45" s="4886"/>
      <c r="I45" s="4886"/>
      <c r="J45" s="5348"/>
      <c r="K45" s="57"/>
      <c r="L45" s="56"/>
      <c r="M45" s="593"/>
      <c r="N45" s="593"/>
      <c r="O45" s="593"/>
      <c r="P45" s="594"/>
      <c r="Q45" s="594"/>
      <c r="R45" s="594"/>
      <c r="S45" s="594"/>
      <c r="T45" s="594"/>
      <c r="U45" s="594"/>
      <c r="V45" s="594"/>
      <c r="W45" s="594"/>
      <c r="X45" s="594"/>
      <c r="Y45" s="594"/>
      <c r="Z45" s="594"/>
      <c r="AA45" s="594"/>
      <c r="AB45" s="594"/>
      <c r="AC45" s="594"/>
      <c r="AD45" s="594"/>
      <c r="AE45" s="594"/>
      <c r="AF45" s="594"/>
      <c r="AG45" s="594"/>
      <c r="AH45" s="595"/>
    </row>
    <row r="46" spans="1:34">
      <c r="A46" s="5356"/>
      <c r="B46" s="28" t="s">
        <v>134</v>
      </c>
      <c r="C46" s="32" t="s">
        <v>135</v>
      </c>
      <c r="D46" s="64"/>
      <c r="E46" s="56"/>
      <c r="F46" s="56"/>
      <c r="G46" s="56"/>
      <c r="H46" s="56"/>
      <c r="I46" s="56"/>
      <c r="J46" s="56"/>
      <c r="K46" s="56"/>
      <c r="L46" s="56"/>
      <c r="M46" s="593"/>
      <c r="N46" s="593"/>
      <c r="O46" s="593"/>
      <c r="P46" s="593"/>
      <c r="Q46" s="593"/>
      <c r="R46" s="593"/>
      <c r="S46" s="593"/>
      <c r="T46" s="593"/>
      <c r="U46" s="593"/>
      <c r="V46" s="593"/>
      <c r="W46" s="593"/>
      <c r="X46" s="593"/>
      <c r="Y46" s="593"/>
      <c r="Z46" s="593"/>
      <c r="AA46" s="593"/>
      <c r="AB46" s="593"/>
      <c r="AC46" s="593"/>
      <c r="AD46" s="593"/>
      <c r="AE46" s="593"/>
      <c r="AF46" s="593"/>
      <c r="AG46" s="593"/>
      <c r="AH46" s="598"/>
    </row>
    <row r="47" spans="1:34">
      <c r="A47" s="5356"/>
      <c r="B47" s="28" t="s">
        <v>333</v>
      </c>
      <c r="C47" s="32" t="s">
        <v>334</v>
      </c>
      <c r="D47" s="319"/>
      <c r="E47" s="320"/>
      <c r="F47" s="320"/>
      <c r="G47" s="56"/>
      <c r="H47" s="56"/>
      <c r="I47" s="56"/>
      <c r="J47" s="56"/>
      <c r="K47" s="56"/>
      <c r="L47" s="56"/>
      <c r="M47" s="593"/>
      <c r="N47" s="593"/>
      <c r="O47" s="593"/>
      <c r="P47" s="593"/>
      <c r="Q47" s="593"/>
      <c r="R47" s="593"/>
      <c r="S47" s="593"/>
      <c r="T47" s="593"/>
      <c r="U47" s="593"/>
      <c r="V47" s="593"/>
      <c r="W47" s="593"/>
      <c r="X47" s="593"/>
      <c r="Y47" s="593"/>
      <c r="Z47" s="593"/>
      <c r="AA47" s="593"/>
      <c r="AB47" s="593"/>
      <c r="AC47" s="593"/>
      <c r="AD47" s="593"/>
      <c r="AE47" s="593"/>
      <c r="AF47" s="593"/>
      <c r="AG47" s="593"/>
      <c r="AH47" s="598"/>
    </row>
    <row r="48" spans="1:34" ht="15.75">
      <c r="A48" s="5357"/>
      <c r="B48" s="28" t="s">
        <v>131</v>
      </c>
      <c r="C48" s="32" t="s">
        <v>132</v>
      </c>
      <c r="D48" s="65"/>
      <c r="E48" s="57"/>
      <c r="F48" s="57"/>
      <c r="G48" s="57"/>
      <c r="H48" s="57"/>
      <c r="I48" s="57"/>
      <c r="J48" s="57"/>
      <c r="K48" s="57"/>
      <c r="L48" s="56"/>
      <c r="M48" s="593"/>
      <c r="N48" s="593"/>
      <c r="O48" s="593"/>
      <c r="P48" s="594"/>
      <c r="Q48" s="594"/>
      <c r="R48" s="610" t="s">
        <v>55</v>
      </c>
      <c r="S48" s="5339" t="s">
        <v>310</v>
      </c>
      <c r="T48" s="5340"/>
      <c r="U48" s="574" t="s">
        <v>55</v>
      </c>
      <c r="V48" s="594"/>
      <c r="W48" s="596"/>
      <c r="X48" s="596"/>
      <c r="Y48" s="596"/>
      <c r="Z48" s="596"/>
      <c r="AA48" s="596"/>
      <c r="AB48" s="596"/>
      <c r="AC48" s="596"/>
      <c r="AD48" s="596"/>
      <c r="AE48" s="596"/>
      <c r="AF48" s="596"/>
      <c r="AG48" s="596"/>
      <c r="AH48" s="597"/>
    </row>
    <row r="49" spans="1:37" ht="15.75">
      <c r="A49" s="4540" t="s">
        <v>136</v>
      </c>
      <c r="B49" s="27" t="s">
        <v>77</v>
      </c>
      <c r="C49" s="31" t="s">
        <v>137</v>
      </c>
      <c r="D49" s="65"/>
      <c r="E49" s="57"/>
      <c r="F49" s="57"/>
      <c r="G49" s="61"/>
      <c r="H49" s="61"/>
      <c r="I49" s="424" t="s">
        <v>319</v>
      </c>
      <c r="J49" s="61"/>
      <c r="K49" s="61"/>
      <c r="L49" s="56"/>
      <c r="M49" s="593"/>
      <c r="N49" s="593"/>
      <c r="O49" s="593"/>
      <c r="P49" s="593"/>
      <c r="Q49" s="593"/>
      <c r="R49" s="593"/>
      <c r="S49" s="593"/>
      <c r="T49" s="593"/>
      <c r="U49" s="593"/>
      <c r="V49" s="610" t="s">
        <v>55</v>
      </c>
      <c r="W49" s="4357" t="s">
        <v>764</v>
      </c>
      <c r="X49" s="4603"/>
      <c r="Y49" s="4603"/>
      <c r="Z49" s="4603"/>
      <c r="AA49" s="4509"/>
      <c r="AB49" s="610" t="s">
        <v>55</v>
      </c>
      <c r="AC49" s="594"/>
      <c r="AD49" s="5349" t="s">
        <v>321</v>
      </c>
      <c r="AE49" s="5350"/>
      <c r="AF49" s="5350"/>
      <c r="AG49" s="5350"/>
      <c r="AH49" s="5351"/>
    </row>
    <row r="50" spans="1:37" ht="15.75">
      <c r="A50" s="4541"/>
      <c r="B50" s="28" t="s">
        <v>95</v>
      </c>
      <c r="C50" s="39" t="s">
        <v>139</v>
      </c>
      <c r="D50" s="65"/>
      <c r="E50" s="57"/>
      <c r="F50" s="57"/>
      <c r="G50" s="56"/>
      <c r="H50" s="56"/>
      <c r="I50" s="424" t="s">
        <v>319</v>
      </c>
      <c r="J50" s="59"/>
      <c r="K50" s="59"/>
      <c r="L50" s="56"/>
      <c r="M50" s="593"/>
      <c r="N50" s="593"/>
      <c r="O50" s="593"/>
      <c r="P50" s="593"/>
      <c r="Q50" s="593"/>
      <c r="R50" s="593"/>
      <c r="S50" s="593"/>
      <c r="T50" s="593"/>
      <c r="U50" s="593"/>
      <c r="V50" s="610" t="s">
        <v>55</v>
      </c>
      <c r="W50" s="4357" t="s">
        <v>764</v>
      </c>
      <c r="X50" s="4603"/>
      <c r="Y50" s="4603"/>
      <c r="Z50" s="4603"/>
      <c r="AA50" s="4509"/>
      <c r="AB50" s="610" t="s">
        <v>55</v>
      </c>
      <c r="AC50" s="594"/>
      <c r="AD50" s="594"/>
      <c r="AE50" s="594"/>
      <c r="AF50" s="746"/>
      <c r="AG50" s="5346"/>
      <c r="AH50" s="5347"/>
    </row>
    <row r="51" spans="1:37">
      <c r="A51" s="4542"/>
      <c r="B51" s="29" t="s">
        <v>142</v>
      </c>
      <c r="C51" s="33" t="s">
        <v>143</v>
      </c>
      <c r="D51" s="65"/>
      <c r="E51" s="57"/>
      <c r="F51" s="57"/>
      <c r="G51" s="57"/>
      <c r="H51" s="57"/>
      <c r="I51" s="57"/>
      <c r="J51" s="57"/>
      <c r="K51" s="57"/>
      <c r="L51" s="56"/>
      <c r="M51" s="593"/>
      <c r="N51" s="599"/>
      <c r="O51" s="593"/>
      <c r="P51" s="593"/>
      <c r="Q51" s="593"/>
      <c r="R51" s="593"/>
      <c r="S51" s="5352" t="s">
        <v>112</v>
      </c>
      <c r="T51" s="5353"/>
      <c r="U51" s="5353"/>
      <c r="V51" s="5353"/>
      <c r="W51" s="5353"/>
      <c r="X51" s="5353"/>
      <c r="Y51" s="5353"/>
      <c r="Z51" s="5353"/>
      <c r="AA51" s="5354"/>
      <c r="AB51" s="593"/>
      <c r="AC51" s="593"/>
      <c r="AD51" s="593"/>
      <c r="AE51" s="593"/>
      <c r="AF51" s="593"/>
      <c r="AG51" s="593"/>
      <c r="AH51" s="598"/>
    </row>
    <row r="52" spans="1:37" ht="15.75">
      <c r="A52" s="4554" t="s">
        <v>144</v>
      </c>
      <c r="B52" s="27" t="s">
        <v>145</v>
      </c>
      <c r="C52" s="36" t="s">
        <v>146</v>
      </c>
      <c r="D52" s="65"/>
      <c r="E52" s="57"/>
      <c r="F52" s="57"/>
      <c r="G52" s="56"/>
      <c r="H52" s="56"/>
      <c r="I52" s="56"/>
      <c r="J52" s="56"/>
      <c r="K52" s="56"/>
      <c r="L52" s="56"/>
      <c r="M52" s="593"/>
      <c r="N52" s="599"/>
      <c r="O52" s="610" t="s">
        <v>55</v>
      </c>
      <c r="P52" s="5342" t="s">
        <v>761</v>
      </c>
      <c r="Q52" s="5343"/>
      <c r="R52" s="610" t="s">
        <v>55</v>
      </c>
      <c r="S52" s="612"/>
      <c r="T52" s="613"/>
      <c r="U52" s="593"/>
      <c r="V52" s="593"/>
      <c r="W52" s="593"/>
      <c r="X52" s="600"/>
      <c r="Y52" s="600"/>
      <c r="Z52" s="593"/>
      <c r="AA52" s="2226"/>
      <c r="AB52" s="2226"/>
      <c r="AC52" s="2226"/>
      <c r="AD52" s="2226"/>
      <c r="AE52" s="593"/>
      <c r="AF52" s="593"/>
      <c r="AG52" s="593"/>
      <c r="AH52" s="598"/>
    </row>
    <row r="53" spans="1:37" ht="15.75" customHeight="1">
      <c r="A53" s="4555"/>
      <c r="B53" s="28" t="s">
        <v>145</v>
      </c>
      <c r="C53" s="37" t="s">
        <v>148</v>
      </c>
      <c r="D53" s="621" t="s">
        <v>55</v>
      </c>
      <c r="E53" s="4297" t="s">
        <v>758</v>
      </c>
      <c r="F53" s="4297"/>
      <c r="G53" s="610" t="s">
        <v>55</v>
      </c>
      <c r="H53" s="56"/>
      <c r="I53" s="4294" t="s">
        <v>318</v>
      </c>
      <c r="J53" s="4294"/>
      <c r="K53" s="4294"/>
      <c r="L53" s="4294"/>
      <c r="M53" s="4294"/>
      <c r="N53" s="599"/>
      <c r="O53" s="599"/>
      <c r="P53" s="599"/>
      <c r="Q53" s="599"/>
      <c r="R53" s="599"/>
      <c r="S53" s="599"/>
      <c r="T53" s="599"/>
      <c r="U53" s="599"/>
      <c r="V53" s="610" t="s">
        <v>55</v>
      </c>
      <c r="W53" s="4357" t="s">
        <v>764</v>
      </c>
      <c r="X53" s="4603"/>
      <c r="Y53" s="4603"/>
      <c r="Z53" s="4603"/>
      <c r="AA53" s="4509"/>
      <c r="AB53" s="610" t="s">
        <v>55</v>
      </c>
      <c r="AC53" s="2226"/>
      <c r="AD53" s="2226"/>
      <c r="AE53" s="593"/>
      <c r="AF53" s="593"/>
      <c r="AG53" s="593"/>
      <c r="AH53" s="598"/>
    </row>
    <row r="54" spans="1:37" ht="15.75">
      <c r="A54" s="4555"/>
      <c r="B54" s="28" t="s">
        <v>149</v>
      </c>
      <c r="C54" s="38" t="s">
        <v>150</v>
      </c>
      <c r="D54" s="64"/>
      <c r="E54" s="56"/>
      <c r="F54" s="56"/>
      <c r="G54" s="56"/>
      <c r="H54" s="56"/>
      <c r="I54" s="56"/>
      <c r="J54" s="56"/>
      <c r="K54" s="56"/>
      <c r="L54" s="56"/>
      <c r="M54" s="593"/>
      <c r="N54" s="599"/>
      <c r="O54" s="593"/>
      <c r="P54" s="593"/>
      <c r="Q54" s="593"/>
      <c r="R54" s="610" t="s">
        <v>55</v>
      </c>
      <c r="S54" s="5339" t="s">
        <v>310</v>
      </c>
      <c r="T54" s="5340"/>
      <c r="U54" s="574" t="s">
        <v>55</v>
      </c>
      <c r="V54" s="593"/>
      <c r="W54" s="593"/>
      <c r="X54" s="593"/>
      <c r="Y54" s="593"/>
      <c r="Z54" s="593"/>
      <c r="AA54" s="2226"/>
      <c r="AB54" s="2226"/>
      <c r="AC54" s="2226"/>
      <c r="AD54" s="2226"/>
      <c r="AE54" s="593"/>
      <c r="AF54" s="593"/>
      <c r="AG54" s="593"/>
      <c r="AH54" s="598"/>
    </row>
    <row r="55" spans="1:37">
      <c r="A55" s="4556"/>
      <c r="B55" s="30" t="s">
        <v>149</v>
      </c>
      <c r="C55" s="38" t="s">
        <v>151</v>
      </c>
      <c r="D55" s="64"/>
      <c r="E55" s="56"/>
      <c r="F55" s="56"/>
      <c r="G55" s="56"/>
      <c r="H55" s="56"/>
      <c r="I55" s="56"/>
      <c r="J55" s="56"/>
      <c r="K55" s="56"/>
      <c r="L55" s="56"/>
      <c r="M55" s="593"/>
      <c r="N55" s="599"/>
      <c r="O55" s="599"/>
      <c r="P55" s="599"/>
      <c r="Q55" s="599"/>
      <c r="R55" s="599"/>
      <c r="S55" s="599"/>
      <c r="T55" s="599"/>
      <c r="U55" s="599"/>
      <c r="V55" s="601"/>
      <c r="W55" s="601"/>
      <c r="X55" s="601"/>
      <c r="Y55" s="601"/>
      <c r="Z55" s="601"/>
      <c r="AA55" s="601"/>
      <c r="AB55" s="601"/>
      <c r="AC55" s="601"/>
      <c r="AD55" s="601"/>
      <c r="AE55" s="601"/>
      <c r="AF55" s="601"/>
      <c r="AG55" s="601"/>
      <c r="AH55" s="602"/>
    </row>
    <row r="56" spans="1:37" ht="15.75" customHeight="1">
      <c r="A56" s="5338" t="s">
        <v>13</v>
      </c>
      <c r="B56" s="34" t="s">
        <v>77</v>
      </c>
      <c r="C56" s="32" t="s">
        <v>153</v>
      </c>
      <c r="D56" s="64"/>
      <c r="E56" s="56"/>
      <c r="F56" s="56"/>
      <c r="G56" s="56"/>
      <c r="H56" s="56"/>
      <c r="I56" s="4294" t="s">
        <v>318</v>
      </c>
      <c r="J56" s="4294"/>
      <c r="K56" s="4294"/>
      <c r="L56" s="4294"/>
      <c r="M56" s="4294"/>
      <c r="N56" s="614"/>
      <c r="O56" s="593"/>
      <c r="P56" s="613"/>
      <c r="Q56" s="613"/>
      <c r="R56" s="610" t="s">
        <v>55</v>
      </c>
      <c r="S56" s="5339" t="s">
        <v>310</v>
      </c>
      <c r="T56" s="5340"/>
      <c r="U56" s="574" t="s">
        <v>55</v>
      </c>
      <c r="V56" s="610" t="s">
        <v>55</v>
      </c>
      <c r="W56" s="4357" t="s">
        <v>764</v>
      </c>
      <c r="X56" s="4603"/>
      <c r="Y56" s="4603"/>
      <c r="Z56" s="4603"/>
      <c r="AA56" s="4509"/>
      <c r="AB56" s="610" t="s">
        <v>55</v>
      </c>
      <c r="AC56" s="2226"/>
      <c r="AD56" s="4293" t="s">
        <v>112</v>
      </c>
      <c r="AE56" s="4293"/>
      <c r="AF56" s="4293"/>
      <c r="AG56" s="4293"/>
      <c r="AH56" s="5341"/>
    </row>
    <row r="57" spans="1:37" ht="15.75" customHeight="1">
      <c r="A57" s="4541"/>
      <c r="B57" s="29" t="s">
        <v>95</v>
      </c>
      <c r="C57" s="39" t="s">
        <v>86</v>
      </c>
      <c r="D57" s="621" t="s">
        <v>55</v>
      </c>
      <c r="E57" s="4297" t="s">
        <v>758</v>
      </c>
      <c r="F57" s="4297"/>
      <c r="G57" s="610" t="s">
        <v>55</v>
      </c>
      <c r="H57" s="56"/>
      <c r="I57" s="59"/>
      <c r="J57" s="59"/>
      <c r="K57" s="59"/>
      <c r="L57" s="59"/>
      <c r="M57" s="593"/>
      <c r="N57" s="614"/>
      <c r="O57" s="610" t="s">
        <v>55</v>
      </c>
      <c r="P57" s="5342" t="s">
        <v>761</v>
      </c>
      <c r="Q57" s="5343"/>
      <c r="R57" s="610" t="s">
        <v>55</v>
      </c>
      <c r="S57" s="604"/>
      <c r="T57" s="600"/>
      <c r="U57" s="600"/>
      <c r="V57" s="574" t="s">
        <v>55</v>
      </c>
      <c r="W57" s="5336" t="s">
        <v>759</v>
      </c>
      <c r="X57" s="5337"/>
      <c r="Y57" s="574" t="s">
        <v>55</v>
      </c>
      <c r="Z57" s="593"/>
      <c r="AA57" s="2226"/>
      <c r="AB57" s="2226"/>
      <c r="AC57" s="2226"/>
      <c r="AD57" s="604"/>
      <c r="AE57" s="600"/>
      <c r="AF57" s="747"/>
      <c r="AG57" s="820"/>
      <c r="AH57" s="821"/>
    </row>
    <row r="58" spans="1:37">
      <c r="A58" s="4541"/>
      <c r="B58" s="29" t="s">
        <v>81</v>
      </c>
      <c r="C58" s="39" t="s">
        <v>303</v>
      </c>
      <c r="D58" s="64"/>
      <c r="E58" s="56"/>
      <c r="F58" s="56"/>
      <c r="G58" s="56"/>
      <c r="H58" s="56"/>
      <c r="I58" s="59"/>
      <c r="J58" s="59"/>
      <c r="K58" s="59"/>
      <c r="L58" s="59"/>
      <c r="M58" s="593"/>
      <c r="N58" s="599"/>
      <c r="O58" s="593"/>
      <c r="P58" s="601"/>
      <c r="Q58" s="601"/>
      <c r="R58" s="593"/>
      <c r="S58" s="604"/>
      <c r="T58" s="600"/>
      <c r="U58" s="600"/>
      <c r="V58" s="600"/>
      <c r="W58" s="600"/>
      <c r="X58" s="600"/>
      <c r="Y58" s="600"/>
      <c r="Z58" s="600"/>
      <c r="AA58" s="600"/>
      <c r="AB58" s="600"/>
      <c r="AC58" s="600"/>
      <c r="AD58" s="593"/>
      <c r="AE58" s="593"/>
      <c r="AF58" s="593"/>
      <c r="AG58" s="593"/>
      <c r="AH58" s="598"/>
    </row>
    <row r="59" spans="1:37" ht="15" customHeight="1">
      <c r="A59" s="4542"/>
      <c r="B59" s="30" t="s">
        <v>155</v>
      </c>
      <c r="C59" s="33" t="s">
        <v>156</v>
      </c>
      <c r="D59" s="629" t="s">
        <v>55</v>
      </c>
      <c r="E59" s="4297" t="s">
        <v>758</v>
      </c>
      <c r="F59" s="4297"/>
      <c r="G59" s="611" t="s">
        <v>55</v>
      </c>
      <c r="H59" s="68"/>
      <c r="I59" s="69"/>
      <c r="J59" s="69"/>
      <c r="K59" s="69"/>
      <c r="L59" s="69"/>
      <c r="M59" s="605"/>
      <c r="N59" s="615"/>
      <c r="O59" s="611" t="s">
        <v>55</v>
      </c>
      <c r="P59" s="5344" t="s">
        <v>761</v>
      </c>
      <c r="Q59" s="5345"/>
      <c r="R59" s="611" t="s">
        <v>55</v>
      </c>
      <c r="S59" s="616"/>
      <c r="T59" s="617"/>
      <c r="U59" s="606"/>
      <c r="V59" s="574" t="s">
        <v>55</v>
      </c>
      <c r="W59" s="5336" t="s">
        <v>759</v>
      </c>
      <c r="X59" s="5337"/>
      <c r="Y59" s="574" t="s">
        <v>55</v>
      </c>
      <c r="Z59" s="606"/>
      <c r="AA59" s="607"/>
      <c r="AB59" s="607"/>
      <c r="AC59" s="607"/>
      <c r="AD59" s="607"/>
      <c r="AE59" s="607"/>
      <c r="AF59" s="607"/>
      <c r="AG59" s="607"/>
      <c r="AH59" s="608"/>
    </row>
    <row r="60" spans="1:37" ht="15" customHeight="1">
      <c r="A60" s="37"/>
      <c r="B60" s="37"/>
      <c r="C60" s="37"/>
      <c r="D60" s="3699">
        <v>1</v>
      </c>
      <c r="E60" s="3588">
        <v>2</v>
      </c>
      <c r="F60" s="3588">
        <v>3</v>
      </c>
      <c r="G60" s="3588">
        <v>4</v>
      </c>
      <c r="H60" s="3588">
        <v>5</v>
      </c>
      <c r="I60" s="3588">
        <v>6</v>
      </c>
      <c r="J60" s="3588">
        <v>7</v>
      </c>
      <c r="K60" s="3588">
        <v>8</v>
      </c>
      <c r="L60" s="3588">
        <v>9</v>
      </c>
      <c r="M60" s="3588">
        <v>10</v>
      </c>
      <c r="N60" s="3588">
        <v>11</v>
      </c>
      <c r="O60" s="3588">
        <v>12</v>
      </c>
      <c r="P60" s="3588">
        <v>13</v>
      </c>
      <c r="Q60" s="3588">
        <v>14</v>
      </c>
      <c r="R60" s="3588">
        <v>15</v>
      </c>
      <c r="S60" s="3588">
        <v>16</v>
      </c>
      <c r="T60" s="3588">
        <v>17</v>
      </c>
      <c r="U60" s="3588">
        <v>18</v>
      </c>
      <c r="V60" s="3588">
        <v>19</v>
      </c>
      <c r="W60" s="3588">
        <v>20</v>
      </c>
      <c r="X60" s="3588">
        <v>21</v>
      </c>
      <c r="Y60" s="3588">
        <v>22</v>
      </c>
      <c r="Z60" s="3588">
        <v>23</v>
      </c>
      <c r="AA60" s="3703">
        <v>24</v>
      </c>
      <c r="AB60" s="3703">
        <v>25</v>
      </c>
      <c r="AC60" s="3703">
        <v>26</v>
      </c>
      <c r="AD60" s="3703">
        <v>27</v>
      </c>
      <c r="AE60" s="41">
        <v>28</v>
      </c>
      <c r="AF60" s="41">
        <v>29</v>
      </c>
      <c r="AG60" s="41">
        <v>30</v>
      </c>
      <c r="AH60" s="41">
        <v>31</v>
      </c>
    </row>
    <row r="61" spans="1:37">
      <c r="A61" s="4299" t="s">
        <v>342</v>
      </c>
      <c r="B61" s="4299"/>
      <c r="C61" s="4299"/>
      <c r="D61">
        <f t="shared" ref="D61:AH61" si="0">D66+D62</f>
        <v>12</v>
      </c>
      <c r="E61">
        <f t="shared" si="0"/>
        <v>12</v>
      </c>
      <c r="F61">
        <f t="shared" si="0"/>
        <v>12</v>
      </c>
      <c r="G61">
        <f t="shared" si="0"/>
        <v>12</v>
      </c>
      <c r="H61">
        <f t="shared" si="0"/>
        <v>11</v>
      </c>
      <c r="I61">
        <f t="shared" si="0"/>
        <v>13</v>
      </c>
      <c r="J61">
        <f t="shared" si="0"/>
        <v>12</v>
      </c>
      <c r="K61">
        <f t="shared" si="0"/>
        <v>11</v>
      </c>
      <c r="L61">
        <f t="shared" si="0"/>
        <v>11</v>
      </c>
      <c r="M61">
        <f t="shared" si="0"/>
        <v>10</v>
      </c>
      <c r="N61">
        <f t="shared" si="0"/>
        <v>9</v>
      </c>
      <c r="O61">
        <f t="shared" si="0"/>
        <v>9</v>
      </c>
      <c r="P61">
        <f t="shared" si="0"/>
        <v>9</v>
      </c>
      <c r="Q61">
        <f t="shared" si="0"/>
        <v>10</v>
      </c>
      <c r="R61">
        <f t="shared" si="0"/>
        <v>10</v>
      </c>
      <c r="S61">
        <f t="shared" si="0"/>
        <v>11</v>
      </c>
      <c r="T61">
        <f t="shared" si="0"/>
        <v>11</v>
      </c>
      <c r="U61">
        <f t="shared" si="0"/>
        <v>11</v>
      </c>
      <c r="V61">
        <f t="shared" si="0"/>
        <v>9</v>
      </c>
      <c r="W61">
        <f t="shared" si="0"/>
        <v>9</v>
      </c>
      <c r="X61">
        <f t="shared" si="0"/>
        <v>9</v>
      </c>
      <c r="Y61">
        <f t="shared" si="0"/>
        <v>9</v>
      </c>
      <c r="Z61">
        <f t="shared" si="0"/>
        <v>9</v>
      </c>
      <c r="AA61">
        <f t="shared" si="0"/>
        <v>9</v>
      </c>
      <c r="AB61">
        <f t="shared" si="0"/>
        <v>9</v>
      </c>
      <c r="AC61">
        <f t="shared" si="0"/>
        <v>11</v>
      </c>
      <c r="AD61">
        <f t="shared" si="0"/>
        <v>11</v>
      </c>
      <c r="AE61">
        <f t="shared" si="0"/>
        <v>11</v>
      </c>
      <c r="AF61">
        <f t="shared" si="0"/>
        <v>11</v>
      </c>
      <c r="AG61">
        <f t="shared" si="0"/>
        <v>11</v>
      </c>
      <c r="AH61">
        <f t="shared" si="0"/>
        <v>11</v>
      </c>
      <c r="AI61" s="4299" t="s">
        <v>342</v>
      </c>
      <c r="AJ61" s="4299"/>
      <c r="AK61" s="4299"/>
    </row>
    <row r="62" spans="1:37">
      <c r="A62" s="4287" t="s">
        <v>343</v>
      </c>
      <c r="B62" s="4287"/>
      <c r="C62" s="4287"/>
      <c r="D62">
        <f t="shared" ref="D62:AH62" si="1">SUM(D63:D65)</f>
        <v>11</v>
      </c>
      <c r="E62">
        <f t="shared" si="1"/>
        <v>10</v>
      </c>
      <c r="F62">
        <f t="shared" si="1"/>
        <v>9</v>
      </c>
      <c r="G62">
        <f t="shared" si="1"/>
        <v>9</v>
      </c>
      <c r="H62">
        <f t="shared" si="1"/>
        <v>9</v>
      </c>
      <c r="I62">
        <f t="shared" si="1"/>
        <v>9</v>
      </c>
      <c r="J62">
        <f t="shared" si="1"/>
        <v>9</v>
      </c>
      <c r="K62">
        <f t="shared" si="1"/>
        <v>9</v>
      </c>
      <c r="L62">
        <f t="shared" si="1"/>
        <v>9</v>
      </c>
      <c r="M62">
        <f t="shared" si="1"/>
        <v>7</v>
      </c>
      <c r="N62">
        <f t="shared" si="1"/>
        <v>7</v>
      </c>
      <c r="O62">
        <f t="shared" si="1"/>
        <v>6</v>
      </c>
      <c r="P62">
        <f t="shared" si="1"/>
        <v>6</v>
      </c>
      <c r="Q62">
        <f t="shared" si="1"/>
        <v>6</v>
      </c>
      <c r="R62">
        <f t="shared" si="1"/>
        <v>6</v>
      </c>
      <c r="S62">
        <f t="shared" si="1"/>
        <v>8</v>
      </c>
      <c r="T62">
        <f t="shared" si="1"/>
        <v>8</v>
      </c>
      <c r="U62">
        <f t="shared" si="1"/>
        <v>8</v>
      </c>
      <c r="V62">
        <f t="shared" si="1"/>
        <v>5</v>
      </c>
      <c r="W62">
        <f t="shared" si="1"/>
        <v>5</v>
      </c>
      <c r="X62">
        <f t="shared" si="1"/>
        <v>5</v>
      </c>
      <c r="Y62">
        <f t="shared" si="1"/>
        <v>5</v>
      </c>
      <c r="Z62">
        <f t="shared" si="1"/>
        <v>6</v>
      </c>
      <c r="AA62">
        <f t="shared" si="1"/>
        <v>6</v>
      </c>
      <c r="AB62">
        <f t="shared" si="1"/>
        <v>6</v>
      </c>
      <c r="AC62">
        <f t="shared" si="1"/>
        <v>8</v>
      </c>
      <c r="AD62">
        <f t="shared" si="1"/>
        <v>8</v>
      </c>
      <c r="AE62">
        <f t="shared" si="1"/>
        <v>8</v>
      </c>
      <c r="AF62">
        <f t="shared" si="1"/>
        <v>8</v>
      </c>
      <c r="AG62">
        <f t="shared" si="1"/>
        <v>8</v>
      </c>
      <c r="AH62">
        <f t="shared" si="1"/>
        <v>8</v>
      </c>
      <c r="AI62" s="4287" t="s">
        <v>343</v>
      </c>
      <c r="AJ62" s="4287"/>
      <c r="AK62" s="4287"/>
    </row>
    <row r="63" spans="1:37">
      <c r="A63" s="4289" t="s">
        <v>344</v>
      </c>
      <c r="B63" s="4289"/>
      <c r="C63" s="4289"/>
      <c r="D63">
        <v>3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 s="4289" t="s">
        <v>345</v>
      </c>
      <c r="AJ63" s="4289"/>
      <c r="AK63" s="4289"/>
    </row>
    <row r="64" spans="1:37">
      <c r="A64" s="4289" t="s">
        <v>346</v>
      </c>
      <c r="B64" s="4289"/>
      <c r="C64" s="4289"/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1</v>
      </c>
      <c r="W64">
        <v>1</v>
      </c>
      <c r="X64">
        <v>1</v>
      </c>
      <c r="Y64">
        <v>1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 s="4289" t="s">
        <v>346</v>
      </c>
      <c r="AJ64" s="4289"/>
      <c r="AK64" s="4289"/>
    </row>
    <row r="65" spans="1:37">
      <c r="A65" s="4289" t="s">
        <v>23</v>
      </c>
      <c r="B65" s="4289"/>
      <c r="C65" s="4289"/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 s="4289" t="s">
        <v>23</v>
      </c>
      <c r="AJ65" s="4289"/>
      <c r="AK65" s="4289"/>
    </row>
    <row r="66" spans="1:37">
      <c r="A66" s="4287" t="s">
        <v>348</v>
      </c>
      <c r="B66" s="4287"/>
      <c r="C66" s="4287"/>
      <c r="D66">
        <f t="shared" ref="D66:AH66" si="2">SUM(D67:D69)</f>
        <v>1</v>
      </c>
      <c r="E66">
        <f t="shared" si="2"/>
        <v>2</v>
      </c>
      <c r="F66">
        <f t="shared" si="2"/>
        <v>3</v>
      </c>
      <c r="G66">
        <f t="shared" si="2"/>
        <v>3</v>
      </c>
      <c r="H66">
        <f t="shared" si="2"/>
        <v>2</v>
      </c>
      <c r="I66">
        <f t="shared" si="2"/>
        <v>4</v>
      </c>
      <c r="J66">
        <f t="shared" si="2"/>
        <v>3</v>
      </c>
      <c r="K66">
        <f t="shared" si="2"/>
        <v>2</v>
      </c>
      <c r="L66">
        <f t="shared" si="2"/>
        <v>2</v>
      </c>
      <c r="M66">
        <f t="shared" si="2"/>
        <v>3</v>
      </c>
      <c r="N66">
        <f t="shared" si="2"/>
        <v>2</v>
      </c>
      <c r="O66">
        <f t="shared" si="2"/>
        <v>3</v>
      </c>
      <c r="P66">
        <f t="shared" si="2"/>
        <v>3</v>
      </c>
      <c r="Q66">
        <f t="shared" si="2"/>
        <v>4</v>
      </c>
      <c r="R66">
        <f t="shared" si="2"/>
        <v>4</v>
      </c>
      <c r="S66">
        <f t="shared" si="2"/>
        <v>3</v>
      </c>
      <c r="T66">
        <f t="shared" si="2"/>
        <v>3</v>
      </c>
      <c r="U66">
        <f t="shared" si="2"/>
        <v>3</v>
      </c>
      <c r="V66">
        <f t="shared" si="2"/>
        <v>4</v>
      </c>
      <c r="W66">
        <f t="shared" si="2"/>
        <v>4</v>
      </c>
      <c r="X66">
        <f t="shared" si="2"/>
        <v>4</v>
      </c>
      <c r="Y66">
        <f t="shared" si="2"/>
        <v>4</v>
      </c>
      <c r="Z66">
        <f t="shared" si="2"/>
        <v>3</v>
      </c>
      <c r="AA66">
        <f t="shared" si="2"/>
        <v>3</v>
      </c>
      <c r="AB66">
        <f t="shared" si="2"/>
        <v>3</v>
      </c>
      <c r="AC66">
        <f t="shared" si="2"/>
        <v>3</v>
      </c>
      <c r="AD66">
        <f t="shared" si="2"/>
        <v>3</v>
      </c>
      <c r="AE66">
        <f t="shared" si="2"/>
        <v>3</v>
      </c>
      <c r="AF66">
        <f t="shared" si="2"/>
        <v>3</v>
      </c>
      <c r="AG66">
        <f t="shared" si="2"/>
        <v>3</v>
      </c>
      <c r="AH66">
        <f t="shared" si="2"/>
        <v>3</v>
      </c>
      <c r="AI66" s="4287" t="s">
        <v>348</v>
      </c>
      <c r="AJ66" s="4287"/>
      <c r="AK66" s="4287"/>
    </row>
    <row r="67" spans="1:37">
      <c r="A67" s="4289" t="s">
        <v>345</v>
      </c>
      <c r="B67" s="4289"/>
      <c r="C67" s="4289"/>
      <c r="D67">
        <v>0</v>
      </c>
      <c r="E67">
        <v>1</v>
      </c>
      <c r="F67">
        <v>2</v>
      </c>
      <c r="G67">
        <v>2</v>
      </c>
      <c r="H67">
        <v>2</v>
      </c>
      <c r="I67">
        <v>2</v>
      </c>
      <c r="J67">
        <v>2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s="4289" t="s">
        <v>345</v>
      </c>
      <c r="AJ67" s="4289"/>
      <c r="AK67" s="4289"/>
    </row>
    <row r="68" spans="1:37">
      <c r="A68" s="4289" t="s">
        <v>346</v>
      </c>
      <c r="B68" s="4289"/>
      <c r="C68" s="4289"/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2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s="4289" t="s">
        <v>346</v>
      </c>
      <c r="AJ68" s="4289"/>
      <c r="AK68" s="4289"/>
    </row>
    <row r="69" spans="1:37">
      <c r="A69" s="4289" t="s">
        <v>23</v>
      </c>
      <c r="B69" s="4289"/>
      <c r="C69" s="4289"/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2</v>
      </c>
      <c r="T69">
        <v>2</v>
      </c>
      <c r="U69">
        <v>2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 s="4289" t="s">
        <v>23</v>
      </c>
      <c r="AJ69" s="4289"/>
      <c r="AK69" s="4289"/>
    </row>
    <row r="70" spans="1:37">
      <c r="A70" s="4287" t="s">
        <v>349</v>
      </c>
      <c r="B70" s="4287"/>
      <c r="C70" s="4287"/>
      <c r="D70">
        <v>38</v>
      </c>
      <c r="E70">
        <v>38</v>
      </c>
      <c r="F70">
        <v>38</v>
      </c>
      <c r="G70">
        <v>38</v>
      </c>
      <c r="H70">
        <v>38</v>
      </c>
      <c r="I70">
        <v>38</v>
      </c>
      <c r="J70">
        <v>38</v>
      </c>
      <c r="K70">
        <v>38</v>
      </c>
      <c r="L70">
        <v>38</v>
      </c>
      <c r="M70">
        <v>38</v>
      </c>
      <c r="N70">
        <v>38</v>
      </c>
      <c r="O70">
        <v>38</v>
      </c>
      <c r="P70">
        <v>39</v>
      </c>
      <c r="Q70">
        <v>37</v>
      </c>
      <c r="R70">
        <v>37</v>
      </c>
      <c r="S70">
        <v>37</v>
      </c>
      <c r="T70">
        <v>37</v>
      </c>
      <c r="U70">
        <v>37</v>
      </c>
      <c r="V70">
        <v>37</v>
      </c>
      <c r="W70">
        <v>37</v>
      </c>
      <c r="X70">
        <v>37</v>
      </c>
      <c r="Y70">
        <v>37</v>
      </c>
      <c r="Z70">
        <v>37</v>
      </c>
      <c r="AA70">
        <v>37</v>
      </c>
      <c r="AB70">
        <v>37</v>
      </c>
      <c r="AC70">
        <v>39</v>
      </c>
      <c r="AD70">
        <v>37</v>
      </c>
      <c r="AE70">
        <v>37</v>
      </c>
      <c r="AF70">
        <v>37</v>
      </c>
      <c r="AG70">
        <v>37</v>
      </c>
      <c r="AH70">
        <v>37</v>
      </c>
      <c r="AI70" s="4287" t="s">
        <v>349</v>
      </c>
      <c r="AJ70" s="4287"/>
      <c r="AK70" s="4287"/>
    </row>
    <row r="71" spans="1:37">
      <c r="A71" s="4287" t="s">
        <v>345</v>
      </c>
      <c r="B71" s="4287"/>
      <c r="C71" s="4287"/>
      <c r="D71">
        <v>13</v>
      </c>
      <c r="E71">
        <v>13</v>
      </c>
      <c r="F71">
        <v>13</v>
      </c>
      <c r="G71">
        <v>13</v>
      </c>
      <c r="H71">
        <v>13</v>
      </c>
      <c r="I71">
        <v>13</v>
      </c>
      <c r="J71">
        <v>13</v>
      </c>
      <c r="K71">
        <v>13</v>
      </c>
      <c r="L71">
        <v>13</v>
      </c>
      <c r="M71">
        <v>13</v>
      </c>
      <c r="N71">
        <v>13</v>
      </c>
      <c r="O71">
        <v>13</v>
      </c>
      <c r="P71">
        <v>13</v>
      </c>
      <c r="Q71">
        <v>13</v>
      </c>
      <c r="R71">
        <v>13</v>
      </c>
      <c r="S71">
        <v>13</v>
      </c>
      <c r="T71">
        <v>13</v>
      </c>
      <c r="U71">
        <v>13</v>
      </c>
      <c r="V71">
        <v>13</v>
      </c>
      <c r="W71">
        <v>13</v>
      </c>
      <c r="X71">
        <v>13</v>
      </c>
      <c r="Y71">
        <v>13</v>
      </c>
      <c r="Z71">
        <v>13</v>
      </c>
      <c r="AA71">
        <v>13</v>
      </c>
      <c r="AB71">
        <v>13</v>
      </c>
      <c r="AC71">
        <v>13</v>
      </c>
      <c r="AD71">
        <v>13</v>
      </c>
      <c r="AE71">
        <v>13</v>
      </c>
      <c r="AF71">
        <v>13</v>
      </c>
      <c r="AG71">
        <v>13</v>
      </c>
      <c r="AH71">
        <v>13</v>
      </c>
      <c r="AI71" s="4287" t="s">
        <v>345</v>
      </c>
      <c r="AJ71" s="4287"/>
      <c r="AK71" s="4287"/>
    </row>
    <row r="72" spans="1:37">
      <c r="A72" s="4287" t="s">
        <v>346</v>
      </c>
      <c r="B72" s="4287"/>
      <c r="C72" s="4287"/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 s="4287" t="s">
        <v>346</v>
      </c>
      <c r="AJ72" s="4287"/>
      <c r="AK72" s="4287"/>
    </row>
    <row r="73" spans="1:37">
      <c r="A73" s="4287" t="s">
        <v>350</v>
      </c>
      <c r="B73" s="4287"/>
      <c r="C73" s="4287"/>
      <c r="D73">
        <v>8</v>
      </c>
      <c r="E73">
        <v>8</v>
      </c>
      <c r="F73">
        <v>8</v>
      </c>
      <c r="G73">
        <v>8</v>
      </c>
      <c r="H73">
        <v>8</v>
      </c>
      <c r="I73">
        <v>8</v>
      </c>
      <c r="J73">
        <v>8</v>
      </c>
      <c r="K73">
        <v>8</v>
      </c>
      <c r="L73">
        <v>8</v>
      </c>
      <c r="M73">
        <v>8</v>
      </c>
      <c r="N73">
        <v>8</v>
      </c>
      <c r="O73">
        <v>8</v>
      </c>
      <c r="P73">
        <v>8</v>
      </c>
      <c r="Q73">
        <v>8</v>
      </c>
      <c r="R73">
        <v>8</v>
      </c>
      <c r="S73">
        <v>8</v>
      </c>
      <c r="T73">
        <v>8</v>
      </c>
      <c r="U73">
        <v>8</v>
      </c>
      <c r="V73">
        <v>8</v>
      </c>
      <c r="W73">
        <v>8</v>
      </c>
      <c r="X73">
        <v>8</v>
      </c>
      <c r="Y73">
        <v>8</v>
      </c>
      <c r="Z73">
        <v>8</v>
      </c>
      <c r="AA73">
        <v>8</v>
      </c>
      <c r="AB73">
        <v>8</v>
      </c>
      <c r="AC73">
        <v>8</v>
      </c>
      <c r="AD73">
        <v>8</v>
      </c>
      <c r="AE73">
        <v>8</v>
      </c>
      <c r="AF73">
        <v>8</v>
      </c>
      <c r="AG73">
        <v>8</v>
      </c>
      <c r="AH73">
        <v>8</v>
      </c>
      <c r="AI73" s="4287" t="s">
        <v>350</v>
      </c>
      <c r="AJ73" s="4287"/>
      <c r="AK73" s="4287"/>
    </row>
    <row r="74" spans="1:37">
      <c r="A74" s="4288" t="s">
        <v>351</v>
      </c>
      <c r="B74" s="4288"/>
      <c r="C74" s="4288"/>
      <c r="D74">
        <f t="shared" ref="D74:AH74" si="3">SUM(D75:D77)</f>
        <v>22</v>
      </c>
      <c r="E74">
        <f t="shared" si="3"/>
        <v>22</v>
      </c>
      <c r="F74">
        <f t="shared" si="3"/>
        <v>9</v>
      </c>
      <c r="G74">
        <f t="shared" si="3"/>
        <v>9</v>
      </c>
      <c r="H74">
        <f t="shared" si="3"/>
        <v>12</v>
      </c>
      <c r="I74">
        <f t="shared" si="3"/>
        <v>6</v>
      </c>
      <c r="J74">
        <f t="shared" si="3"/>
        <v>10</v>
      </c>
      <c r="K74">
        <f t="shared" si="3"/>
        <v>10</v>
      </c>
      <c r="L74">
        <f t="shared" si="3"/>
        <v>10</v>
      </c>
      <c r="M74">
        <f t="shared" si="3"/>
        <v>10</v>
      </c>
      <c r="N74">
        <f t="shared" si="3"/>
        <v>12</v>
      </c>
      <c r="O74">
        <f t="shared" si="3"/>
        <v>9</v>
      </c>
      <c r="P74">
        <f t="shared" si="3"/>
        <v>9</v>
      </c>
      <c r="Q74">
        <f t="shared" si="3"/>
        <v>9</v>
      </c>
      <c r="R74">
        <f t="shared" si="3"/>
        <v>8</v>
      </c>
      <c r="S74">
        <f t="shared" si="3"/>
        <v>21</v>
      </c>
      <c r="T74">
        <f t="shared" si="3"/>
        <v>21</v>
      </c>
      <c r="U74">
        <f t="shared" si="3"/>
        <v>21</v>
      </c>
      <c r="V74">
        <f t="shared" si="3"/>
        <v>15</v>
      </c>
      <c r="W74">
        <f t="shared" si="3"/>
        <v>15</v>
      </c>
      <c r="X74">
        <f t="shared" si="3"/>
        <v>15</v>
      </c>
      <c r="Y74">
        <f t="shared" si="3"/>
        <v>15</v>
      </c>
      <c r="Z74">
        <f t="shared" si="3"/>
        <v>15</v>
      </c>
      <c r="AA74">
        <f t="shared" si="3"/>
        <v>15</v>
      </c>
      <c r="AB74">
        <f t="shared" si="3"/>
        <v>15</v>
      </c>
      <c r="AC74">
        <f t="shared" si="3"/>
        <v>21</v>
      </c>
      <c r="AD74">
        <f t="shared" si="3"/>
        <v>21</v>
      </c>
      <c r="AE74">
        <f t="shared" si="3"/>
        <v>21</v>
      </c>
      <c r="AF74">
        <f t="shared" si="3"/>
        <v>21</v>
      </c>
      <c r="AG74">
        <f t="shared" si="3"/>
        <v>21</v>
      </c>
      <c r="AH74">
        <f t="shared" si="3"/>
        <v>21</v>
      </c>
      <c r="AI74" s="4288" t="s">
        <v>351</v>
      </c>
      <c r="AJ74" s="4288"/>
      <c r="AK74" s="4288"/>
    </row>
    <row r="75" spans="1:37">
      <c r="A75" s="4289" t="s">
        <v>345</v>
      </c>
      <c r="B75" s="4289"/>
      <c r="C75" s="4289"/>
      <c r="D75">
        <v>13</v>
      </c>
      <c r="E75">
        <v>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13</v>
      </c>
      <c r="T75">
        <v>13</v>
      </c>
      <c r="U75">
        <v>13</v>
      </c>
      <c r="V75">
        <v>13</v>
      </c>
      <c r="W75">
        <v>13</v>
      </c>
      <c r="X75">
        <v>13</v>
      </c>
      <c r="Y75">
        <v>13</v>
      </c>
      <c r="Z75">
        <v>13</v>
      </c>
      <c r="AA75">
        <v>13</v>
      </c>
      <c r="AB75">
        <v>13</v>
      </c>
      <c r="AC75">
        <v>13</v>
      </c>
      <c r="AD75">
        <v>13</v>
      </c>
      <c r="AE75">
        <v>13</v>
      </c>
      <c r="AF75">
        <v>13</v>
      </c>
      <c r="AG75">
        <v>13</v>
      </c>
      <c r="AH75">
        <v>13</v>
      </c>
      <c r="AI75" s="4289" t="s">
        <v>345</v>
      </c>
      <c r="AJ75" s="4289"/>
      <c r="AK75" s="4289"/>
    </row>
    <row r="76" spans="1:37">
      <c r="A76" s="4289" t="s">
        <v>346</v>
      </c>
      <c r="B76" s="4289"/>
      <c r="C76" s="4289"/>
      <c r="D76">
        <v>2</v>
      </c>
      <c r="E76">
        <v>2</v>
      </c>
      <c r="F76">
        <v>2</v>
      </c>
      <c r="G76">
        <v>2</v>
      </c>
      <c r="H76">
        <v>5</v>
      </c>
      <c r="I76">
        <v>3</v>
      </c>
      <c r="J76">
        <v>3</v>
      </c>
      <c r="K76">
        <v>3</v>
      </c>
      <c r="L76">
        <v>3</v>
      </c>
      <c r="M76">
        <v>3</v>
      </c>
      <c r="N76">
        <v>5</v>
      </c>
      <c r="O76">
        <v>2</v>
      </c>
      <c r="P76">
        <v>2</v>
      </c>
      <c r="Q76">
        <v>2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 s="4289" t="s">
        <v>346</v>
      </c>
      <c r="AJ76" s="4289"/>
      <c r="AK76" s="4289"/>
    </row>
    <row r="77" spans="1:37">
      <c r="A77" s="4289" t="s">
        <v>23</v>
      </c>
      <c r="B77" s="4289"/>
      <c r="C77" s="4289"/>
      <c r="D77">
        <v>7</v>
      </c>
      <c r="E77">
        <v>7</v>
      </c>
      <c r="F77">
        <v>7</v>
      </c>
      <c r="G77">
        <v>7</v>
      </c>
      <c r="H77">
        <v>7</v>
      </c>
      <c r="I77">
        <v>3</v>
      </c>
      <c r="J77">
        <v>7</v>
      </c>
      <c r="K77">
        <v>7</v>
      </c>
      <c r="L77">
        <v>7</v>
      </c>
      <c r="M77">
        <v>7</v>
      </c>
      <c r="N77">
        <v>7</v>
      </c>
      <c r="O77">
        <v>7</v>
      </c>
      <c r="P77">
        <v>7</v>
      </c>
      <c r="Q77">
        <v>7</v>
      </c>
      <c r="R77">
        <v>7</v>
      </c>
      <c r="S77">
        <v>7</v>
      </c>
      <c r="T77">
        <v>7</v>
      </c>
      <c r="U77">
        <v>7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7</v>
      </c>
      <c r="AD77">
        <v>7</v>
      </c>
      <c r="AE77">
        <v>7</v>
      </c>
      <c r="AF77">
        <v>7</v>
      </c>
      <c r="AG77">
        <v>7</v>
      </c>
      <c r="AH77">
        <v>7</v>
      </c>
      <c r="AI77" s="4289" t="s">
        <v>23</v>
      </c>
      <c r="AJ77" s="4289"/>
      <c r="AK77" s="4289"/>
    </row>
    <row r="78" spans="1:37">
      <c r="A78" s="4288" t="s">
        <v>352</v>
      </c>
      <c r="B78" s="4288"/>
      <c r="C78" s="4288"/>
      <c r="D78">
        <f t="shared" ref="D78:AH78" si="4">SUM(D79:D81)</f>
        <v>7</v>
      </c>
      <c r="E78">
        <f t="shared" si="4"/>
        <v>7</v>
      </c>
      <c r="F78">
        <f t="shared" si="4"/>
        <v>20</v>
      </c>
      <c r="G78">
        <f t="shared" si="4"/>
        <v>20</v>
      </c>
      <c r="H78">
        <f t="shared" si="4"/>
        <v>15</v>
      </c>
      <c r="I78">
        <f t="shared" si="4"/>
        <v>19</v>
      </c>
      <c r="J78">
        <f t="shared" si="4"/>
        <v>17</v>
      </c>
      <c r="K78">
        <f t="shared" si="4"/>
        <v>17</v>
      </c>
      <c r="L78">
        <f t="shared" si="4"/>
        <v>17</v>
      </c>
      <c r="M78">
        <f t="shared" si="4"/>
        <v>17</v>
      </c>
      <c r="N78">
        <f t="shared" si="4"/>
        <v>15</v>
      </c>
      <c r="O78">
        <f t="shared" si="4"/>
        <v>20</v>
      </c>
      <c r="P78">
        <f t="shared" si="4"/>
        <v>20</v>
      </c>
      <c r="Q78">
        <f t="shared" si="4"/>
        <v>20</v>
      </c>
      <c r="R78">
        <f t="shared" si="4"/>
        <v>26</v>
      </c>
      <c r="S78">
        <f t="shared" si="4"/>
        <v>7</v>
      </c>
      <c r="T78">
        <f t="shared" si="4"/>
        <v>7</v>
      </c>
      <c r="U78">
        <f t="shared" si="4"/>
        <v>7</v>
      </c>
      <c r="V78">
        <f t="shared" si="4"/>
        <v>12</v>
      </c>
      <c r="W78">
        <f t="shared" si="4"/>
        <v>12</v>
      </c>
      <c r="X78">
        <f t="shared" si="4"/>
        <v>12</v>
      </c>
      <c r="Y78">
        <f t="shared" si="4"/>
        <v>12</v>
      </c>
      <c r="Z78">
        <f t="shared" si="4"/>
        <v>9</v>
      </c>
      <c r="AA78">
        <f t="shared" si="4"/>
        <v>9</v>
      </c>
      <c r="AB78">
        <f t="shared" si="4"/>
        <v>9</v>
      </c>
      <c r="AC78">
        <f t="shared" si="4"/>
        <v>2</v>
      </c>
      <c r="AD78">
        <f t="shared" si="4"/>
        <v>2</v>
      </c>
      <c r="AE78">
        <f t="shared" si="4"/>
        <v>2</v>
      </c>
      <c r="AF78">
        <f t="shared" si="4"/>
        <v>2</v>
      </c>
      <c r="AG78">
        <f t="shared" si="4"/>
        <v>2</v>
      </c>
      <c r="AH78">
        <f t="shared" si="4"/>
        <v>2</v>
      </c>
      <c r="AI78" s="4288" t="s">
        <v>352</v>
      </c>
      <c r="AJ78" s="4288"/>
      <c r="AK78" s="4288"/>
    </row>
    <row r="79" spans="1:37">
      <c r="A79" s="4289" t="s">
        <v>345</v>
      </c>
      <c r="B79" s="4289"/>
      <c r="C79" s="4289"/>
      <c r="D79">
        <v>0</v>
      </c>
      <c r="E79">
        <v>0</v>
      </c>
      <c r="F79">
        <v>13</v>
      </c>
      <c r="G79">
        <v>13</v>
      </c>
      <c r="H79">
        <v>13</v>
      </c>
      <c r="I79">
        <v>13</v>
      </c>
      <c r="J79">
        <v>13</v>
      </c>
      <c r="K79">
        <v>13</v>
      </c>
      <c r="L79">
        <v>13</v>
      </c>
      <c r="M79">
        <v>13</v>
      </c>
      <c r="N79">
        <v>13</v>
      </c>
      <c r="O79">
        <v>13</v>
      </c>
      <c r="P79">
        <v>13</v>
      </c>
      <c r="Q79">
        <v>13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s="4289" t="s">
        <v>345</v>
      </c>
      <c r="AJ79" s="4289"/>
      <c r="AK79" s="4289"/>
    </row>
    <row r="80" spans="1:37">
      <c r="A80" s="4289" t="s">
        <v>346</v>
      </c>
      <c r="B80" s="4289"/>
      <c r="C80" s="4289"/>
      <c r="D80">
        <v>5</v>
      </c>
      <c r="E80">
        <v>5</v>
      </c>
      <c r="F80">
        <v>5</v>
      </c>
      <c r="G80">
        <v>5</v>
      </c>
      <c r="H80">
        <v>0</v>
      </c>
      <c r="I80">
        <v>2</v>
      </c>
      <c r="J80">
        <v>2</v>
      </c>
      <c r="K80">
        <v>2</v>
      </c>
      <c r="L80">
        <v>2</v>
      </c>
      <c r="M80">
        <v>2</v>
      </c>
      <c r="N80">
        <v>0</v>
      </c>
      <c r="O80">
        <v>5</v>
      </c>
      <c r="P80">
        <v>5</v>
      </c>
      <c r="Q80">
        <v>5</v>
      </c>
      <c r="R80">
        <v>11</v>
      </c>
      <c r="S80">
        <v>5</v>
      </c>
      <c r="T80">
        <v>5</v>
      </c>
      <c r="U80">
        <v>5</v>
      </c>
      <c r="V80">
        <v>3</v>
      </c>
      <c r="W80">
        <v>3</v>
      </c>
      <c r="X80">
        <v>3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s="4289" t="s">
        <v>346</v>
      </c>
      <c r="AJ80" s="4289"/>
      <c r="AK80" s="4289"/>
    </row>
    <row r="81" spans="1:37">
      <c r="A81" s="4289" t="s">
        <v>23</v>
      </c>
      <c r="B81" s="4289"/>
      <c r="C81" s="4289"/>
      <c r="D81">
        <v>2</v>
      </c>
      <c r="E81">
        <v>2</v>
      </c>
      <c r="F81">
        <v>2</v>
      </c>
      <c r="G81">
        <v>2</v>
      </c>
      <c r="H81">
        <v>2</v>
      </c>
      <c r="I81">
        <v>4</v>
      </c>
      <c r="J81">
        <v>2</v>
      </c>
      <c r="K81">
        <v>2</v>
      </c>
      <c r="L81">
        <v>2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2</v>
      </c>
      <c r="AI81" s="4289" t="s">
        <v>23</v>
      </c>
      <c r="AJ81" s="4289"/>
      <c r="AK81" s="4289"/>
    </row>
    <row r="82" spans="1:37">
      <c r="A82" s="4301"/>
      <c r="B82" s="4301"/>
      <c r="C82" s="4301"/>
      <c r="D82" s="4301"/>
      <c r="E82" s="4301"/>
      <c r="F82" s="4301"/>
      <c r="G82" s="4301"/>
      <c r="H82" s="4301"/>
      <c r="I82" s="4301"/>
      <c r="J82" s="4301"/>
      <c r="K82" s="4301"/>
      <c r="L82" s="4301"/>
      <c r="M82" s="4301"/>
      <c r="N82" s="4301"/>
      <c r="O82" s="4301"/>
      <c r="P82" s="4301"/>
      <c r="Q82" s="4301"/>
      <c r="R82" s="4301"/>
      <c r="S82" s="4301"/>
      <c r="T82" s="4301"/>
      <c r="U82" s="4301"/>
      <c r="V82" s="4301"/>
      <c r="W82" s="4301"/>
      <c r="X82" s="4301"/>
      <c r="Y82" s="4301"/>
      <c r="Z82" s="4301"/>
      <c r="AA82" s="4301"/>
      <c r="AB82" s="4301"/>
      <c r="AC82" s="4301"/>
      <c r="AD82" s="4301"/>
      <c r="AE82" s="4301"/>
      <c r="AF82" s="4301"/>
      <c r="AG82" s="4301"/>
      <c r="AH82" s="3580"/>
      <c r="AI82" s="4301"/>
      <c r="AJ82" s="4301"/>
      <c r="AK82" s="4301"/>
    </row>
    <row r="83" spans="1:37">
      <c r="A83" s="3580"/>
      <c r="B83" s="3580"/>
      <c r="C83" s="3580"/>
      <c r="D83" s="3699">
        <v>1</v>
      </c>
      <c r="E83" s="3588">
        <v>2</v>
      </c>
      <c r="F83" s="3588">
        <v>3</v>
      </c>
      <c r="G83" s="3588">
        <v>4</v>
      </c>
      <c r="H83" s="3588">
        <v>5</v>
      </c>
      <c r="I83" s="3588">
        <v>6</v>
      </c>
      <c r="J83" s="3588">
        <v>7</v>
      </c>
      <c r="K83" s="3588">
        <v>8</v>
      </c>
      <c r="L83" s="3588">
        <v>9</v>
      </c>
      <c r="M83" s="3588">
        <v>10</v>
      </c>
      <c r="N83" s="3588">
        <v>11</v>
      </c>
      <c r="O83" s="3588">
        <v>12</v>
      </c>
      <c r="P83" s="3588">
        <v>13</v>
      </c>
      <c r="Q83" s="3588">
        <v>14</v>
      </c>
      <c r="R83" s="3588">
        <v>15</v>
      </c>
      <c r="S83" s="3588">
        <v>16</v>
      </c>
      <c r="T83" s="3588">
        <v>17</v>
      </c>
      <c r="U83" s="3588">
        <v>18</v>
      </c>
      <c r="V83" s="3588">
        <v>19</v>
      </c>
      <c r="W83" s="3588">
        <v>20</v>
      </c>
      <c r="X83" s="3588">
        <v>21</v>
      </c>
      <c r="Y83" s="3588">
        <v>22</v>
      </c>
      <c r="Z83" s="3588">
        <v>23</v>
      </c>
      <c r="AA83" s="3703">
        <v>24</v>
      </c>
      <c r="AB83" s="3703">
        <v>25</v>
      </c>
      <c r="AC83" s="3703">
        <v>26</v>
      </c>
      <c r="AD83" s="3703">
        <v>27</v>
      </c>
      <c r="AE83" s="41">
        <v>28</v>
      </c>
      <c r="AF83" s="41">
        <v>29</v>
      </c>
      <c r="AG83" s="41">
        <v>30</v>
      </c>
      <c r="AH83" s="41">
        <v>31</v>
      </c>
      <c r="AI83" s="3580"/>
      <c r="AJ83" s="3580"/>
      <c r="AK83" s="3580"/>
    </row>
    <row r="84" spans="1:37">
      <c r="A84" s="4300" t="s">
        <v>353</v>
      </c>
      <c r="B84" s="4300"/>
      <c r="C84" s="4300"/>
      <c r="D84" s="4299"/>
      <c r="E84" s="4299"/>
      <c r="F84" s="4299"/>
      <c r="G84" s="4299"/>
      <c r="H84" s="4299"/>
      <c r="I84" s="4299"/>
      <c r="J84" s="4299"/>
      <c r="K84" s="4299"/>
      <c r="L84" s="4299"/>
      <c r="M84" s="4299"/>
      <c r="N84" s="4299"/>
      <c r="O84" s="4299"/>
      <c r="P84" s="4299"/>
      <c r="Q84" s="4299"/>
      <c r="R84" s="4299"/>
      <c r="S84" s="4299"/>
      <c r="T84" s="4299"/>
      <c r="U84" s="4299"/>
      <c r="V84" s="4299"/>
      <c r="W84" s="4299"/>
      <c r="X84" s="4299"/>
      <c r="Y84" s="4299"/>
      <c r="Z84" s="4299"/>
      <c r="AA84" s="4299"/>
      <c r="AB84" s="4299"/>
      <c r="AC84" s="4299"/>
      <c r="AD84" s="4299"/>
      <c r="AE84" s="4299"/>
      <c r="AF84" s="4299"/>
      <c r="AG84" s="4299"/>
      <c r="AH84" s="3579"/>
      <c r="AI84" s="4300" t="s">
        <v>354</v>
      </c>
      <c r="AJ84" s="4300"/>
      <c r="AK84" s="4300"/>
    </row>
    <row r="85" spans="1:37">
      <c r="A85" s="4299" t="s">
        <v>345</v>
      </c>
      <c r="B85" s="4299"/>
      <c r="C85" s="4299"/>
      <c r="D85">
        <f t="shared" ref="D85:AH85" si="5">(D75+D79)/D71</f>
        <v>1</v>
      </c>
      <c r="E85">
        <f t="shared" si="5"/>
        <v>1</v>
      </c>
      <c r="F85">
        <f t="shared" si="5"/>
        <v>1</v>
      </c>
      <c r="G85">
        <f t="shared" si="5"/>
        <v>1</v>
      </c>
      <c r="H85">
        <f t="shared" si="5"/>
        <v>1</v>
      </c>
      <c r="I85">
        <f t="shared" si="5"/>
        <v>1</v>
      </c>
      <c r="J85">
        <f t="shared" si="5"/>
        <v>1</v>
      </c>
      <c r="K85">
        <f t="shared" si="5"/>
        <v>1</v>
      </c>
      <c r="L85">
        <f t="shared" si="5"/>
        <v>1</v>
      </c>
      <c r="M85">
        <f t="shared" si="5"/>
        <v>1</v>
      </c>
      <c r="N85">
        <f t="shared" si="5"/>
        <v>1</v>
      </c>
      <c r="O85">
        <f t="shared" si="5"/>
        <v>1</v>
      </c>
      <c r="P85">
        <f t="shared" si="5"/>
        <v>1</v>
      </c>
      <c r="Q85">
        <f t="shared" si="5"/>
        <v>1</v>
      </c>
      <c r="R85">
        <f t="shared" si="5"/>
        <v>1</v>
      </c>
      <c r="S85">
        <f t="shared" si="5"/>
        <v>1</v>
      </c>
      <c r="T85">
        <f t="shared" si="5"/>
        <v>1</v>
      </c>
      <c r="U85">
        <f t="shared" si="5"/>
        <v>1</v>
      </c>
      <c r="V85">
        <f t="shared" si="5"/>
        <v>1</v>
      </c>
      <c r="W85">
        <f t="shared" si="5"/>
        <v>1</v>
      </c>
      <c r="X85">
        <f t="shared" si="5"/>
        <v>1</v>
      </c>
      <c r="Y85">
        <f t="shared" si="5"/>
        <v>1</v>
      </c>
      <c r="Z85">
        <f t="shared" si="5"/>
        <v>1</v>
      </c>
      <c r="AA85">
        <f t="shared" si="5"/>
        <v>1</v>
      </c>
      <c r="AB85">
        <f t="shared" si="5"/>
        <v>1</v>
      </c>
      <c r="AC85">
        <f t="shared" si="5"/>
        <v>1</v>
      </c>
      <c r="AD85">
        <f t="shared" si="5"/>
        <v>1</v>
      </c>
      <c r="AE85">
        <f t="shared" si="5"/>
        <v>1</v>
      </c>
      <c r="AF85">
        <f t="shared" si="5"/>
        <v>1</v>
      </c>
      <c r="AG85">
        <f t="shared" si="5"/>
        <v>1</v>
      </c>
      <c r="AH85">
        <f t="shared" si="5"/>
        <v>1</v>
      </c>
      <c r="AI85" s="4299" t="s">
        <v>345</v>
      </c>
      <c r="AJ85" s="4299"/>
      <c r="AK85" s="4299"/>
    </row>
    <row r="86" spans="1:37">
      <c r="A86" s="4299" t="s">
        <v>346</v>
      </c>
      <c r="B86" s="4299"/>
      <c r="C86" s="4299"/>
      <c r="D86">
        <f t="shared" ref="D86:AH86" si="6">(D76+D80)/D72</f>
        <v>1.4</v>
      </c>
      <c r="E86">
        <f t="shared" si="6"/>
        <v>1.4</v>
      </c>
      <c r="F86">
        <f t="shared" si="6"/>
        <v>1.4</v>
      </c>
      <c r="G86">
        <f t="shared" si="6"/>
        <v>1.4</v>
      </c>
      <c r="H86">
        <f t="shared" si="6"/>
        <v>1</v>
      </c>
      <c r="I86">
        <f t="shared" si="6"/>
        <v>1</v>
      </c>
      <c r="J86">
        <f t="shared" si="6"/>
        <v>1</v>
      </c>
      <c r="K86">
        <f t="shared" si="6"/>
        <v>1</v>
      </c>
      <c r="L86">
        <f t="shared" si="6"/>
        <v>1</v>
      </c>
      <c r="M86">
        <f t="shared" si="6"/>
        <v>1</v>
      </c>
      <c r="N86">
        <f t="shared" si="6"/>
        <v>1</v>
      </c>
      <c r="O86">
        <f t="shared" si="6"/>
        <v>1.4</v>
      </c>
      <c r="P86">
        <f t="shared" si="6"/>
        <v>1.4</v>
      </c>
      <c r="Q86">
        <f t="shared" si="6"/>
        <v>1.4</v>
      </c>
      <c r="R86">
        <f t="shared" si="6"/>
        <v>2.4</v>
      </c>
      <c r="S86">
        <f t="shared" si="6"/>
        <v>1.2</v>
      </c>
      <c r="T86">
        <f t="shared" si="6"/>
        <v>1.2</v>
      </c>
      <c r="U86">
        <f t="shared" si="6"/>
        <v>1.2</v>
      </c>
      <c r="V86">
        <f t="shared" si="6"/>
        <v>0.8</v>
      </c>
      <c r="W86">
        <f t="shared" si="6"/>
        <v>0.8</v>
      </c>
      <c r="X86">
        <f t="shared" si="6"/>
        <v>0.8</v>
      </c>
      <c r="Y86">
        <f t="shared" si="6"/>
        <v>0.8</v>
      </c>
      <c r="Z86">
        <f t="shared" si="6"/>
        <v>0.2</v>
      </c>
      <c r="AA86">
        <f t="shared" si="6"/>
        <v>0.2</v>
      </c>
      <c r="AB86">
        <f t="shared" si="6"/>
        <v>0.2</v>
      </c>
      <c r="AC86">
        <f t="shared" si="6"/>
        <v>0.2</v>
      </c>
      <c r="AD86">
        <f t="shared" si="6"/>
        <v>0.2</v>
      </c>
      <c r="AE86">
        <f t="shared" si="6"/>
        <v>0.2</v>
      </c>
      <c r="AF86">
        <f t="shared" si="6"/>
        <v>0.2</v>
      </c>
      <c r="AG86">
        <f t="shared" si="6"/>
        <v>0.2</v>
      </c>
      <c r="AH86">
        <f t="shared" si="6"/>
        <v>0.2</v>
      </c>
      <c r="AI86" s="4299" t="s">
        <v>346</v>
      </c>
      <c r="AJ86" s="4299"/>
      <c r="AK86" s="4299"/>
    </row>
    <row r="87" spans="1:37">
      <c r="A87" s="4299" t="s">
        <v>23</v>
      </c>
      <c r="B87" s="4299"/>
      <c r="C87" s="4299"/>
      <c r="D87">
        <f t="shared" ref="D87:AH87" si="7">(D77+D81)/D73</f>
        <v>1.125</v>
      </c>
      <c r="E87">
        <f t="shared" si="7"/>
        <v>1.125</v>
      </c>
      <c r="F87">
        <f t="shared" si="7"/>
        <v>1.125</v>
      </c>
      <c r="G87">
        <f t="shared" si="7"/>
        <v>1.125</v>
      </c>
      <c r="H87">
        <f t="shared" si="7"/>
        <v>1.125</v>
      </c>
      <c r="I87">
        <f t="shared" si="7"/>
        <v>0.875</v>
      </c>
      <c r="J87">
        <f t="shared" si="7"/>
        <v>1.125</v>
      </c>
      <c r="K87">
        <f t="shared" si="7"/>
        <v>1.125</v>
      </c>
      <c r="L87">
        <f t="shared" si="7"/>
        <v>1.125</v>
      </c>
      <c r="M87">
        <f t="shared" si="7"/>
        <v>1.125</v>
      </c>
      <c r="N87">
        <f t="shared" si="7"/>
        <v>1.125</v>
      </c>
      <c r="O87">
        <f t="shared" si="7"/>
        <v>1.125</v>
      </c>
      <c r="P87">
        <f t="shared" si="7"/>
        <v>1.125</v>
      </c>
      <c r="Q87">
        <f t="shared" si="7"/>
        <v>1.125</v>
      </c>
      <c r="R87">
        <f t="shared" si="7"/>
        <v>1.125</v>
      </c>
      <c r="S87">
        <f t="shared" si="7"/>
        <v>1.125</v>
      </c>
      <c r="T87">
        <f t="shared" si="7"/>
        <v>1.125</v>
      </c>
      <c r="U87">
        <f t="shared" si="7"/>
        <v>1.125</v>
      </c>
      <c r="V87">
        <f t="shared" si="7"/>
        <v>1.25</v>
      </c>
      <c r="W87">
        <f t="shared" si="7"/>
        <v>1.25</v>
      </c>
      <c r="X87">
        <f t="shared" si="7"/>
        <v>1.25</v>
      </c>
      <c r="Y87">
        <f t="shared" si="7"/>
        <v>1.25</v>
      </c>
      <c r="Z87">
        <f t="shared" si="7"/>
        <v>1.25</v>
      </c>
      <c r="AA87">
        <f t="shared" si="7"/>
        <v>1.25</v>
      </c>
      <c r="AB87">
        <f t="shared" si="7"/>
        <v>1.25</v>
      </c>
      <c r="AC87">
        <f t="shared" si="7"/>
        <v>1.125</v>
      </c>
      <c r="AD87">
        <f t="shared" si="7"/>
        <v>1.125</v>
      </c>
      <c r="AE87">
        <f t="shared" si="7"/>
        <v>1.125</v>
      </c>
      <c r="AF87">
        <f t="shared" si="7"/>
        <v>1.125</v>
      </c>
      <c r="AG87">
        <f t="shared" si="7"/>
        <v>1.125</v>
      </c>
      <c r="AH87">
        <f t="shared" si="7"/>
        <v>1.125</v>
      </c>
      <c r="AI87" s="4299" t="s">
        <v>23</v>
      </c>
      <c r="AJ87" s="4299"/>
      <c r="AK87" s="4299"/>
    </row>
    <row r="88" spans="1:37">
      <c r="A88" s="4302" t="s">
        <v>355</v>
      </c>
      <c r="B88" s="4299"/>
      <c r="C88" s="4299"/>
      <c r="D88" s="4299"/>
      <c r="E88" s="4299"/>
      <c r="F88" s="4299"/>
      <c r="G88" s="4299"/>
      <c r="H88" s="4299"/>
      <c r="I88" s="4299"/>
      <c r="J88" s="4299"/>
      <c r="K88" s="4299"/>
      <c r="L88" s="4299"/>
      <c r="M88" s="4299"/>
      <c r="N88" s="4299"/>
      <c r="O88" s="4299"/>
      <c r="P88" s="4299"/>
      <c r="Q88" s="4299"/>
      <c r="R88" s="4299"/>
      <c r="S88" s="4299"/>
      <c r="T88" s="4299"/>
      <c r="U88" s="4299"/>
      <c r="V88" s="4299"/>
      <c r="W88" s="4299"/>
      <c r="X88" s="4299"/>
      <c r="Y88" s="4299"/>
      <c r="Z88" s="4299"/>
      <c r="AA88" s="4299"/>
      <c r="AB88" s="4299"/>
      <c r="AC88" s="4299"/>
      <c r="AD88" s="4299"/>
      <c r="AE88" s="4299"/>
      <c r="AF88" s="4299"/>
      <c r="AG88" s="4299"/>
      <c r="AH88" s="3579"/>
      <c r="AI88" s="4302" t="s">
        <v>355</v>
      </c>
      <c r="AJ88" s="4299"/>
      <c r="AK88" s="4299"/>
    </row>
    <row r="89" spans="1:37">
      <c r="A89" s="4303" t="s">
        <v>356</v>
      </c>
      <c r="B89" s="4303"/>
      <c r="C89" s="4303"/>
      <c r="D89">
        <f t="shared" ref="D89:AH89" si="8">D71/(D63+D67)</f>
        <v>4.333333333333333</v>
      </c>
      <c r="E89">
        <f t="shared" si="8"/>
        <v>4.333333333333333</v>
      </c>
      <c r="F89">
        <f t="shared" si="8"/>
        <v>4.333333333333333</v>
      </c>
      <c r="G89">
        <f t="shared" si="8"/>
        <v>4.333333333333333</v>
      </c>
      <c r="H89">
        <f t="shared" si="8"/>
        <v>4.333333333333333</v>
      </c>
      <c r="I89">
        <f t="shared" si="8"/>
        <v>4.333333333333333</v>
      </c>
      <c r="J89">
        <f t="shared" si="8"/>
        <v>4.333333333333333</v>
      </c>
      <c r="K89">
        <f t="shared" si="8"/>
        <v>6.5</v>
      </c>
      <c r="L89">
        <f t="shared" si="8"/>
        <v>6.5</v>
      </c>
      <c r="M89">
        <f t="shared" si="8"/>
        <v>6.5</v>
      </c>
      <c r="N89">
        <f t="shared" si="8"/>
        <v>6.5</v>
      </c>
      <c r="O89">
        <f t="shared" si="8"/>
        <v>6.5</v>
      </c>
      <c r="P89">
        <f t="shared" si="8"/>
        <v>6.5</v>
      </c>
      <c r="Q89">
        <f t="shared" si="8"/>
        <v>6.5</v>
      </c>
      <c r="R89">
        <f t="shared" si="8"/>
        <v>6.5</v>
      </c>
      <c r="S89">
        <f t="shared" si="8"/>
        <v>4.333333333333333</v>
      </c>
      <c r="T89">
        <f t="shared" si="8"/>
        <v>4.333333333333333</v>
      </c>
      <c r="U89">
        <f t="shared" si="8"/>
        <v>4.333333333333333</v>
      </c>
      <c r="V89">
        <f t="shared" si="8"/>
        <v>4.333333333333333</v>
      </c>
      <c r="W89">
        <f t="shared" si="8"/>
        <v>4.333333333333333</v>
      </c>
      <c r="X89">
        <f t="shared" si="8"/>
        <v>4.333333333333333</v>
      </c>
      <c r="Y89">
        <f t="shared" si="8"/>
        <v>4.333333333333333</v>
      </c>
      <c r="Z89">
        <f t="shared" si="8"/>
        <v>4.333333333333333</v>
      </c>
      <c r="AA89">
        <f t="shared" si="8"/>
        <v>4.333333333333333</v>
      </c>
      <c r="AB89">
        <f t="shared" si="8"/>
        <v>4.333333333333333</v>
      </c>
      <c r="AC89">
        <f t="shared" si="8"/>
        <v>4.333333333333333</v>
      </c>
      <c r="AD89">
        <f t="shared" si="8"/>
        <v>4.333333333333333</v>
      </c>
      <c r="AE89">
        <f t="shared" si="8"/>
        <v>4.333333333333333</v>
      </c>
      <c r="AF89">
        <f t="shared" si="8"/>
        <v>4.333333333333333</v>
      </c>
      <c r="AG89">
        <f t="shared" si="8"/>
        <v>4.333333333333333</v>
      </c>
      <c r="AH89">
        <f t="shared" si="8"/>
        <v>4.333333333333333</v>
      </c>
      <c r="AI89" s="4303" t="s">
        <v>356</v>
      </c>
      <c r="AJ89" s="4303"/>
      <c r="AK89" s="4303"/>
    </row>
    <row r="90" spans="1:37">
      <c r="A90" s="4303" t="s">
        <v>357</v>
      </c>
      <c r="B90" s="4303"/>
      <c r="C90" s="4303"/>
      <c r="D90">
        <f t="shared" ref="D90:AH90" si="9">D72/(D68+D64)</f>
        <v>1</v>
      </c>
      <c r="E90">
        <f t="shared" si="9"/>
        <v>1</v>
      </c>
      <c r="F90">
        <f t="shared" si="9"/>
        <v>1</v>
      </c>
      <c r="G90">
        <f t="shared" si="9"/>
        <v>1</v>
      </c>
      <c r="H90">
        <f t="shared" si="9"/>
        <v>1.25</v>
      </c>
      <c r="I90">
        <f t="shared" si="9"/>
        <v>1</v>
      </c>
      <c r="J90">
        <f t="shared" si="9"/>
        <v>1</v>
      </c>
      <c r="K90">
        <f t="shared" si="9"/>
        <v>1</v>
      </c>
      <c r="L90">
        <f t="shared" si="9"/>
        <v>1</v>
      </c>
      <c r="M90">
        <f t="shared" si="9"/>
        <v>1</v>
      </c>
      <c r="N90">
        <f t="shared" si="9"/>
        <v>1.25</v>
      </c>
      <c r="O90">
        <f t="shared" si="9"/>
        <v>1.25</v>
      </c>
      <c r="P90">
        <f t="shared" si="9"/>
        <v>1.25</v>
      </c>
      <c r="Q90">
        <f t="shared" si="9"/>
        <v>1</v>
      </c>
      <c r="R90">
        <f t="shared" si="9"/>
        <v>1</v>
      </c>
      <c r="S90">
        <f t="shared" si="9"/>
        <v>1.25</v>
      </c>
      <c r="T90">
        <f t="shared" si="9"/>
        <v>1.25</v>
      </c>
      <c r="U90">
        <f t="shared" si="9"/>
        <v>1.25</v>
      </c>
      <c r="V90">
        <f t="shared" si="9"/>
        <v>2.5</v>
      </c>
      <c r="W90">
        <f t="shared" si="9"/>
        <v>2.5</v>
      </c>
      <c r="X90">
        <f t="shared" si="9"/>
        <v>2.5</v>
      </c>
      <c r="Y90">
        <f t="shared" si="9"/>
        <v>2.5</v>
      </c>
      <c r="Z90" s="878">
        <f t="shared" si="9"/>
        <v>2.5</v>
      </c>
      <c r="AA90">
        <f t="shared" si="9"/>
        <v>2.5</v>
      </c>
      <c r="AB90">
        <f t="shared" si="9"/>
        <v>2.5</v>
      </c>
      <c r="AC90">
        <f t="shared" si="9"/>
        <v>2.5</v>
      </c>
      <c r="AD90">
        <f t="shared" si="9"/>
        <v>2.5</v>
      </c>
      <c r="AE90">
        <f t="shared" si="9"/>
        <v>2.5</v>
      </c>
      <c r="AF90">
        <f t="shared" si="9"/>
        <v>2.5</v>
      </c>
      <c r="AG90">
        <f t="shared" si="9"/>
        <v>2.5</v>
      </c>
      <c r="AH90">
        <f t="shared" si="9"/>
        <v>2.5</v>
      </c>
      <c r="AI90" s="4303" t="s">
        <v>357</v>
      </c>
      <c r="AJ90" s="4303"/>
      <c r="AK90" s="4303"/>
    </row>
    <row r="91" spans="1:37">
      <c r="A91" s="4303" t="s">
        <v>358</v>
      </c>
      <c r="B91" s="4303"/>
      <c r="C91" s="4303"/>
      <c r="D91">
        <f t="shared" ref="D91:AH91" si="10">D73/(D69+D65)</f>
        <v>2</v>
      </c>
      <c r="E91">
        <f t="shared" si="10"/>
        <v>2</v>
      </c>
      <c r="F91">
        <f t="shared" si="10"/>
        <v>2</v>
      </c>
      <c r="G91">
        <f t="shared" si="10"/>
        <v>2</v>
      </c>
      <c r="H91">
        <f t="shared" si="10"/>
        <v>2</v>
      </c>
      <c r="I91">
        <f t="shared" si="10"/>
        <v>1.6</v>
      </c>
      <c r="J91">
        <f t="shared" si="10"/>
        <v>2</v>
      </c>
      <c r="K91">
        <f t="shared" si="10"/>
        <v>2</v>
      </c>
      <c r="L91">
        <f t="shared" si="10"/>
        <v>2</v>
      </c>
      <c r="M91">
        <f t="shared" si="10"/>
        <v>2.6666666666666665</v>
      </c>
      <c r="N91">
        <f t="shared" si="10"/>
        <v>2.6666666666666665</v>
      </c>
      <c r="O91">
        <f t="shared" si="10"/>
        <v>2.6666666666666665</v>
      </c>
      <c r="P91">
        <f t="shared" si="10"/>
        <v>2.6666666666666665</v>
      </c>
      <c r="Q91">
        <f t="shared" si="10"/>
        <v>2.6666666666666665</v>
      </c>
      <c r="R91">
        <f t="shared" si="10"/>
        <v>2.6666666666666665</v>
      </c>
      <c r="S91">
        <f t="shared" si="10"/>
        <v>2</v>
      </c>
      <c r="T91">
        <f t="shared" si="10"/>
        <v>2</v>
      </c>
      <c r="U91">
        <f t="shared" si="10"/>
        <v>2</v>
      </c>
      <c r="V91">
        <f t="shared" si="10"/>
        <v>2</v>
      </c>
      <c r="W91">
        <f t="shared" si="10"/>
        <v>2</v>
      </c>
      <c r="X91">
        <f t="shared" si="10"/>
        <v>2</v>
      </c>
      <c r="Y91">
        <f t="shared" si="10"/>
        <v>2</v>
      </c>
      <c r="Z91">
        <f t="shared" si="10"/>
        <v>2</v>
      </c>
      <c r="AA91">
        <f t="shared" si="10"/>
        <v>2</v>
      </c>
      <c r="AB91">
        <f t="shared" si="10"/>
        <v>2</v>
      </c>
      <c r="AC91">
        <f t="shared" si="10"/>
        <v>1.3333333333333333</v>
      </c>
      <c r="AD91">
        <f t="shared" si="10"/>
        <v>1.3333333333333333</v>
      </c>
      <c r="AE91">
        <f t="shared" si="10"/>
        <v>1.3333333333333333</v>
      </c>
      <c r="AF91">
        <f t="shared" si="10"/>
        <v>1.3333333333333333</v>
      </c>
      <c r="AG91">
        <f t="shared" si="10"/>
        <v>1.3333333333333333</v>
      </c>
      <c r="AH91">
        <f t="shared" si="10"/>
        <v>1.3333333333333333</v>
      </c>
      <c r="AI91" s="4303" t="s">
        <v>358</v>
      </c>
      <c r="AJ91" s="4303"/>
      <c r="AK91" s="4303"/>
    </row>
    <row r="92" spans="1:37">
      <c r="A92" s="4300" t="s">
        <v>768</v>
      </c>
      <c r="B92" s="4300"/>
      <c r="C92" s="4300"/>
      <c r="D92" s="4300"/>
      <c r="E92" s="4300"/>
      <c r="F92" s="4300"/>
      <c r="G92" s="4300"/>
      <c r="H92" s="4300"/>
      <c r="I92" s="4300"/>
      <c r="J92" s="4300"/>
      <c r="K92" s="4300"/>
      <c r="L92" s="4300"/>
      <c r="M92" s="4300"/>
      <c r="N92" s="4300"/>
      <c r="O92" s="4300"/>
      <c r="P92" s="4300"/>
      <c r="Q92" s="4300"/>
      <c r="R92" s="4300"/>
      <c r="S92" s="4300"/>
      <c r="T92" s="4300"/>
      <c r="U92" s="4300"/>
      <c r="V92" s="4300"/>
      <c r="W92" s="4300"/>
      <c r="X92" s="4300"/>
      <c r="Y92" s="4300"/>
      <c r="Z92" s="4300"/>
      <c r="AA92" s="4300"/>
      <c r="AB92" s="4300"/>
      <c r="AC92" s="4300"/>
      <c r="AD92" s="4300"/>
      <c r="AE92" s="4300"/>
      <c r="AF92" s="4300"/>
      <c r="AG92" s="4300"/>
      <c r="AH92" s="3582"/>
      <c r="AI92" s="4300" t="s">
        <v>360</v>
      </c>
      <c r="AJ92" s="4300"/>
      <c r="AK92" s="4300"/>
    </row>
    <row r="93" spans="1:37">
      <c r="A93" s="4299" t="s">
        <v>345</v>
      </c>
      <c r="B93" s="4299"/>
      <c r="C93" s="4299"/>
      <c r="D93">
        <f>ABS(D85-((((D71*8)/D89)/(D71*8))*(D67+D63)))</f>
        <v>0.30769230769230771</v>
      </c>
      <c r="E93">
        <f t="shared" ref="E93:AH93" si="11">ABS(E85-((((E71*8)/E89)/(E71*8))*(E67+E63)))</f>
        <v>0.30769230769230771</v>
      </c>
      <c r="F93">
        <f t="shared" si="11"/>
        <v>0.30769230769230771</v>
      </c>
      <c r="G93">
        <f t="shared" si="11"/>
        <v>0.30769230769230771</v>
      </c>
      <c r="H93">
        <f t="shared" si="11"/>
        <v>0.30769230769230771</v>
      </c>
      <c r="I93">
        <f t="shared" si="11"/>
        <v>0.30769230769230771</v>
      </c>
      <c r="J93">
        <f t="shared" si="11"/>
        <v>0.30769230769230771</v>
      </c>
      <c r="K93">
        <f t="shared" si="11"/>
        <v>0.69230769230769229</v>
      </c>
      <c r="L93">
        <f t="shared" si="11"/>
        <v>0.69230769230769229</v>
      </c>
      <c r="M93">
        <f t="shared" si="11"/>
        <v>0.69230769230769229</v>
      </c>
      <c r="N93">
        <f t="shared" si="11"/>
        <v>0.69230769230769229</v>
      </c>
      <c r="O93">
        <f t="shared" si="11"/>
        <v>0.69230769230769229</v>
      </c>
      <c r="P93">
        <f t="shared" si="11"/>
        <v>0.69230769230769229</v>
      </c>
      <c r="Q93">
        <f t="shared" si="11"/>
        <v>0.69230769230769229</v>
      </c>
      <c r="R93">
        <f t="shared" si="11"/>
        <v>0.69230769230769229</v>
      </c>
      <c r="S93">
        <f t="shared" si="11"/>
        <v>0.30769230769230771</v>
      </c>
      <c r="T93">
        <f t="shared" si="11"/>
        <v>0.30769230769230771</v>
      </c>
      <c r="U93">
        <f t="shared" si="11"/>
        <v>0.30769230769230771</v>
      </c>
      <c r="V93">
        <f t="shared" si="11"/>
        <v>0.30769230769230771</v>
      </c>
      <c r="W93">
        <f t="shared" si="11"/>
        <v>0.30769230769230771</v>
      </c>
      <c r="X93">
        <f t="shared" si="11"/>
        <v>0.30769230769230771</v>
      </c>
      <c r="Y93">
        <f t="shared" si="11"/>
        <v>0.30769230769230771</v>
      </c>
      <c r="Z93">
        <f t="shared" si="11"/>
        <v>0.30769230769230771</v>
      </c>
      <c r="AA93">
        <f t="shared" si="11"/>
        <v>0.30769230769230771</v>
      </c>
      <c r="AB93">
        <f t="shared" si="11"/>
        <v>0.30769230769230771</v>
      </c>
      <c r="AC93">
        <f t="shared" si="11"/>
        <v>0.30769230769230771</v>
      </c>
      <c r="AD93">
        <f t="shared" si="11"/>
        <v>0.30769230769230771</v>
      </c>
      <c r="AE93">
        <f t="shared" si="11"/>
        <v>0.30769230769230771</v>
      </c>
      <c r="AF93">
        <f t="shared" si="11"/>
        <v>0.30769230769230771</v>
      </c>
      <c r="AG93">
        <f t="shared" si="11"/>
        <v>0.30769230769230771</v>
      </c>
      <c r="AH93">
        <f t="shared" si="11"/>
        <v>0.30769230769230771</v>
      </c>
      <c r="AI93" s="4299" t="s">
        <v>345</v>
      </c>
      <c r="AJ93" s="4299"/>
      <c r="AK93" s="4299"/>
    </row>
    <row r="94" spans="1:37">
      <c r="A94" s="4299" t="s">
        <v>346</v>
      </c>
      <c r="B94" s="4299"/>
      <c r="C94" s="4299"/>
      <c r="D94">
        <f>ABS(D86-((((D72*8)/D90)/(D72*8))*(D68+D64)))</f>
        <v>3.6</v>
      </c>
      <c r="E94">
        <f t="shared" ref="E94:AH94" si="12">ABS(E86-((((E72*8)/E90)/(E72*8))*(E68+E64)))</f>
        <v>3.6</v>
      </c>
      <c r="F94">
        <f t="shared" si="12"/>
        <v>3.6</v>
      </c>
      <c r="G94">
        <f t="shared" si="12"/>
        <v>3.6</v>
      </c>
      <c r="H94">
        <f t="shared" si="12"/>
        <v>2.2000000000000002</v>
      </c>
      <c r="I94">
        <f t="shared" si="12"/>
        <v>4</v>
      </c>
      <c r="J94">
        <f t="shared" si="12"/>
        <v>4</v>
      </c>
      <c r="K94">
        <f t="shared" si="12"/>
        <v>4</v>
      </c>
      <c r="L94">
        <f t="shared" si="12"/>
        <v>4</v>
      </c>
      <c r="M94">
        <f t="shared" si="12"/>
        <v>4</v>
      </c>
      <c r="N94">
        <f t="shared" si="12"/>
        <v>2.2000000000000002</v>
      </c>
      <c r="O94">
        <f t="shared" si="12"/>
        <v>1.8000000000000003</v>
      </c>
      <c r="P94">
        <f t="shared" si="12"/>
        <v>1.8000000000000003</v>
      </c>
      <c r="Q94">
        <f t="shared" si="12"/>
        <v>3.6</v>
      </c>
      <c r="R94">
        <f t="shared" si="12"/>
        <v>2.6</v>
      </c>
      <c r="S94">
        <f t="shared" si="12"/>
        <v>2</v>
      </c>
      <c r="T94">
        <f t="shared" si="12"/>
        <v>2</v>
      </c>
      <c r="U94">
        <f t="shared" si="12"/>
        <v>2</v>
      </c>
      <c r="V94">
        <f t="shared" si="12"/>
        <v>0</v>
      </c>
      <c r="W94">
        <f t="shared" si="12"/>
        <v>0</v>
      </c>
      <c r="X94">
        <f t="shared" si="12"/>
        <v>0</v>
      </c>
      <c r="Y94">
        <f t="shared" si="12"/>
        <v>0</v>
      </c>
      <c r="Z94">
        <f t="shared" si="12"/>
        <v>0.60000000000000009</v>
      </c>
      <c r="AA94">
        <f t="shared" si="12"/>
        <v>0.60000000000000009</v>
      </c>
      <c r="AB94">
        <f t="shared" si="12"/>
        <v>0.60000000000000009</v>
      </c>
      <c r="AC94">
        <f t="shared" si="12"/>
        <v>0.60000000000000009</v>
      </c>
      <c r="AD94">
        <f t="shared" si="12"/>
        <v>0.60000000000000009</v>
      </c>
      <c r="AE94">
        <f t="shared" si="12"/>
        <v>0.60000000000000009</v>
      </c>
      <c r="AF94">
        <f t="shared" si="12"/>
        <v>0.60000000000000009</v>
      </c>
      <c r="AG94">
        <f t="shared" si="12"/>
        <v>0.60000000000000009</v>
      </c>
      <c r="AH94">
        <f t="shared" si="12"/>
        <v>0.60000000000000009</v>
      </c>
      <c r="AI94" s="4299" t="s">
        <v>346</v>
      </c>
      <c r="AJ94" s="4299"/>
      <c r="AK94" s="4299"/>
    </row>
    <row r="95" spans="1:37">
      <c r="A95" s="4299" t="s">
        <v>23</v>
      </c>
      <c r="B95" s="4299"/>
      <c r="C95" s="4299"/>
      <c r="D95">
        <f>ABS(D87-((((D73*8)/D91)/(D73*8))*(D69+D65)))</f>
        <v>0.875</v>
      </c>
      <c r="E95">
        <f t="shared" ref="E95:AH95" si="13">ABS(E87-((((E73*8)/E91)/(E73*8))*(E69+E65)))</f>
        <v>0.875</v>
      </c>
      <c r="F95">
        <f t="shared" si="13"/>
        <v>0.875</v>
      </c>
      <c r="G95">
        <f t="shared" si="13"/>
        <v>0.875</v>
      </c>
      <c r="H95">
        <f t="shared" si="13"/>
        <v>0.875</v>
      </c>
      <c r="I95">
        <f t="shared" si="13"/>
        <v>2.25</v>
      </c>
      <c r="J95">
        <f t="shared" si="13"/>
        <v>0.875</v>
      </c>
      <c r="K95">
        <f t="shared" si="13"/>
        <v>0.875</v>
      </c>
      <c r="L95">
        <f t="shared" si="13"/>
        <v>0.875</v>
      </c>
      <c r="M95">
        <f t="shared" si="13"/>
        <v>0</v>
      </c>
      <c r="N95">
        <f>ABS(N87-((((N73*8)/N91)/(N73*8))*(N69+N65)))</f>
        <v>0</v>
      </c>
      <c r="O95">
        <f t="shared" si="13"/>
        <v>0</v>
      </c>
      <c r="P95">
        <f t="shared" si="13"/>
        <v>0</v>
      </c>
      <c r="Q95">
        <f t="shared" si="13"/>
        <v>0</v>
      </c>
      <c r="R95">
        <f t="shared" si="13"/>
        <v>0</v>
      </c>
      <c r="S95">
        <f t="shared" si="13"/>
        <v>0.875</v>
      </c>
      <c r="T95">
        <f t="shared" si="13"/>
        <v>0.875</v>
      </c>
      <c r="U95">
        <f t="shared" si="13"/>
        <v>0.875</v>
      </c>
      <c r="V95">
        <f t="shared" si="13"/>
        <v>0.75</v>
      </c>
      <c r="W95">
        <f t="shared" si="13"/>
        <v>0.75</v>
      </c>
      <c r="X95">
        <f t="shared" si="13"/>
        <v>0.75</v>
      </c>
      <c r="Y95">
        <f t="shared" si="13"/>
        <v>0.75</v>
      </c>
      <c r="Z95">
        <f t="shared" si="13"/>
        <v>0.75</v>
      </c>
      <c r="AA95">
        <f t="shared" si="13"/>
        <v>0.75</v>
      </c>
      <c r="AB95">
        <f t="shared" si="13"/>
        <v>0.75</v>
      </c>
      <c r="AC95">
        <f t="shared" si="13"/>
        <v>3.375</v>
      </c>
      <c r="AD95">
        <f t="shared" si="13"/>
        <v>3.375</v>
      </c>
      <c r="AE95">
        <f t="shared" si="13"/>
        <v>3.375</v>
      </c>
      <c r="AF95">
        <f t="shared" si="13"/>
        <v>3.375</v>
      </c>
      <c r="AG95">
        <f t="shared" si="13"/>
        <v>3.375</v>
      </c>
      <c r="AH95">
        <f t="shared" si="13"/>
        <v>3.375</v>
      </c>
      <c r="AI95" s="4299" t="s">
        <v>23</v>
      </c>
      <c r="AJ95" s="4299"/>
      <c r="AK95" s="4299"/>
    </row>
  </sheetData>
  <mergeCells count="198">
    <mergeCell ref="A1:C1"/>
    <mergeCell ref="D1:AH1"/>
    <mergeCell ref="A2:C2"/>
    <mergeCell ref="A3:C3"/>
    <mergeCell ref="A4:C4"/>
    <mergeCell ref="W4:AA4"/>
    <mergeCell ref="A12:C12"/>
    <mergeCell ref="P12:Q12"/>
    <mergeCell ref="A13:C13"/>
    <mergeCell ref="AD13:AE13"/>
    <mergeCell ref="AF9:AH9"/>
    <mergeCell ref="A10:C10"/>
    <mergeCell ref="E10:F10"/>
    <mergeCell ref="A5:C5"/>
    <mergeCell ref="G5:R5"/>
    <mergeCell ref="U5:AH5"/>
    <mergeCell ref="A6:C6"/>
    <mergeCell ref="A7:C7"/>
    <mergeCell ref="A8:C8"/>
    <mergeCell ref="F8:J8"/>
    <mergeCell ref="M8:AH8"/>
    <mergeCell ref="A14:C14"/>
    <mergeCell ref="A15:C15"/>
    <mergeCell ref="I15:M15"/>
    <mergeCell ref="A9:C9"/>
    <mergeCell ref="S9:T9"/>
    <mergeCell ref="A11:C11"/>
    <mergeCell ref="W11:X11"/>
    <mergeCell ref="S20:T20"/>
    <mergeCell ref="W21:AA21"/>
    <mergeCell ref="AG21:AH21"/>
    <mergeCell ref="E22:F22"/>
    <mergeCell ref="I22:M22"/>
    <mergeCell ref="P22:Q22"/>
    <mergeCell ref="T22:AH22"/>
    <mergeCell ref="A16:C16"/>
    <mergeCell ref="A17:C17"/>
    <mergeCell ref="AD17:AH17"/>
    <mergeCell ref="A18:C18"/>
    <mergeCell ref="A19:C19"/>
    <mergeCell ref="W19:AA19"/>
    <mergeCell ref="A29:A34"/>
    <mergeCell ref="AG29:AH29"/>
    <mergeCell ref="W30:AA30"/>
    <mergeCell ref="W32:AA32"/>
    <mergeCell ref="W33:AA33"/>
    <mergeCell ref="W34:X34"/>
    <mergeCell ref="S23:T23"/>
    <mergeCell ref="A24:A26"/>
    <mergeCell ref="D26:O26"/>
    <mergeCell ref="A27:A28"/>
    <mergeCell ref="E27:F27"/>
    <mergeCell ref="I27:M27"/>
    <mergeCell ref="S27:T27"/>
    <mergeCell ref="P28:Q28"/>
    <mergeCell ref="A52:A55"/>
    <mergeCell ref="P52:Q52"/>
    <mergeCell ref="E53:F53"/>
    <mergeCell ref="I53:M53"/>
    <mergeCell ref="W53:AA53"/>
    <mergeCell ref="S54:T54"/>
    <mergeCell ref="AG44:AH44"/>
    <mergeCell ref="F45:J45"/>
    <mergeCell ref="S48:T48"/>
    <mergeCell ref="A49:A51"/>
    <mergeCell ref="W49:AA49"/>
    <mergeCell ref="AD49:AH49"/>
    <mergeCell ref="W50:AA50"/>
    <mergeCell ref="AG50:AH50"/>
    <mergeCell ref="S51:AA51"/>
    <mergeCell ref="A35:A48"/>
    <mergeCell ref="E35:R35"/>
    <mergeCell ref="F36:J36"/>
    <mergeCell ref="E38:R38"/>
    <mergeCell ref="E39:R39"/>
    <mergeCell ref="E40:R40"/>
    <mergeCell ref="E41:R41"/>
    <mergeCell ref="F42:J42"/>
    <mergeCell ref="E44:R44"/>
    <mergeCell ref="W59:X59"/>
    <mergeCell ref="A61:C61"/>
    <mergeCell ref="AI61:AK61"/>
    <mergeCell ref="A62:C62"/>
    <mergeCell ref="AI62:AK62"/>
    <mergeCell ref="A63:C63"/>
    <mergeCell ref="AI63:AK63"/>
    <mergeCell ref="A56:A59"/>
    <mergeCell ref="I56:M56"/>
    <mergeCell ref="S56:T56"/>
    <mergeCell ref="W56:AA56"/>
    <mergeCell ref="AD56:AH56"/>
    <mergeCell ref="E57:F57"/>
    <mergeCell ref="P57:Q57"/>
    <mergeCell ref="W57:X57"/>
    <mergeCell ref="E59:F59"/>
    <mergeCell ref="P59:Q59"/>
    <mergeCell ref="A67:C67"/>
    <mergeCell ref="AI67:AK67"/>
    <mergeCell ref="A68:C68"/>
    <mergeCell ref="AI68:AK68"/>
    <mergeCell ref="A69:C69"/>
    <mergeCell ref="AI69:AK69"/>
    <mergeCell ref="A64:C64"/>
    <mergeCell ref="AI64:AK64"/>
    <mergeCell ref="A65:C65"/>
    <mergeCell ref="AI65:AK65"/>
    <mergeCell ref="A66:C66"/>
    <mergeCell ref="AI66:AK66"/>
    <mergeCell ref="A73:C73"/>
    <mergeCell ref="AI73:AK73"/>
    <mergeCell ref="A74:C74"/>
    <mergeCell ref="AI74:AK74"/>
    <mergeCell ref="A75:C75"/>
    <mergeCell ref="AI75:AK75"/>
    <mergeCell ref="A70:C70"/>
    <mergeCell ref="AI70:AK70"/>
    <mergeCell ref="A71:C71"/>
    <mergeCell ref="AI71:AK71"/>
    <mergeCell ref="A72:C72"/>
    <mergeCell ref="AI72:AK72"/>
    <mergeCell ref="A79:C79"/>
    <mergeCell ref="AI79:AK79"/>
    <mergeCell ref="A80:C80"/>
    <mergeCell ref="AI80:AK80"/>
    <mergeCell ref="A81:C81"/>
    <mergeCell ref="AI81:AK81"/>
    <mergeCell ref="A76:C76"/>
    <mergeCell ref="AI76:AK76"/>
    <mergeCell ref="A77:C77"/>
    <mergeCell ref="AI77:AK77"/>
    <mergeCell ref="A78:C78"/>
    <mergeCell ref="AI78:AK78"/>
    <mergeCell ref="S82:U82"/>
    <mergeCell ref="V82:X82"/>
    <mergeCell ref="Y82:AA82"/>
    <mergeCell ref="AB82:AD82"/>
    <mergeCell ref="AE82:AG82"/>
    <mergeCell ref="AI82:AK82"/>
    <mergeCell ref="A82:C82"/>
    <mergeCell ref="D82:F82"/>
    <mergeCell ref="G82:I82"/>
    <mergeCell ref="J82:L82"/>
    <mergeCell ref="M82:O82"/>
    <mergeCell ref="P82:R82"/>
    <mergeCell ref="A85:C85"/>
    <mergeCell ref="AI85:AK85"/>
    <mergeCell ref="A86:C86"/>
    <mergeCell ref="AI86:AK86"/>
    <mergeCell ref="A87:C87"/>
    <mergeCell ref="AI87:AK87"/>
    <mergeCell ref="S84:U84"/>
    <mergeCell ref="V84:X84"/>
    <mergeCell ref="Y84:AA84"/>
    <mergeCell ref="AB84:AD84"/>
    <mergeCell ref="AE84:AG84"/>
    <mergeCell ref="AI84:AK84"/>
    <mergeCell ref="A84:C84"/>
    <mergeCell ref="D84:F84"/>
    <mergeCell ref="G84:I84"/>
    <mergeCell ref="J84:L84"/>
    <mergeCell ref="M84:O84"/>
    <mergeCell ref="P84:R84"/>
    <mergeCell ref="A89:C89"/>
    <mergeCell ref="AI89:AK89"/>
    <mergeCell ref="A90:C90"/>
    <mergeCell ref="AI90:AK90"/>
    <mergeCell ref="A91:C91"/>
    <mergeCell ref="AI91:AK91"/>
    <mergeCell ref="S88:U88"/>
    <mergeCell ref="V88:X88"/>
    <mergeCell ref="Y88:AA88"/>
    <mergeCell ref="AB88:AD88"/>
    <mergeCell ref="AE88:AG88"/>
    <mergeCell ref="AI88:AK88"/>
    <mergeCell ref="A88:C88"/>
    <mergeCell ref="D88:F88"/>
    <mergeCell ref="G88:I88"/>
    <mergeCell ref="J88:L88"/>
    <mergeCell ref="M88:O88"/>
    <mergeCell ref="P88:R88"/>
    <mergeCell ref="A93:C93"/>
    <mergeCell ref="AI93:AK93"/>
    <mergeCell ref="A94:C94"/>
    <mergeCell ref="AI94:AK94"/>
    <mergeCell ref="A95:C95"/>
    <mergeCell ref="AI95:AK95"/>
    <mergeCell ref="S92:U92"/>
    <mergeCell ref="V92:X92"/>
    <mergeCell ref="Y92:AA92"/>
    <mergeCell ref="AB92:AD92"/>
    <mergeCell ref="AE92:AG92"/>
    <mergeCell ref="AI92:AK92"/>
    <mergeCell ref="A92:C92"/>
    <mergeCell ref="D92:F92"/>
    <mergeCell ref="G92:I92"/>
    <mergeCell ref="J92:L92"/>
    <mergeCell ref="M92:O92"/>
    <mergeCell ref="P92:R92"/>
  </mergeCells>
  <pageMargins left="0.25" right="0.25" top="0.75" bottom="0.75" header="0.3" footer="0.3"/>
  <pageSetup fitToHeight="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C1E5-D727-4E90-998C-E1116767B13B}">
  <sheetPr>
    <pageSetUpPr fitToPage="1"/>
  </sheetPr>
  <dimension ref="A1:AI79"/>
  <sheetViews>
    <sheetView zoomScale="70" zoomScaleNormal="70" workbookViewId="0">
      <pane xSplit="3" ySplit="4" topLeftCell="D5" activePane="bottomRight" state="frozen"/>
      <selection pane="bottomRight"/>
      <selection pane="bottomLeft"/>
      <selection pane="topRight"/>
    </sheetView>
  </sheetViews>
  <sheetFormatPr defaultRowHeight="15"/>
  <cols>
    <col min="1" max="1" width="10.5703125" customWidth="1"/>
    <col min="3" max="3" width="11.5703125" bestFit="1" customWidth="1"/>
  </cols>
  <sheetData>
    <row r="1" spans="1:35">
      <c r="A1" s="5065" t="s">
        <v>29</v>
      </c>
      <c r="B1" s="5066"/>
      <c r="C1" s="5066"/>
      <c r="D1" s="5430" t="s">
        <v>769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3"/>
      <c r="AG1" s="5073"/>
      <c r="AH1" s="5074"/>
    </row>
    <row r="2" spans="1:35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5">
      <c r="A3" s="5070" t="s">
        <v>32</v>
      </c>
      <c r="B3" s="4378"/>
      <c r="C3" s="4378"/>
      <c r="D3" s="1496" t="s">
        <v>37</v>
      </c>
      <c r="E3" s="3703" t="s">
        <v>33</v>
      </c>
      <c r="F3" s="3703" t="s">
        <v>34</v>
      </c>
      <c r="G3" s="3703" t="s">
        <v>33</v>
      </c>
      <c r="H3" s="3703" t="s">
        <v>35</v>
      </c>
      <c r="I3" s="19" t="s">
        <v>36</v>
      </c>
      <c r="J3" s="19" t="s">
        <v>36</v>
      </c>
      <c r="K3" s="3703" t="s">
        <v>37</v>
      </c>
      <c r="L3" s="3703" t="s">
        <v>33</v>
      </c>
      <c r="M3" s="3703" t="s">
        <v>34</v>
      </c>
      <c r="N3" s="3703" t="s">
        <v>33</v>
      </c>
      <c r="O3" s="3703" t="s">
        <v>35</v>
      </c>
      <c r="P3" s="19" t="s">
        <v>36</v>
      </c>
      <c r="Q3" s="19" t="s">
        <v>36</v>
      </c>
      <c r="R3" s="19" t="s">
        <v>37</v>
      </c>
      <c r="S3" s="19" t="s">
        <v>33</v>
      </c>
      <c r="T3" s="3703" t="s">
        <v>34</v>
      </c>
      <c r="U3" s="40" t="s">
        <v>33</v>
      </c>
      <c r="V3" s="3703" t="s">
        <v>35</v>
      </c>
      <c r="W3" s="19" t="s">
        <v>36</v>
      </c>
      <c r="X3" s="19" t="s">
        <v>36</v>
      </c>
      <c r="Y3" s="3703" t="s">
        <v>37</v>
      </c>
      <c r="Z3" s="41" t="s">
        <v>33</v>
      </c>
      <c r="AA3" s="41" t="s">
        <v>34</v>
      </c>
      <c r="AB3" s="41" t="s">
        <v>33</v>
      </c>
      <c r="AC3" s="3703" t="s">
        <v>35</v>
      </c>
      <c r="AD3" s="19" t="s">
        <v>36</v>
      </c>
      <c r="AE3" s="19" t="s">
        <v>36</v>
      </c>
      <c r="AF3" s="3703" t="s">
        <v>37</v>
      </c>
      <c r="AG3" s="41" t="s">
        <v>33</v>
      </c>
      <c r="AH3" s="41" t="s">
        <v>34</v>
      </c>
    </row>
    <row r="4" spans="1:35" ht="15.75">
      <c r="A4" s="5431" t="s">
        <v>38</v>
      </c>
      <c r="B4" s="5432"/>
      <c r="C4" s="5432"/>
      <c r="D4" s="5433" t="s">
        <v>770</v>
      </c>
      <c r="E4" s="5434"/>
      <c r="F4" s="1045"/>
      <c r="G4" s="1045"/>
      <c r="H4" s="1045"/>
      <c r="I4" s="1045"/>
      <c r="J4" s="1045"/>
      <c r="K4" s="1045"/>
      <c r="L4" s="1045"/>
      <c r="M4" s="1045"/>
      <c r="N4" s="1911"/>
      <c r="O4" s="1912"/>
      <c r="P4" s="5435" t="s">
        <v>771</v>
      </c>
      <c r="Q4" s="5436"/>
      <c r="R4" s="5436"/>
      <c r="S4" s="5437"/>
      <c r="T4" s="787"/>
      <c r="U4" s="1935" t="s">
        <v>772</v>
      </c>
      <c r="V4" s="787"/>
      <c r="W4" s="787"/>
      <c r="X4" s="787"/>
      <c r="Y4" s="787"/>
      <c r="Z4" s="787"/>
      <c r="AA4" s="787"/>
      <c r="AB4" s="787"/>
      <c r="AC4" s="787"/>
      <c r="AD4" s="1913"/>
      <c r="AE4" s="1045"/>
      <c r="AF4" s="1045"/>
      <c r="AG4" s="1045"/>
      <c r="AH4" s="1046"/>
    </row>
    <row r="5" spans="1:35" ht="15.75">
      <c r="A5" s="4821" t="s">
        <v>42</v>
      </c>
      <c r="B5" s="4286"/>
      <c r="C5" s="4389"/>
      <c r="D5" s="1019"/>
      <c r="E5" s="1021"/>
      <c r="F5" s="1021"/>
      <c r="G5" s="1021"/>
      <c r="H5" s="1021"/>
      <c r="I5" s="1021"/>
      <c r="J5" s="1021"/>
      <c r="K5" s="1021"/>
      <c r="L5" s="1021"/>
      <c r="M5" s="1021"/>
      <c r="N5" s="1022"/>
      <c r="O5" s="1023"/>
      <c r="P5" s="1020"/>
      <c r="Q5" s="1024"/>
      <c r="R5" s="973"/>
      <c r="S5" s="973"/>
      <c r="T5" s="973"/>
      <c r="U5" s="973"/>
      <c r="V5" s="973"/>
      <c r="W5" s="973"/>
      <c r="X5" s="973"/>
      <c r="Y5" s="973"/>
      <c r="Z5" s="973"/>
      <c r="AA5" s="973"/>
      <c r="AB5" s="973"/>
      <c r="AC5" s="973"/>
      <c r="AD5" s="1020"/>
      <c r="AE5" s="1021"/>
      <c r="AF5" s="1021"/>
      <c r="AG5" s="1021"/>
      <c r="AH5" s="1025"/>
    </row>
    <row r="6" spans="1:35" s="567" customFormat="1" ht="15.75" customHeight="1">
      <c r="A6" s="4061" t="s">
        <v>165</v>
      </c>
      <c r="B6" s="4062"/>
      <c r="C6" s="4062"/>
      <c r="D6" s="5424" t="s">
        <v>773</v>
      </c>
      <c r="E6" s="5079"/>
      <c r="F6" s="5079"/>
      <c r="G6" s="5079"/>
      <c r="H6" s="5079"/>
      <c r="I6" s="5079"/>
      <c r="J6" s="5079"/>
      <c r="K6" s="5079"/>
      <c r="L6" s="5079"/>
      <c r="M6" s="5079"/>
      <c r="N6" s="5079"/>
      <c r="O6" s="5079"/>
      <c r="P6" s="5079"/>
      <c r="Q6" s="5079"/>
      <c r="R6" s="5079"/>
      <c r="S6" s="5079"/>
      <c r="T6" s="5079"/>
      <c r="U6" s="5079"/>
      <c r="V6" s="5079"/>
      <c r="W6" s="5079"/>
      <c r="X6" s="5079"/>
      <c r="Y6" s="5079"/>
      <c r="Z6" s="5079"/>
      <c r="AA6" s="5079"/>
      <c r="AB6" s="5079"/>
      <c r="AC6" s="5079"/>
      <c r="AD6" s="5079"/>
      <c r="AE6" s="5079"/>
      <c r="AF6" s="5079"/>
      <c r="AG6" s="5079"/>
      <c r="AH6" s="5080"/>
    </row>
    <row r="7" spans="1:35" ht="15.75" customHeight="1">
      <c r="A7" s="4265" t="s">
        <v>407</v>
      </c>
      <c r="B7" s="4266"/>
      <c r="C7" s="4266"/>
      <c r="D7" s="1908"/>
      <c r="E7" s="905"/>
      <c r="F7" s="905"/>
      <c r="G7" s="905"/>
      <c r="H7" s="5426" t="s">
        <v>164</v>
      </c>
      <c r="I7" s="5427"/>
      <c r="J7" s="5427"/>
      <c r="K7" s="5427"/>
      <c r="L7" s="5427"/>
      <c r="M7" s="5427"/>
      <c r="N7" s="5427"/>
      <c r="O7" s="5427"/>
      <c r="P7" s="5427" t="s">
        <v>774</v>
      </c>
      <c r="Q7" s="5427"/>
      <c r="R7" s="5427"/>
      <c r="S7" s="5427"/>
      <c r="T7" s="5427"/>
      <c r="U7" s="5427"/>
      <c r="V7" s="5427"/>
      <c r="W7" s="5427"/>
      <c r="X7" s="5428"/>
      <c r="Y7" s="797"/>
      <c r="Z7" s="1909"/>
      <c r="AA7" s="797"/>
      <c r="AB7" s="374"/>
      <c r="AC7" s="374"/>
      <c r="AD7" s="1256"/>
      <c r="AE7" s="905"/>
      <c r="AF7" s="1328"/>
      <c r="AG7" s="1328"/>
      <c r="AH7" s="1910"/>
    </row>
    <row r="8" spans="1:35" ht="15.75">
      <c r="A8" s="4533" t="s">
        <v>262</v>
      </c>
      <c r="B8" s="4533"/>
      <c r="C8" s="4533"/>
      <c r="D8" s="923"/>
      <c r="E8" s="362"/>
      <c r="F8" s="362"/>
      <c r="G8" s="362"/>
      <c r="H8" s="362"/>
      <c r="I8" s="362"/>
      <c r="J8" s="362"/>
      <c r="K8" s="362"/>
      <c r="L8" s="362"/>
      <c r="M8" s="365"/>
      <c r="N8" s="919"/>
      <c r="O8" s="920"/>
      <c r="P8" s="364"/>
      <c r="Q8" s="373"/>
      <c r="R8" s="380"/>
      <c r="S8" s="380"/>
      <c r="T8" s="380"/>
      <c r="U8" s="380"/>
      <c r="V8" s="380"/>
      <c r="W8" s="380"/>
      <c r="X8" s="535"/>
      <c r="Y8" s="380"/>
      <c r="Z8" s="380"/>
      <c r="AA8" s="380"/>
      <c r="AB8" s="756"/>
      <c r="AC8" s="380"/>
      <c r="AD8" s="364"/>
      <c r="AE8" s="373"/>
      <c r="AF8" s="4822" t="s">
        <v>224</v>
      </c>
      <c r="AG8" s="4822"/>
      <c r="AH8" s="5425"/>
    </row>
    <row r="9" spans="1:35" ht="15.75">
      <c r="A9" s="4391" t="s">
        <v>225</v>
      </c>
      <c r="B9" s="4391"/>
      <c r="C9" s="4391"/>
      <c r="D9" s="923"/>
      <c r="E9" s="362"/>
      <c r="F9" s="362"/>
      <c r="G9" s="362"/>
      <c r="H9" s="362"/>
      <c r="I9" s="362"/>
      <c r="J9" s="362"/>
      <c r="K9" s="362"/>
      <c r="L9" s="362"/>
      <c r="M9" s="365"/>
      <c r="N9" s="919"/>
      <c r="O9" s="920"/>
      <c r="P9" s="364"/>
      <c r="Q9" s="373"/>
      <c r="R9" s="380"/>
      <c r="S9" s="380"/>
      <c r="T9" s="380"/>
      <c r="U9" s="380"/>
      <c r="V9" s="380"/>
      <c r="W9" s="380"/>
      <c r="X9" s="535"/>
      <c r="Y9" s="380"/>
      <c r="Z9" s="380"/>
      <c r="AA9" s="380"/>
      <c r="AB9" s="756"/>
      <c r="AC9" s="380"/>
      <c r="AD9" s="364"/>
      <c r="AE9" s="362"/>
      <c r="AF9" s="365"/>
      <c r="AG9" s="362"/>
      <c r="AH9" s="1026"/>
    </row>
    <row r="10" spans="1:35" ht="15" customHeight="1">
      <c r="A10" s="4381" t="s">
        <v>272</v>
      </c>
      <c r="B10" s="4382"/>
      <c r="C10" s="4382"/>
      <c r="D10" s="1043"/>
      <c r="E10" s="365"/>
      <c r="F10" s="365"/>
      <c r="G10" s="365"/>
      <c r="H10" s="751"/>
      <c r="I10" s="362"/>
      <c r="J10" s="362"/>
      <c r="K10" s="362"/>
      <c r="L10" s="362"/>
      <c r="M10" s="362"/>
      <c r="N10" s="362"/>
      <c r="O10" s="362"/>
      <c r="P10" s="362"/>
      <c r="Q10" s="362"/>
      <c r="R10" s="362"/>
      <c r="S10" s="362"/>
      <c r="T10" s="362"/>
      <c r="U10" s="362"/>
      <c r="V10" s="380" t="s">
        <v>775</v>
      </c>
      <c r="W10" s="362"/>
      <c r="X10" s="673"/>
      <c r="Y10" s="362"/>
      <c r="Z10" s="362"/>
      <c r="AA10" s="1252"/>
      <c r="AB10" s="3604"/>
      <c r="AC10" s="362"/>
      <c r="AD10" s="362"/>
      <c r="AE10" s="362"/>
      <c r="AF10" s="362"/>
      <c r="AG10" s="362"/>
      <c r="AH10" s="1026"/>
    </row>
    <row r="11" spans="1:35" ht="14.25" customHeight="1">
      <c r="A11" s="4380" t="s">
        <v>265</v>
      </c>
      <c r="B11" s="4532"/>
      <c r="C11" s="4532"/>
      <c r="D11" s="923"/>
      <c r="E11" s="362"/>
      <c r="F11" s="362"/>
      <c r="G11" s="362"/>
      <c r="H11" s="362"/>
      <c r="I11" s="362"/>
      <c r="J11" s="362"/>
      <c r="K11" s="362"/>
      <c r="L11" s="362"/>
      <c r="M11" s="365"/>
      <c r="N11" s="919"/>
      <c r="O11" s="920"/>
      <c r="P11" s="364"/>
      <c r="Q11" s="373"/>
      <c r="R11" s="380"/>
      <c r="S11" s="380"/>
      <c r="T11" s="380"/>
      <c r="U11" s="380"/>
      <c r="V11" s="380"/>
      <c r="W11" s="380"/>
      <c r="X11" s="535"/>
      <c r="Y11" s="536"/>
      <c r="Z11" s="362"/>
      <c r="AA11" s="380"/>
      <c r="AB11" s="756"/>
      <c r="AC11" s="380"/>
      <c r="AD11" s="364"/>
      <c r="AE11" s="362"/>
      <c r="AF11" s="362"/>
      <c r="AG11" s="362"/>
      <c r="AH11" s="1026"/>
    </row>
    <row r="12" spans="1:35" ht="15.75">
      <c r="A12" s="5429" t="s">
        <v>60</v>
      </c>
      <c r="B12" s="4489"/>
      <c r="C12" s="4489"/>
      <c r="D12" s="923"/>
      <c r="E12" s="362"/>
      <c r="F12" s="362"/>
      <c r="G12" s="362"/>
      <c r="H12" s="362"/>
      <c r="I12" s="362"/>
      <c r="J12" s="362"/>
      <c r="K12" s="362"/>
      <c r="L12" s="362"/>
      <c r="M12" s="365"/>
      <c r="N12" s="919"/>
      <c r="O12" s="920"/>
      <c r="P12" s="364"/>
      <c r="Q12" s="373"/>
      <c r="R12" s="380"/>
      <c r="S12" s="380"/>
      <c r="T12" s="380"/>
      <c r="U12" s="380"/>
      <c r="V12" s="380" t="s">
        <v>775</v>
      </c>
      <c r="W12" s="380"/>
      <c r="X12" s="380"/>
      <c r="Y12" s="536"/>
      <c r="Z12" s="536"/>
      <c r="AA12" s="536"/>
      <c r="AB12" s="536"/>
      <c r="AC12" s="380"/>
      <c r="AD12" s="364"/>
      <c r="AE12" s="362"/>
      <c r="AF12" s="362"/>
      <c r="AG12" s="362"/>
      <c r="AH12" s="1026"/>
    </row>
    <row r="13" spans="1:35" ht="15.75">
      <c r="A13" s="5287" t="s">
        <v>63</v>
      </c>
      <c r="B13" s="4313"/>
      <c r="C13" s="4487"/>
      <c r="D13" s="923"/>
      <c r="E13" s="362"/>
      <c r="F13" s="362"/>
      <c r="G13" s="362"/>
      <c r="H13" s="362"/>
      <c r="I13" s="362"/>
      <c r="J13" s="362"/>
      <c r="K13" s="362"/>
      <c r="L13" s="362"/>
      <c r="M13" s="365"/>
      <c r="N13" s="919"/>
      <c r="O13" s="920"/>
      <c r="P13" s="364"/>
      <c r="Q13" s="373"/>
      <c r="R13" s="380"/>
      <c r="S13" s="380"/>
      <c r="T13" s="2198" t="s">
        <v>698</v>
      </c>
      <c r="U13" s="380"/>
      <c r="V13" s="380"/>
      <c r="W13" s="380"/>
      <c r="X13" s="380"/>
      <c r="Y13" s="380"/>
      <c r="Z13" s="536"/>
      <c r="AA13" s="536"/>
      <c r="AB13" s="380"/>
      <c r="AC13" s="380"/>
      <c r="AD13" s="364"/>
      <c r="AE13" s="362"/>
      <c r="AF13" s="362"/>
      <c r="AG13" s="362"/>
      <c r="AH13" s="1026"/>
      <c r="AI13" s="924"/>
    </row>
    <row r="14" spans="1:35" ht="15.75">
      <c r="A14" s="5288" t="s">
        <v>54</v>
      </c>
      <c r="B14" s="4535"/>
      <c r="C14" s="4535"/>
      <c r="D14" s="923"/>
      <c r="E14" s="362"/>
      <c r="F14" s="362"/>
      <c r="G14" s="362"/>
      <c r="H14" s="362"/>
      <c r="I14" s="362"/>
      <c r="J14" s="362"/>
      <c r="K14" s="362"/>
      <c r="L14" s="362"/>
      <c r="M14" s="365"/>
      <c r="N14" s="919"/>
      <c r="O14" s="920"/>
      <c r="P14" s="364"/>
      <c r="Q14" s="373"/>
      <c r="R14" s="380"/>
      <c r="S14" s="380"/>
      <c r="T14" s="380"/>
      <c r="U14" s="380"/>
      <c r="V14" s="380"/>
      <c r="W14" s="380"/>
      <c r="X14" s="380"/>
      <c r="Y14" s="380"/>
      <c r="Z14" s="536"/>
      <c r="AA14" s="536"/>
      <c r="AB14" s="536"/>
      <c r="AC14" s="380"/>
      <c r="AD14" s="364"/>
      <c r="AE14" s="362"/>
      <c r="AF14" s="362"/>
      <c r="AG14" s="362"/>
      <c r="AH14" s="1026"/>
    </row>
    <row r="15" spans="1:35" ht="15.75">
      <c r="A15" s="5033" t="s">
        <v>365</v>
      </c>
      <c r="B15" s="4360"/>
      <c r="C15" s="4360"/>
      <c r="D15" s="923"/>
      <c r="E15" s="362"/>
      <c r="F15" s="362"/>
      <c r="G15" s="362"/>
      <c r="H15" s="362"/>
      <c r="I15" s="362"/>
      <c r="J15" s="362"/>
      <c r="K15" s="362"/>
      <c r="L15" s="362"/>
      <c r="M15" s="365"/>
      <c r="N15" s="919"/>
      <c r="O15" s="920"/>
      <c r="P15" s="364"/>
      <c r="Q15" s="373"/>
      <c r="R15" s="380"/>
      <c r="S15" s="380"/>
      <c r="T15" s="380"/>
      <c r="U15" s="380"/>
      <c r="V15" s="380"/>
      <c r="W15" s="380"/>
      <c r="X15" s="380"/>
      <c r="Y15" s="380"/>
      <c r="Z15" s="536"/>
      <c r="AA15" s="380"/>
      <c r="AB15" s="536"/>
      <c r="AC15" s="380"/>
      <c r="AD15" s="364"/>
      <c r="AE15" s="362"/>
      <c r="AF15" s="362"/>
      <c r="AG15" s="362"/>
      <c r="AH15" s="1026"/>
    </row>
    <row r="16" spans="1:35" ht="15.75">
      <c r="A16" s="5041" t="s">
        <v>705</v>
      </c>
      <c r="B16" s="4763"/>
      <c r="C16" s="4763"/>
      <c r="D16" s="923"/>
      <c r="E16" s="362"/>
      <c r="F16" s="362"/>
      <c r="G16" s="362"/>
      <c r="H16" s="362"/>
      <c r="I16" s="362"/>
      <c r="J16" s="362"/>
      <c r="K16" s="362"/>
      <c r="L16" s="362"/>
      <c r="M16" s="365"/>
      <c r="N16" s="919"/>
      <c r="O16" s="920"/>
      <c r="P16" s="364"/>
      <c r="Q16" s="373"/>
      <c r="R16" s="380"/>
      <c r="S16" s="380"/>
      <c r="T16" s="380"/>
      <c r="U16" s="380"/>
      <c r="V16" s="380"/>
      <c r="W16" s="380"/>
      <c r="X16" s="380"/>
      <c r="Y16" s="380"/>
      <c r="Z16" s="536"/>
      <c r="AA16" s="380"/>
      <c r="AB16" s="536"/>
      <c r="AC16" s="380"/>
      <c r="AD16" s="364"/>
      <c r="AE16" s="362"/>
      <c r="AF16" s="362"/>
      <c r="AG16" s="5251" t="s">
        <v>705</v>
      </c>
      <c r="AH16" s="5386"/>
    </row>
    <row r="17" spans="1:34" ht="15.75">
      <c r="A17" s="4361" t="s">
        <v>366</v>
      </c>
      <c r="B17" s="4361"/>
      <c r="C17" s="4361"/>
      <c r="D17" s="923"/>
      <c r="E17" s="362"/>
      <c r="F17" s="362"/>
      <c r="G17" s="362"/>
      <c r="H17" s="362"/>
      <c r="I17" s="362"/>
      <c r="J17" s="362"/>
      <c r="K17" s="362"/>
      <c r="L17" s="362"/>
      <c r="M17" s="365"/>
      <c r="N17" s="919"/>
      <c r="O17" s="920"/>
      <c r="P17" s="364"/>
      <c r="Q17" s="373"/>
      <c r="R17" s="380"/>
      <c r="S17" s="380"/>
      <c r="T17" s="380"/>
      <c r="U17" s="380"/>
      <c r="V17" s="852"/>
      <c r="W17" s="380"/>
      <c r="X17" s="380"/>
      <c r="Y17" s="380"/>
      <c r="Z17" s="536"/>
      <c r="AA17" s="380"/>
      <c r="AB17" s="380"/>
      <c r="AC17" s="380"/>
      <c r="AD17" s="364"/>
      <c r="AE17" s="362"/>
      <c r="AF17" s="362"/>
      <c r="AG17" s="362"/>
      <c r="AH17" s="1026"/>
    </row>
    <row r="18" spans="1:34" ht="15.75">
      <c r="A18" s="5387" t="s">
        <v>411</v>
      </c>
      <c r="B18" s="4534"/>
      <c r="C18" s="4534"/>
      <c r="D18" s="923"/>
      <c r="E18" s="362"/>
      <c r="F18" s="362"/>
      <c r="G18" s="362"/>
      <c r="H18" s="362"/>
      <c r="I18" s="362"/>
      <c r="J18" s="362"/>
      <c r="K18" s="362"/>
      <c r="L18" s="362"/>
      <c r="M18" s="365"/>
      <c r="N18" s="2194"/>
      <c r="O18" s="2195"/>
      <c r="P18" s="364"/>
      <c r="Q18" s="373"/>
      <c r="R18" s="380"/>
      <c r="S18" s="380"/>
      <c r="T18" s="380"/>
      <c r="U18" s="535"/>
      <c r="V18" s="2371" t="s">
        <v>776</v>
      </c>
      <c r="W18" s="756"/>
      <c r="X18" s="380"/>
      <c r="Y18" s="380"/>
      <c r="Z18" s="536"/>
      <c r="AA18" s="380"/>
      <c r="AB18" s="380"/>
      <c r="AC18" s="380"/>
      <c r="AD18" s="364"/>
      <c r="AE18" s="362"/>
      <c r="AF18" s="362"/>
      <c r="AG18" s="362"/>
      <c r="AH18" s="1026"/>
    </row>
    <row r="19" spans="1:34" ht="15.75">
      <c r="A19" s="5395" t="s">
        <v>777</v>
      </c>
      <c r="B19" s="5396"/>
      <c r="C19" s="5397"/>
      <c r="D19" s="923"/>
      <c r="E19" s="362"/>
      <c r="F19" s="362"/>
      <c r="G19" s="362"/>
      <c r="H19" s="362"/>
      <c r="I19" s="362"/>
      <c r="J19" s="362"/>
      <c r="K19" s="362"/>
      <c r="L19" s="373"/>
      <c r="M19" s="673"/>
      <c r="N19" s="920"/>
      <c r="O19" s="920"/>
      <c r="P19" s="364"/>
      <c r="Q19" s="373"/>
      <c r="R19" s="380"/>
      <c r="S19" s="536"/>
      <c r="T19" s="536"/>
      <c r="U19" s="380"/>
      <c r="V19" s="536"/>
      <c r="W19" s="380"/>
      <c r="X19" s="380"/>
      <c r="Y19" s="380"/>
      <c r="Z19" s="536"/>
      <c r="AA19" s="380"/>
      <c r="AB19" s="380"/>
      <c r="AC19" s="380"/>
      <c r="AD19" s="364"/>
      <c r="AE19" s="362"/>
      <c r="AF19" s="375"/>
      <c r="AG19" s="375"/>
      <c r="AH19" s="1044"/>
    </row>
    <row r="20" spans="1:34">
      <c r="A20" s="4405" t="s">
        <v>540</v>
      </c>
      <c r="B20" s="4529"/>
      <c r="C20" s="4530"/>
      <c r="D20" s="923"/>
      <c r="E20" s="362"/>
      <c r="F20" s="362"/>
      <c r="G20" s="362"/>
      <c r="H20" s="362"/>
      <c r="I20" s="362"/>
      <c r="J20" s="362"/>
      <c r="K20" s="362"/>
      <c r="L20" s="373"/>
      <c r="M20" s="537"/>
      <c r="N20" s="799"/>
      <c r="O20" s="751"/>
      <c r="P20" s="362"/>
      <c r="Q20" s="362"/>
      <c r="R20" s="362"/>
      <c r="S20" s="365"/>
      <c r="T20" s="365"/>
      <c r="U20" s="362"/>
      <c r="V20" s="362"/>
      <c r="W20" s="362"/>
      <c r="X20" s="362"/>
      <c r="Y20" s="362"/>
      <c r="Z20" s="362"/>
      <c r="AA20" s="362"/>
      <c r="AB20" s="362"/>
      <c r="AC20" s="362"/>
      <c r="AD20" s="362"/>
      <c r="AE20" s="362"/>
      <c r="AF20" s="375"/>
      <c r="AG20" s="375"/>
      <c r="AH20" s="1044"/>
    </row>
    <row r="21" spans="1:34">
      <c r="A21" s="4399" t="s">
        <v>541</v>
      </c>
      <c r="B21" s="4316"/>
      <c r="C21" s="4531"/>
      <c r="D21" s="923"/>
      <c r="E21" s="362"/>
      <c r="F21" s="362"/>
      <c r="G21" s="362"/>
      <c r="H21" s="362"/>
      <c r="I21" s="362"/>
      <c r="J21" s="362"/>
      <c r="K21" s="362"/>
      <c r="L21" s="373"/>
      <c r="M21" s="537"/>
      <c r="N21" s="537"/>
      <c r="O21" s="364"/>
      <c r="P21" s="362"/>
      <c r="Q21" s="362"/>
      <c r="R21" s="4400" t="s">
        <v>778</v>
      </c>
      <c r="S21" s="4762"/>
      <c r="T21" s="4762"/>
      <c r="U21" s="4762"/>
      <c r="V21" s="4762"/>
      <c r="W21" s="4762"/>
      <c r="X21" s="4762"/>
      <c r="Y21" s="4762"/>
      <c r="Z21" s="4762"/>
      <c r="AA21" s="4762"/>
      <c r="AB21" s="4771"/>
      <c r="AC21" s="362"/>
      <c r="AD21" s="362"/>
      <c r="AE21" s="373"/>
      <c r="AF21" s="362"/>
      <c r="AG21" s="2"/>
      <c r="AH21" s="1026"/>
    </row>
    <row r="22" spans="1:34">
      <c r="A22" s="5402" t="s">
        <v>779</v>
      </c>
      <c r="B22" s="4725"/>
      <c r="C22" s="4725"/>
      <c r="D22" s="923"/>
      <c r="E22" s="362"/>
      <c r="F22" s="362"/>
      <c r="G22" s="362"/>
      <c r="H22" s="362"/>
      <c r="I22" s="362"/>
      <c r="J22" s="362"/>
      <c r="K22" s="362"/>
      <c r="L22" s="362"/>
      <c r="M22" s="362"/>
      <c r="N22" s="362"/>
      <c r="O22" s="362"/>
      <c r="P22" s="362"/>
      <c r="Q22" s="362"/>
      <c r="R22" s="362"/>
      <c r="S22" s="362"/>
      <c r="T22" s="362"/>
      <c r="U22" s="362"/>
      <c r="V22" s="362"/>
      <c r="W22" s="362"/>
      <c r="X22" s="362"/>
      <c r="Y22" s="362"/>
      <c r="Z22" s="362"/>
      <c r="AA22" s="362"/>
      <c r="AB22" s="362"/>
      <c r="AC22" s="362"/>
      <c r="AD22" s="362"/>
      <c r="AE22" s="373"/>
      <c r="AF22" s="362"/>
      <c r="AG22" s="590"/>
      <c r="AH22" s="3693" t="s">
        <v>780</v>
      </c>
    </row>
    <row r="23" spans="1:34">
      <c r="A23" s="4828" t="s">
        <v>64</v>
      </c>
      <c r="B23" s="4574"/>
      <c r="C23" s="4767"/>
      <c r="D23" s="1917"/>
      <c r="E23" s="1201"/>
      <c r="F23" s="1201"/>
      <c r="G23" s="1364"/>
      <c r="H23" s="1364"/>
      <c r="I23" s="1364"/>
      <c r="J23" s="1364"/>
      <c r="K23" s="1364"/>
      <c r="L23" s="1689"/>
      <c r="M23" s="939"/>
      <c r="N23" s="939"/>
      <c r="O23" s="1688"/>
      <c r="P23" s="1364"/>
      <c r="Q23" s="1364"/>
      <c r="R23" s="1364"/>
      <c r="S23" s="1364"/>
      <c r="T23" s="1364"/>
      <c r="U23" s="1364"/>
      <c r="V23" s="1364"/>
      <c r="W23" s="1364"/>
      <c r="X23" s="1364"/>
      <c r="Y23" s="1364"/>
      <c r="Z23" s="1364"/>
      <c r="AA23" s="1364"/>
      <c r="AB23" s="1364"/>
      <c r="AC23" s="1364"/>
      <c r="AD23" s="1364"/>
      <c r="AE23" s="1689"/>
      <c r="AF23" s="1364"/>
      <c r="AG23" s="323"/>
      <c r="AH23" s="1702"/>
    </row>
    <row r="24" spans="1:34">
      <c r="A24" s="2006" t="s">
        <v>66</v>
      </c>
      <c r="B24" s="1960" t="s">
        <v>67</v>
      </c>
      <c r="C24" s="1989" t="s">
        <v>74</v>
      </c>
      <c r="D24" s="2228"/>
      <c r="E24" s="1200"/>
      <c r="F24" s="1200"/>
      <c r="G24" s="1200"/>
      <c r="H24" s="1200"/>
      <c r="I24" s="1200"/>
      <c r="J24" s="3671" t="s">
        <v>251</v>
      </c>
      <c r="K24" s="5388" t="s">
        <v>781</v>
      </c>
      <c r="L24" s="5389"/>
      <c r="M24" s="5389"/>
      <c r="N24" s="5390"/>
      <c r="O24" s="3671" t="s">
        <v>251</v>
      </c>
      <c r="P24" s="1200"/>
      <c r="Q24" s="1200"/>
      <c r="R24" s="1200"/>
      <c r="S24" s="3682" t="s">
        <v>251</v>
      </c>
      <c r="T24" s="4724" t="s">
        <v>782</v>
      </c>
      <c r="U24" s="4725"/>
      <c r="V24" s="4726"/>
      <c r="W24" s="3682" t="s">
        <v>251</v>
      </c>
      <c r="X24" s="973"/>
      <c r="Y24" s="973"/>
      <c r="Z24" s="2331" t="s">
        <v>783</v>
      </c>
      <c r="AA24" s="2332"/>
      <c r="AB24" s="973"/>
      <c r="AC24" s="973"/>
      <c r="AD24" s="973"/>
      <c r="AE24" s="1200"/>
      <c r="AF24" s="3671" t="s">
        <v>251</v>
      </c>
      <c r="AG24" s="5251" t="s">
        <v>705</v>
      </c>
      <c r="AH24" s="5386"/>
    </row>
    <row r="25" spans="1:34" ht="15.75">
      <c r="A25" s="1968" t="s">
        <v>73</v>
      </c>
      <c r="B25" s="1943" t="s">
        <v>67</v>
      </c>
      <c r="C25" s="2196" t="s">
        <v>458</v>
      </c>
      <c r="D25" s="4413" t="s">
        <v>637</v>
      </c>
      <c r="E25" s="4413"/>
      <c r="F25" s="4413"/>
      <c r="G25" s="4413"/>
      <c r="H25" s="4413"/>
      <c r="I25" s="4413"/>
      <c r="J25" s="4413"/>
      <c r="K25" s="4413"/>
      <c r="L25" s="4414"/>
      <c r="M25" s="824"/>
      <c r="N25" s="920"/>
      <c r="O25" s="920"/>
      <c r="P25" s="824"/>
      <c r="Q25" s="656"/>
      <c r="R25" s="2"/>
      <c r="S25" s="2"/>
      <c r="T25" s="2"/>
      <c r="U25" s="2"/>
      <c r="V25" s="2"/>
      <c r="W25" s="756"/>
      <c r="X25" s="380"/>
      <c r="Y25" s="5393" t="s">
        <v>784</v>
      </c>
      <c r="Z25" s="5393"/>
      <c r="AA25" s="5393"/>
      <c r="AB25" s="5393"/>
      <c r="AC25" s="5393"/>
      <c r="AD25" s="5393"/>
      <c r="AE25" s="5393"/>
      <c r="AF25" s="5393"/>
      <c r="AG25" s="5393"/>
      <c r="AH25" s="5394"/>
    </row>
    <row r="26" spans="1:34" s="1704" customFormat="1" ht="15.75" customHeight="1">
      <c r="A26" s="1968" t="s">
        <v>599</v>
      </c>
      <c r="B26" s="1944" t="s">
        <v>543</v>
      </c>
      <c r="C26" s="2227" t="s">
        <v>544</v>
      </c>
      <c r="D26" s="1985"/>
      <c r="E26" s="1646"/>
      <c r="F26" s="1646"/>
      <c r="G26" s="1646"/>
      <c r="H26" s="1646"/>
      <c r="I26" s="1646"/>
      <c r="J26" s="1646"/>
      <c r="K26" s="1646"/>
      <c r="L26" s="1646"/>
      <c r="M26" s="1646"/>
      <c r="N26" s="1646"/>
      <c r="O26" s="1646"/>
      <c r="P26" s="1646"/>
      <c r="Q26" s="1646"/>
      <c r="R26" s="1668"/>
      <c r="S26" s="1668"/>
      <c r="T26" s="1668"/>
      <c r="U26" s="1668"/>
      <c r="V26" s="1668"/>
      <c r="W26" s="1646"/>
      <c r="X26" s="1646"/>
      <c r="Y26" s="1646"/>
      <c r="Z26" s="1646"/>
      <c r="AA26" s="1646"/>
      <c r="AB26" s="1646"/>
      <c r="AC26" s="1646"/>
      <c r="AD26" s="1646"/>
      <c r="AE26" s="1646"/>
      <c r="AF26" s="1646"/>
      <c r="AG26" s="1646"/>
      <c r="AH26" s="322"/>
    </row>
    <row r="27" spans="1:34" s="1704" customFormat="1" ht="15.75" customHeight="1">
      <c r="A27" s="1967" t="s">
        <v>80</v>
      </c>
      <c r="B27" s="1961" t="s">
        <v>81</v>
      </c>
      <c r="C27" s="2197" t="s">
        <v>396</v>
      </c>
      <c r="D27" s="1478"/>
      <c r="E27" s="1478"/>
      <c r="F27" s="4550" t="s">
        <v>30</v>
      </c>
      <c r="G27" s="4551"/>
      <c r="H27" s="4551"/>
      <c r="I27" s="4551"/>
      <c r="J27" s="4551"/>
      <c r="K27" s="4551"/>
      <c r="L27" s="5103"/>
      <c r="M27" s="1367"/>
      <c r="N27" s="1037"/>
      <c r="O27" s="1038"/>
      <c r="P27" s="1478"/>
      <c r="Q27" s="1254"/>
      <c r="R27" s="536"/>
      <c r="S27" s="536"/>
      <c r="T27" s="536"/>
      <c r="U27" s="2248" t="s">
        <v>717</v>
      </c>
      <c r="V27" s="536"/>
      <c r="W27" s="536"/>
      <c r="X27" s="536"/>
      <c r="Y27" s="536"/>
      <c r="Z27" s="5391" t="s">
        <v>785</v>
      </c>
      <c r="AA27" s="5392"/>
      <c r="AB27" s="973"/>
      <c r="AC27" s="973"/>
      <c r="AD27" s="1478"/>
      <c r="AE27" s="3625" t="s">
        <v>717</v>
      </c>
      <c r="AF27" s="1478"/>
      <c r="AG27" s="5251" t="s">
        <v>786</v>
      </c>
      <c r="AH27" s="5386"/>
    </row>
    <row r="28" spans="1:34">
      <c r="A28" s="5403" t="s">
        <v>84</v>
      </c>
      <c r="B28" s="1955" t="s">
        <v>85</v>
      </c>
      <c r="C28" s="1942" t="s">
        <v>86</v>
      </c>
      <c r="D28" s="2312"/>
      <c r="E28" s="2313"/>
      <c r="F28" s="1367"/>
      <c r="G28" s="1367"/>
      <c r="H28" s="1367"/>
      <c r="I28" s="1367"/>
      <c r="J28" s="1367"/>
      <c r="K28" s="1367"/>
      <c r="L28" s="1367"/>
      <c r="M28" s="1367"/>
      <c r="N28" s="1918"/>
      <c r="O28" s="1918"/>
      <c r="P28" s="2314"/>
      <c r="Q28" s="2315"/>
      <c r="R28" s="2315"/>
      <c r="S28" s="2313"/>
      <c r="T28" s="1367"/>
      <c r="U28" s="1201"/>
      <c r="V28" s="2316"/>
      <c r="W28" s="2317"/>
      <c r="X28" s="2317"/>
      <c r="Y28" s="2318"/>
      <c r="Z28" s="1367"/>
      <c r="AA28" s="2256"/>
      <c r="AB28" s="1367"/>
      <c r="AC28" s="1367"/>
      <c r="AD28" s="1367"/>
      <c r="AE28" s="1254"/>
      <c r="AF28" s="1367"/>
      <c r="AG28" s="2286" t="s">
        <v>720</v>
      </c>
      <c r="AH28" s="1061"/>
    </row>
    <row r="29" spans="1:34">
      <c r="A29" s="5403"/>
      <c r="B29" s="1956" t="s">
        <v>602</v>
      </c>
      <c r="C29" s="1947" t="s">
        <v>91</v>
      </c>
      <c r="D29" s="1069"/>
      <c r="E29" s="5411" t="s">
        <v>673</v>
      </c>
      <c r="F29" s="5412"/>
      <c r="G29" s="5412"/>
      <c r="H29" s="5412"/>
      <c r="I29" s="5412"/>
      <c r="J29" s="5412"/>
      <c r="K29" s="5412"/>
      <c r="L29" s="5412"/>
      <c r="M29" s="5412"/>
      <c r="N29" s="5412"/>
      <c r="O29" s="5412"/>
      <c r="P29" s="5412"/>
      <c r="Q29" s="5412"/>
      <c r="R29" s="5412"/>
      <c r="S29" s="5412"/>
      <c r="T29" s="5412"/>
      <c r="U29" s="5412"/>
      <c r="V29" s="5412"/>
      <c r="W29" s="5412"/>
      <c r="X29" s="5412"/>
      <c r="Y29" s="5412"/>
      <c r="Z29" s="5412"/>
      <c r="AA29" s="5412"/>
      <c r="AB29" s="5412"/>
      <c r="AC29" s="5412"/>
      <c r="AD29" s="5412"/>
      <c r="AE29" s="5412"/>
      <c r="AF29" s="5412"/>
      <c r="AG29" s="5412"/>
      <c r="AH29" s="5413"/>
    </row>
    <row r="30" spans="1:34" ht="15.75">
      <c r="A30" s="5454" t="s">
        <v>92</v>
      </c>
      <c r="B30" s="2335" t="s">
        <v>95</v>
      </c>
      <c r="C30" s="1987" t="s">
        <v>243</v>
      </c>
      <c r="D30" s="4844" t="s">
        <v>642</v>
      </c>
      <c r="E30" s="5103"/>
      <c r="F30" s="1367"/>
      <c r="G30" s="4550" t="s">
        <v>787</v>
      </c>
      <c r="H30" s="4551"/>
      <c r="I30" s="4551"/>
      <c r="J30" s="5103"/>
      <c r="K30" s="1367"/>
      <c r="L30" s="3625" t="s">
        <v>720</v>
      </c>
      <c r="M30" s="1367"/>
      <c r="N30" s="1037"/>
      <c r="O30" s="1038"/>
      <c r="P30" s="1478"/>
      <c r="Q30" s="2282" t="s">
        <v>722</v>
      </c>
      <c r="R30" s="536"/>
      <c r="S30" s="1397" t="s">
        <v>788</v>
      </c>
      <c r="T30" s="536"/>
      <c r="U30" s="536"/>
      <c r="V30" s="536"/>
      <c r="W30" s="536"/>
      <c r="X30" s="536"/>
      <c r="Y30" s="536"/>
      <c r="Z30" s="2248" t="s">
        <v>722</v>
      </c>
      <c r="AA30" s="536"/>
      <c r="AB30" s="940"/>
      <c r="AC30" s="940"/>
      <c r="AD30" s="1478"/>
      <c r="AE30" s="1367"/>
      <c r="AF30" s="1367"/>
      <c r="AG30" s="5251" t="s">
        <v>786</v>
      </c>
      <c r="AH30" s="5386"/>
    </row>
    <row r="31" spans="1:34" ht="15.75">
      <c r="A31" s="5454"/>
      <c r="B31" s="2335" t="s">
        <v>789</v>
      </c>
      <c r="C31" s="1988" t="s">
        <v>327</v>
      </c>
      <c r="D31" s="1932"/>
      <c r="E31" s="1201"/>
      <c r="F31" s="1201"/>
      <c r="G31" s="1201"/>
      <c r="H31" s="1201"/>
      <c r="I31" s="1201" t="s">
        <v>720</v>
      </c>
      <c r="J31" s="1201"/>
      <c r="K31" s="1201"/>
      <c r="L31" s="1201"/>
      <c r="M31" s="3625" t="s">
        <v>720</v>
      </c>
      <c r="N31" s="1487"/>
      <c r="O31" s="1488"/>
      <c r="P31" s="1486"/>
      <c r="Q31" s="1489"/>
      <c r="R31" s="940"/>
      <c r="S31" s="940"/>
      <c r="T31" s="940"/>
      <c r="U31" s="940"/>
      <c r="W31" s="2272" t="s">
        <v>720</v>
      </c>
      <c r="X31" s="940"/>
      <c r="Y31" s="940"/>
      <c r="Z31" s="940"/>
      <c r="AA31" s="940"/>
      <c r="AB31" s="940"/>
      <c r="AC31" s="940"/>
      <c r="AD31" s="1486"/>
      <c r="AE31" s="1489"/>
      <c r="AF31" s="1201"/>
      <c r="AG31" s="1367"/>
      <c r="AH31" s="1061"/>
    </row>
    <row r="32" spans="1:34">
      <c r="A32" s="5454"/>
      <c r="B32" s="2336" t="s">
        <v>606</v>
      </c>
      <c r="C32" s="1970" t="s">
        <v>98</v>
      </c>
      <c r="D32" s="4417" t="s">
        <v>644</v>
      </c>
      <c r="E32" s="5422"/>
      <c r="F32" s="5422"/>
      <c r="G32" s="5422"/>
      <c r="H32" s="5422"/>
      <c r="I32" s="5422"/>
      <c r="J32" s="5422"/>
      <c r="K32" s="5422"/>
      <c r="L32" s="5422"/>
      <c r="M32" s="5423"/>
      <c r="N32" s="1364"/>
      <c r="O32" s="3616" t="s">
        <v>722</v>
      </c>
      <c r="P32" s="1364"/>
      <c r="Q32" s="1364"/>
      <c r="R32" s="1364"/>
      <c r="S32" s="1364"/>
      <c r="T32" s="3616" t="s">
        <v>722</v>
      </c>
      <c r="U32" s="1364"/>
      <c r="V32" s="1364"/>
      <c r="W32" s="1364"/>
      <c r="X32" s="1364"/>
      <c r="Y32" s="1364"/>
      <c r="Z32" s="1364"/>
      <c r="AA32" s="1364"/>
      <c r="AB32" s="1364"/>
      <c r="AC32" s="2285" t="s">
        <v>720</v>
      </c>
      <c r="AD32" s="1364"/>
      <c r="AE32" s="1689"/>
      <c r="AF32" s="1364"/>
      <c r="AG32" s="693"/>
      <c r="AH32" s="1435"/>
    </row>
    <row r="33" spans="1:34">
      <c r="A33" s="5030" t="s">
        <v>99</v>
      </c>
      <c r="B33" s="1937" t="s">
        <v>100</v>
      </c>
      <c r="C33" s="1937" t="s">
        <v>101</v>
      </c>
      <c r="D33" s="171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902"/>
      <c r="AF33" s="1200"/>
      <c r="AG33" s="461"/>
      <c r="AH33" s="1368"/>
    </row>
    <row r="34" spans="1:34">
      <c r="A34" s="5030"/>
      <c r="B34" s="1939" t="s">
        <v>77</v>
      </c>
      <c r="C34" s="1939" t="s">
        <v>245</v>
      </c>
      <c r="D34" s="1479"/>
      <c r="E34" s="824"/>
      <c r="F34" s="3585" t="s">
        <v>720</v>
      </c>
      <c r="G34" s="824"/>
      <c r="H34" s="824"/>
      <c r="I34" s="824"/>
      <c r="J34" s="824"/>
      <c r="K34" s="824"/>
      <c r="L34" s="824"/>
      <c r="M34" s="824"/>
      <c r="N34" s="2254" t="s">
        <v>720</v>
      </c>
      <c r="O34" s="668"/>
      <c r="P34" s="668"/>
      <c r="Q34" s="824"/>
      <c r="R34" s="4748" t="s">
        <v>790</v>
      </c>
      <c r="S34" s="4520"/>
      <c r="T34" s="4520"/>
      <c r="U34" s="4520"/>
      <c r="V34" s="4520"/>
      <c r="W34" s="4520"/>
      <c r="X34" s="5243"/>
      <c r="Y34" s="824"/>
      <c r="Z34" s="824"/>
      <c r="AA34" s="824"/>
      <c r="AB34" s="824"/>
      <c r="AC34" s="824"/>
      <c r="AD34" s="824"/>
      <c r="AE34" s="3598" t="s">
        <v>720</v>
      </c>
      <c r="AF34" s="824"/>
      <c r="AG34" s="2"/>
      <c r="AH34" s="1059"/>
    </row>
    <row r="35" spans="1:34" ht="15.75">
      <c r="A35" s="5030"/>
      <c r="B35" s="1939" t="s">
        <v>95</v>
      </c>
      <c r="C35" s="1938" t="s">
        <v>548</v>
      </c>
      <c r="D35" s="4416" t="s">
        <v>112</v>
      </c>
      <c r="E35" s="4520"/>
      <c r="F35" s="4520"/>
      <c r="G35" s="4520"/>
      <c r="H35" s="4520"/>
      <c r="I35" s="4520"/>
      <c r="J35" s="4520"/>
      <c r="K35" s="4520"/>
      <c r="L35" s="4520"/>
      <c r="M35" s="4520"/>
      <c r="N35" s="5243"/>
      <c r="O35" s="920"/>
      <c r="P35" s="1259"/>
      <c r="Q35" s="3598" t="s">
        <v>720</v>
      </c>
      <c r="R35" s="380"/>
      <c r="S35" s="380"/>
      <c r="T35" s="380"/>
      <c r="U35" s="380"/>
      <c r="V35" s="1631" t="s">
        <v>722</v>
      </c>
      <c r="W35" s="380"/>
      <c r="X35" s="380"/>
      <c r="Y35" s="4724" t="s">
        <v>791</v>
      </c>
      <c r="Z35" s="4725"/>
      <c r="AA35" s="4726"/>
      <c r="AB35" s="380"/>
      <c r="AC35" s="1631" t="s">
        <v>722</v>
      </c>
      <c r="AD35" s="1259"/>
      <c r="AE35" s="375"/>
      <c r="AF35" s="362"/>
      <c r="AG35" s="362"/>
      <c r="AH35" s="1059"/>
    </row>
    <row r="36" spans="1:34">
      <c r="A36" s="5030"/>
      <c r="B36" s="1939" t="s">
        <v>106</v>
      </c>
      <c r="C36" s="1939" t="s">
        <v>107</v>
      </c>
      <c r="D36" s="1479"/>
      <c r="E36" s="362"/>
      <c r="F36" s="362"/>
      <c r="G36" s="362"/>
      <c r="H36" s="362"/>
      <c r="I36" s="362"/>
      <c r="J36" s="569" t="s">
        <v>720</v>
      </c>
      <c r="K36" s="362"/>
      <c r="L36" s="362"/>
      <c r="M36" s="362"/>
      <c r="N36" s="905"/>
      <c r="O36" s="905"/>
      <c r="P36" s="905"/>
      <c r="Q36" s="362"/>
      <c r="R36" s="362"/>
      <c r="S36" s="362"/>
      <c r="T36" s="569" t="s">
        <v>720</v>
      </c>
      <c r="U36" s="362"/>
      <c r="V36" s="362"/>
      <c r="W36" s="362"/>
      <c r="X36" s="362"/>
      <c r="Y36" s="362"/>
      <c r="Z36" s="362"/>
      <c r="AA36" s="362"/>
      <c r="AB36" s="362"/>
      <c r="AC36" s="362"/>
      <c r="AD36" s="373"/>
      <c r="AE36" s="824"/>
      <c r="AF36" s="3640" t="s">
        <v>251</v>
      </c>
      <c r="AG36" s="5251" t="s">
        <v>705</v>
      </c>
      <c r="AH36" s="5386"/>
    </row>
    <row r="37" spans="1:34" ht="15.75">
      <c r="A37" s="5030"/>
      <c r="B37" s="1949" t="s">
        <v>108</v>
      </c>
      <c r="C37" s="1949" t="s">
        <v>109</v>
      </c>
      <c r="D37" s="4417" t="s">
        <v>112</v>
      </c>
      <c r="E37" s="4468"/>
      <c r="F37" s="4468"/>
      <c r="G37" s="4468"/>
      <c r="H37" s="4468"/>
      <c r="I37" s="4468"/>
      <c r="J37" s="4468"/>
      <c r="K37" s="4468"/>
      <c r="L37" s="4468"/>
      <c r="M37" s="4468"/>
      <c r="N37" s="4515"/>
      <c r="O37" s="2195"/>
      <c r="P37" s="3652" t="s">
        <v>720</v>
      </c>
      <c r="Q37" s="1689"/>
      <c r="R37" s="852"/>
      <c r="S37" s="852"/>
      <c r="T37" s="852"/>
      <c r="U37" s="2233" t="s">
        <v>772</v>
      </c>
      <c r="V37" s="2253"/>
      <c r="W37" s="852"/>
      <c r="X37" s="852"/>
      <c r="Y37" s="852"/>
      <c r="Z37" s="940"/>
      <c r="AA37" s="2270" t="s">
        <v>722</v>
      </c>
      <c r="AB37" s="852"/>
      <c r="AC37" s="852"/>
      <c r="AD37" s="1688"/>
      <c r="AE37" s="2348" t="s">
        <v>722</v>
      </c>
      <c r="AF37" s="1364"/>
      <c r="AG37" s="1364"/>
      <c r="AH37" s="1702"/>
    </row>
    <row r="38" spans="1:34" ht="15.75">
      <c r="A38" s="5029" t="s">
        <v>110</v>
      </c>
      <c r="B38" s="1989" t="s">
        <v>77</v>
      </c>
      <c r="C38" s="1951" t="s">
        <v>201</v>
      </c>
      <c r="D38" s="3617"/>
      <c r="E38" s="3618" t="s">
        <v>720</v>
      </c>
      <c r="F38" s="3618"/>
      <c r="G38" s="3618"/>
      <c r="H38" s="3618"/>
      <c r="I38" s="3618"/>
      <c r="J38" s="3618"/>
      <c r="K38" s="3618"/>
      <c r="L38" s="3618"/>
      <c r="M38" s="3618"/>
      <c r="N38" s="2341"/>
      <c r="O38" s="2281" t="s">
        <v>720</v>
      </c>
      <c r="P38" s="3618"/>
      <c r="Q38" s="3618"/>
      <c r="R38" s="1566"/>
      <c r="S38" s="2283" t="s">
        <v>720</v>
      </c>
      <c r="T38" s="1566"/>
      <c r="U38" s="1566"/>
      <c r="V38" s="1566"/>
      <c r="W38" s="1566"/>
      <c r="X38" s="1566"/>
      <c r="Y38" s="1566"/>
      <c r="Z38" s="1566"/>
      <c r="AA38" s="1566"/>
      <c r="AB38" s="1566"/>
      <c r="AC38" s="1566"/>
      <c r="AD38" s="1620"/>
      <c r="AE38" s="3618"/>
      <c r="AF38" s="3618"/>
      <c r="AG38" s="3618"/>
      <c r="AH38" s="2342"/>
    </row>
    <row r="39" spans="1:34" ht="15.75">
      <c r="A39" s="5030"/>
      <c r="B39" s="2196" t="s">
        <v>77</v>
      </c>
      <c r="C39" s="1953" t="s">
        <v>610</v>
      </c>
      <c r="D39" s="1914"/>
      <c r="E39" s="3585" t="s">
        <v>717</v>
      </c>
      <c r="F39" s="3585"/>
      <c r="G39" s="3585"/>
      <c r="H39" s="3585"/>
      <c r="I39" s="3585"/>
      <c r="J39" s="3585"/>
      <c r="K39" s="3585" t="s">
        <v>717</v>
      </c>
      <c r="L39" s="3585"/>
      <c r="M39" s="3585"/>
      <c r="N39" s="1907"/>
      <c r="O39" s="1907"/>
      <c r="P39" s="3585"/>
      <c r="Q39" s="3585"/>
      <c r="R39" s="1252"/>
      <c r="S39" s="4475" t="s">
        <v>792</v>
      </c>
      <c r="T39" s="4475"/>
      <c r="U39" s="4475"/>
      <c r="V39" s="4475"/>
      <c r="W39" s="4475"/>
      <c r="X39" s="4475"/>
      <c r="Y39" s="4475"/>
      <c r="Z39" s="4475"/>
      <c r="AA39" s="1252"/>
      <c r="AB39" s="1252"/>
      <c r="AC39" s="3603"/>
      <c r="AD39" s="2"/>
      <c r="AE39" s="2329" t="s">
        <v>251</v>
      </c>
      <c r="AF39" s="5449" t="s">
        <v>793</v>
      </c>
      <c r="AG39" s="5449"/>
      <c r="AH39" s="5450"/>
    </row>
    <row r="40" spans="1:34" ht="15.75" customHeight="1">
      <c r="A40" s="5030"/>
      <c r="B40" s="2196" t="s">
        <v>95</v>
      </c>
      <c r="C40" s="1953" t="s">
        <v>249</v>
      </c>
      <c r="D40" s="1914"/>
      <c r="E40" s="4475" t="s">
        <v>112</v>
      </c>
      <c r="F40" s="4475"/>
      <c r="G40" s="4475"/>
      <c r="H40" s="4475"/>
      <c r="I40" s="4475"/>
      <c r="J40" s="4475"/>
      <c r="K40" s="4475"/>
      <c r="L40" s="4475"/>
      <c r="M40" s="4475"/>
      <c r="N40" s="4475"/>
      <c r="O40" s="4475"/>
      <c r="P40" s="4475"/>
      <c r="Q40" s="4475"/>
      <c r="R40" s="4475"/>
      <c r="S40" s="4475"/>
      <c r="T40" s="1252"/>
      <c r="U40" s="1252"/>
      <c r="V40" s="1252"/>
      <c r="W40" s="1252"/>
      <c r="X40" s="1252"/>
      <c r="Y40" s="1252"/>
      <c r="Z40" s="1252"/>
      <c r="AA40" s="1631" t="s">
        <v>720</v>
      </c>
      <c r="AB40" s="1252"/>
      <c r="AC40" s="1252"/>
      <c r="AD40" s="2330" t="s">
        <v>251</v>
      </c>
      <c r="AE40" s="3598"/>
      <c r="AF40" s="5447" t="s">
        <v>794</v>
      </c>
      <c r="AG40" s="5447"/>
      <c r="AH40" s="5448"/>
    </row>
    <row r="41" spans="1:34" ht="15.75" customHeight="1">
      <c r="A41" s="5030"/>
      <c r="B41" s="2196" t="s">
        <v>113</v>
      </c>
      <c r="C41" s="1953" t="s">
        <v>114</v>
      </c>
      <c r="D41" s="4416" t="s">
        <v>795</v>
      </c>
      <c r="E41" s="4411"/>
      <c r="F41" s="4411"/>
      <c r="G41" s="4334"/>
      <c r="H41" s="1268"/>
      <c r="I41" s="1268"/>
      <c r="J41" s="1268"/>
      <c r="K41" s="1268"/>
      <c r="L41" s="1268"/>
      <c r="M41" s="1268"/>
      <c r="N41" s="5459"/>
      <c r="O41" s="5460"/>
      <c r="P41" s="5460"/>
      <c r="Q41" s="5460"/>
      <c r="R41" s="5460"/>
      <c r="S41" s="5460"/>
      <c r="T41" s="5460"/>
      <c r="U41" s="5460"/>
      <c r="V41" s="5460"/>
      <c r="W41" s="5460"/>
      <c r="X41" s="5460"/>
      <c r="Y41" s="5460"/>
      <c r="Z41" s="5460"/>
      <c r="AA41" s="5460"/>
      <c r="AB41" s="5460"/>
      <c r="AC41" s="5460"/>
      <c r="AD41" s="5460"/>
      <c r="AE41" s="5460"/>
      <c r="AF41" s="5461"/>
      <c r="AG41" s="5461"/>
      <c r="AH41" s="5462"/>
    </row>
    <row r="42" spans="1:34" ht="15.75">
      <c r="A42" s="5030"/>
      <c r="B42" s="2196" t="s">
        <v>113</v>
      </c>
      <c r="C42" s="1953" t="s">
        <v>116</v>
      </c>
      <c r="D42" s="1914"/>
      <c r="E42" s="569"/>
      <c r="F42" s="569"/>
      <c r="G42" s="569"/>
      <c r="H42" s="569" t="s">
        <v>722</v>
      </c>
      <c r="I42" s="569"/>
      <c r="J42" s="569"/>
      <c r="K42" s="569"/>
      <c r="L42" s="569" t="s">
        <v>722</v>
      </c>
      <c r="M42" s="3585"/>
      <c r="N42" s="1907"/>
      <c r="O42" s="1907"/>
      <c r="P42" s="3585"/>
      <c r="Q42" s="3585"/>
      <c r="R42" s="1252"/>
      <c r="S42" s="1252"/>
      <c r="T42" s="1252"/>
      <c r="U42" s="1252"/>
      <c r="V42" s="1252"/>
      <c r="W42" s="1252"/>
      <c r="X42" s="1252"/>
      <c r="Y42" s="1252"/>
      <c r="Z42" s="1252"/>
      <c r="AA42" s="1252"/>
      <c r="AB42" s="1631" t="s">
        <v>720</v>
      </c>
      <c r="AC42" s="1252"/>
      <c r="AD42" s="3585"/>
      <c r="AE42" s="569"/>
      <c r="AF42" s="569"/>
      <c r="AG42" s="1531"/>
      <c r="AH42" s="3599"/>
    </row>
    <row r="43" spans="1:34">
      <c r="A43" s="5030"/>
      <c r="B43" s="2196" t="s">
        <v>118</v>
      </c>
      <c r="C43" s="1953" t="s">
        <v>119</v>
      </c>
      <c r="D43" s="5404" t="s">
        <v>796</v>
      </c>
      <c r="E43" s="5405"/>
      <c r="F43" s="5405"/>
      <c r="G43" s="5405"/>
      <c r="H43" s="5420"/>
      <c r="I43" s="5405"/>
      <c r="J43" s="5405"/>
      <c r="K43" s="5405"/>
      <c r="L43" s="5405"/>
      <c r="M43" s="5405"/>
      <c r="N43" s="5405"/>
      <c r="O43" s="5405"/>
      <c r="P43" s="5405"/>
      <c r="Q43" s="5405"/>
      <c r="R43" s="5405"/>
      <c r="S43" s="5405"/>
      <c r="T43" s="5420"/>
      <c r="U43" s="5420"/>
      <c r="V43" s="5420"/>
      <c r="W43" s="5420"/>
      <c r="X43" s="5420"/>
      <c r="Y43" s="5420"/>
      <c r="Z43" s="5420"/>
      <c r="AA43" s="5420"/>
      <c r="AB43" s="5420"/>
      <c r="AC43" s="5420"/>
      <c r="AD43" s="5420"/>
      <c r="AE43" s="5405"/>
      <c r="AF43" s="5420"/>
      <c r="AG43" s="5420"/>
      <c r="AH43" s="5421"/>
    </row>
    <row r="44" spans="1:34" ht="15.75" customHeight="1">
      <c r="A44" s="5030"/>
      <c r="B44" s="2196" t="s">
        <v>500</v>
      </c>
      <c r="C44" s="1953" t="s">
        <v>126</v>
      </c>
      <c r="D44" s="5404" t="s">
        <v>797</v>
      </c>
      <c r="E44" s="5405"/>
      <c r="F44" s="5405"/>
      <c r="G44" s="569" t="s">
        <v>722</v>
      </c>
      <c r="H44" s="5406" t="s">
        <v>797</v>
      </c>
      <c r="I44" s="5405"/>
      <c r="J44" s="5405"/>
      <c r="K44" s="5405"/>
      <c r="L44" s="5405"/>
      <c r="M44" s="5405"/>
      <c r="N44" s="5405"/>
      <c r="O44" s="5407"/>
      <c r="P44" s="5419" t="s">
        <v>798</v>
      </c>
      <c r="Q44" s="5419"/>
      <c r="R44" s="5419"/>
      <c r="S44" s="5419"/>
      <c r="T44" s="5445" t="s">
        <v>551</v>
      </c>
      <c r="U44" s="5445"/>
      <c r="V44" s="5445"/>
      <c r="W44" s="5445"/>
      <c r="X44" s="5445"/>
      <c r="Y44" s="5445"/>
      <c r="Z44" s="5445"/>
      <c r="AA44" s="5445"/>
      <c r="AB44" s="5445"/>
      <c r="AC44" s="5446"/>
      <c r="AD44" s="2326" t="s">
        <v>251</v>
      </c>
      <c r="AE44" s="2327"/>
      <c r="AF44" s="5447" t="s">
        <v>794</v>
      </c>
      <c r="AG44" s="5447"/>
      <c r="AH44" s="5448"/>
    </row>
    <row r="45" spans="1:34" ht="15.75">
      <c r="A45" s="5030"/>
      <c r="B45" s="2196" t="s">
        <v>120</v>
      </c>
      <c r="C45" s="1953" t="s">
        <v>121</v>
      </c>
      <c r="D45" s="5457" t="s">
        <v>112</v>
      </c>
      <c r="E45" s="4645"/>
      <c r="F45" s="4645"/>
      <c r="G45" s="4645"/>
      <c r="H45" s="4645"/>
      <c r="I45" s="4645"/>
      <c r="J45" s="4645"/>
      <c r="K45" s="4645"/>
      <c r="L45" s="4645"/>
      <c r="M45" s="4645"/>
      <c r="N45" s="1931"/>
      <c r="O45" s="1931"/>
      <c r="P45" s="3585" t="s">
        <v>722</v>
      </c>
      <c r="Q45" s="3585"/>
      <c r="R45" s="3585"/>
      <c r="S45" s="1252"/>
      <c r="T45" s="1543"/>
      <c r="U45" s="2248" t="s">
        <v>722</v>
      </c>
      <c r="V45" s="1543"/>
      <c r="W45" s="1543"/>
      <c r="X45" s="1543"/>
      <c r="Y45" s="1543"/>
      <c r="Z45" s="1543"/>
      <c r="AA45" s="1543"/>
      <c r="AB45" s="2248" t="s">
        <v>722</v>
      </c>
      <c r="AC45" s="1543"/>
      <c r="AD45" s="3625"/>
      <c r="AE45" s="569"/>
      <c r="AF45" s="1532"/>
      <c r="AG45" s="1532"/>
      <c r="AH45" s="3626"/>
    </row>
    <row r="46" spans="1:34">
      <c r="A46" s="5030"/>
      <c r="B46" s="2196" t="s">
        <v>122</v>
      </c>
      <c r="C46" s="1953" t="s">
        <v>123</v>
      </c>
      <c r="D46" s="4416" t="s">
        <v>112</v>
      </c>
      <c r="E46" s="4411"/>
      <c r="F46" s="4411"/>
      <c r="G46" s="4411"/>
      <c r="H46" s="4411"/>
      <c r="I46" s="4411"/>
      <c r="J46" s="4411"/>
      <c r="K46" s="4411"/>
      <c r="L46" s="4411"/>
      <c r="M46" s="4334"/>
      <c r="N46" s="2193"/>
      <c r="O46" s="2193"/>
      <c r="P46" s="3585"/>
      <c r="Q46" s="3585"/>
      <c r="R46" s="3585" t="s">
        <v>722</v>
      </c>
      <c r="S46" s="1252"/>
      <c r="T46" s="1252"/>
      <c r="U46" s="1252"/>
      <c r="V46" s="1252"/>
      <c r="W46" s="1252"/>
      <c r="X46" s="1631" t="s">
        <v>720</v>
      </c>
      <c r="Y46" s="1631"/>
      <c r="Z46" s="1631"/>
      <c r="AA46" s="1631"/>
      <c r="AB46" s="1631"/>
      <c r="AC46" s="1631"/>
      <c r="AD46" s="2254"/>
      <c r="AE46" s="1412"/>
      <c r="AF46" s="1412"/>
      <c r="AG46" s="1412" t="s">
        <v>722</v>
      </c>
      <c r="AH46" s="2255"/>
    </row>
    <row r="47" spans="1:34">
      <c r="A47" s="5030"/>
      <c r="B47" s="2196" t="s">
        <v>122</v>
      </c>
      <c r="C47" s="1953" t="s">
        <v>553</v>
      </c>
      <c r="D47" s="5404" t="s">
        <v>797</v>
      </c>
      <c r="E47" s="5405"/>
      <c r="F47" s="5405"/>
      <c r="G47" s="5405"/>
      <c r="H47" s="5405"/>
      <c r="I47" s="5405"/>
      <c r="J47" s="5405"/>
      <c r="K47" s="5405"/>
      <c r="L47" s="5405"/>
      <c r="M47" s="5405"/>
      <c r="N47" s="5405"/>
      <c r="O47" s="5407"/>
      <c r="P47" s="5406" t="s">
        <v>551</v>
      </c>
      <c r="Q47" s="5405"/>
      <c r="R47" s="5405"/>
      <c r="S47" s="5405"/>
      <c r="T47" s="5405"/>
      <c r="U47" s="5405"/>
      <c r="V47" s="5405"/>
      <c r="W47" s="5405"/>
      <c r="X47" s="5405"/>
      <c r="Y47" s="5405"/>
      <c r="Z47" s="5405"/>
      <c r="AA47" s="5405"/>
      <c r="AB47" s="5405"/>
      <c r="AC47" s="5405"/>
      <c r="AD47" s="5405"/>
      <c r="AE47" s="5405"/>
      <c r="AF47" s="5405"/>
      <c r="AG47" s="5405"/>
      <c r="AH47" s="5416"/>
    </row>
    <row r="48" spans="1:34">
      <c r="A48" s="5030"/>
      <c r="B48" s="2196" t="s">
        <v>124</v>
      </c>
      <c r="C48" s="1953" t="s">
        <v>125</v>
      </c>
      <c r="D48" s="2343" t="s">
        <v>720</v>
      </c>
      <c r="E48" s="1541"/>
      <c r="F48" s="1541"/>
      <c r="G48" s="1541"/>
      <c r="H48" s="1541" t="s">
        <v>720</v>
      </c>
      <c r="I48" s="1541"/>
      <c r="J48" s="2310" t="s">
        <v>251</v>
      </c>
      <c r="K48" s="5438" t="s">
        <v>799</v>
      </c>
      <c r="L48" s="5439"/>
      <c r="M48" s="5439"/>
      <c r="N48" s="5439"/>
      <c r="O48" s="5439"/>
      <c r="P48" s="4566"/>
      <c r="Q48" s="4566"/>
      <c r="R48" s="4566"/>
      <c r="S48" s="4566"/>
      <c r="T48" s="4566"/>
      <c r="U48" s="4566"/>
      <c r="V48" s="4566"/>
      <c r="W48" s="4566"/>
      <c r="X48" s="4566"/>
      <c r="Y48" s="4566"/>
      <c r="Z48" s="4566"/>
      <c r="AA48" s="4566"/>
      <c r="AB48" s="4566"/>
      <c r="AC48" s="4566"/>
      <c r="AD48" s="4566"/>
      <c r="AE48" s="4566"/>
      <c r="AF48" s="4566"/>
      <c r="AG48" s="4566"/>
      <c r="AH48" s="5440"/>
    </row>
    <row r="49" spans="1:34">
      <c r="A49" s="5030"/>
      <c r="B49" s="2196" t="s">
        <v>127</v>
      </c>
      <c r="C49" s="1953" t="s">
        <v>657</v>
      </c>
      <c r="D49" s="2344"/>
      <c r="E49" s="2259"/>
      <c r="F49" s="2259"/>
      <c r="G49" s="2259"/>
      <c r="H49" s="2259"/>
      <c r="I49" s="2259"/>
      <c r="J49" s="2259"/>
      <c r="K49" s="2259"/>
      <c r="L49" s="2259"/>
      <c r="M49" s="2259"/>
      <c r="N49" s="2259"/>
      <c r="O49" s="2259"/>
      <c r="P49" s="5407" t="s">
        <v>551</v>
      </c>
      <c r="Q49" s="5417"/>
      <c r="R49" s="5417"/>
      <c r="S49" s="5417"/>
      <c r="T49" s="5417"/>
      <c r="U49" s="5417"/>
      <c r="V49" s="5417"/>
      <c r="W49" s="5417"/>
      <c r="X49" s="5417"/>
      <c r="Y49" s="5417"/>
      <c r="Z49" s="5417"/>
      <c r="AA49" s="5417"/>
      <c r="AB49" s="5417"/>
      <c r="AC49" s="5417"/>
      <c r="AD49" s="5417"/>
      <c r="AE49" s="5417"/>
      <c r="AF49" s="5417"/>
      <c r="AG49" s="5417"/>
      <c r="AH49" s="5418"/>
    </row>
    <row r="50" spans="1:34">
      <c r="A50" s="5030"/>
      <c r="B50" s="2196" t="s">
        <v>692</v>
      </c>
      <c r="C50" s="1953" t="s">
        <v>693</v>
      </c>
      <c r="D50" s="4580" t="s">
        <v>112</v>
      </c>
      <c r="E50" s="5063"/>
      <c r="F50" s="5063"/>
      <c r="G50" s="5063"/>
      <c r="H50" s="5063"/>
      <c r="I50" s="5063"/>
      <c r="J50" s="5063"/>
      <c r="K50" s="5063"/>
      <c r="L50" s="5063"/>
      <c r="M50" s="5064"/>
      <c r="N50" s="2272" t="s">
        <v>717</v>
      </c>
      <c r="O50" s="1571"/>
      <c r="P50" s="1572"/>
      <c r="Q50" s="1572"/>
      <c r="R50" s="1572"/>
      <c r="S50" s="2270" t="s">
        <v>717</v>
      </c>
      <c r="T50" s="1572"/>
      <c r="U50" s="1572"/>
      <c r="V50" s="1572"/>
      <c r="W50" s="1572"/>
      <c r="X50" s="1572"/>
      <c r="Y50" s="1572"/>
      <c r="Z50" s="1572"/>
      <c r="AA50" s="1572"/>
      <c r="AB50" s="2263"/>
      <c r="AC50" s="1572"/>
      <c r="AD50" s="1572"/>
      <c r="AE50" s="1572"/>
      <c r="AF50" s="1572"/>
      <c r="AG50" s="1572"/>
      <c r="AH50" s="2261"/>
    </row>
    <row r="51" spans="1:34">
      <c r="A51" s="5030"/>
      <c r="B51" s="2196" t="s">
        <v>554</v>
      </c>
      <c r="C51" s="1953" t="s">
        <v>555</v>
      </c>
      <c r="D51" s="2345"/>
      <c r="E51" s="3702"/>
      <c r="F51" s="3702"/>
      <c r="G51" s="3702"/>
      <c r="H51" s="3702"/>
      <c r="I51" s="3702"/>
      <c r="J51" s="3702"/>
      <c r="K51" s="3702"/>
      <c r="L51" s="3702"/>
      <c r="M51" s="3702"/>
      <c r="N51" s="2263"/>
      <c r="O51" s="2263"/>
      <c r="P51" s="2263"/>
      <c r="Q51" s="2263"/>
      <c r="R51" s="2263"/>
      <c r="S51" s="2263"/>
      <c r="T51" s="2263"/>
      <c r="U51" s="2263"/>
      <c r="V51" s="2263"/>
      <c r="W51" s="2263"/>
      <c r="X51" s="2263"/>
      <c r="Y51" s="2271" t="s">
        <v>717</v>
      </c>
      <c r="Z51" s="2263"/>
      <c r="AA51" s="2263"/>
      <c r="AB51" s="283"/>
      <c r="AC51" s="2271" t="s">
        <v>717</v>
      </c>
      <c r="AD51" s="2263"/>
      <c r="AE51" s="2263"/>
      <c r="AF51" s="2263"/>
      <c r="AG51" s="2263"/>
      <c r="AH51" s="2273"/>
    </row>
    <row r="52" spans="1:34">
      <c r="A52" s="5030"/>
      <c r="B52" s="2196" t="s">
        <v>129</v>
      </c>
      <c r="C52" s="1953" t="s">
        <v>474</v>
      </c>
      <c r="D52" s="5457" t="s">
        <v>112</v>
      </c>
      <c r="E52" s="4645"/>
      <c r="F52" s="4645"/>
      <c r="G52" s="4645"/>
      <c r="H52" s="4645"/>
      <c r="I52" s="4645"/>
      <c r="J52" s="4645"/>
      <c r="K52" s="4645"/>
      <c r="L52" s="4645"/>
      <c r="M52" s="4645"/>
      <c r="N52" s="1532"/>
      <c r="O52" s="1532"/>
      <c r="P52" s="1532"/>
      <c r="Q52" s="1532"/>
      <c r="R52" s="1532" t="s">
        <v>717</v>
      </c>
      <c r="S52" s="1532"/>
      <c r="T52" s="3625"/>
      <c r="U52" s="2262" t="s">
        <v>772</v>
      </c>
      <c r="V52" s="3625"/>
      <c r="W52" s="1532"/>
      <c r="X52" s="1532"/>
      <c r="Y52" s="3625"/>
      <c r="Z52" s="1543"/>
      <c r="AA52" s="1543"/>
      <c r="AB52" s="2248" t="s">
        <v>717</v>
      </c>
      <c r="AC52" s="1543"/>
      <c r="AD52" s="1543"/>
      <c r="AE52" s="1543"/>
      <c r="AF52" s="1543"/>
      <c r="AG52" s="2248" t="s">
        <v>717</v>
      </c>
      <c r="AH52" s="1632"/>
    </row>
    <row r="53" spans="1:34" ht="15.75">
      <c r="A53" s="5030"/>
      <c r="B53" s="2196" t="s">
        <v>134</v>
      </c>
      <c r="C53" s="1953" t="s">
        <v>135</v>
      </c>
      <c r="D53" s="1914"/>
      <c r="E53" s="3585" t="s">
        <v>722</v>
      </c>
      <c r="F53" s="3585"/>
      <c r="G53" s="3585"/>
      <c r="H53" s="569"/>
      <c r="I53" s="569"/>
      <c r="J53" s="569" t="s">
        <v>722</v>
      </c>
      <c r="K53" s="569"/>
      <c r="L53" s="569"/>
      <c r="M53" s="3585"/>
      <c r="N53" s="1907"/>
      <c r="O53" s="1907"/>
      <c r="P53" s="3585"/>
      <c r="Q53" s="3585"/>
      <c r="R53" s="1252"/>
      <c r="S53" s="1252"/>
      <c r="T53" s="1252"/>
      <c r="U53" s="3586" t="s">
        <v>772</v>
      </c>
      <c r="V53" s="1252"/>
      <c r="W53" s="1252"/>
      <c r="X53" s="1252"/>
      <c r="Y53" s="1252"/>
      <c r="Z53" s="1252"/>
      <c r="AA53" s="1252"/>
      <c r="AB53" s="1252"/>
      <c r="AC53" s="1252"/>
      <c r="AD53" s="5443" t="s">
        <v>251</v>
      </c>
      <c r="AE53" s="5444"/>
      <c r="AF53" s="569"/>
      <c r="AG53" s="5441" t="s">
        <v>800</v>
      </c>
      <c r="AH53" s="5442"/>
    </row>
    <row r="54" spans="1:34">
      <c r="A54" s="5031"/>
      <c r="B54" s="2197" t="s">
        <v>333</v>
      </c>
      <c r="C54" s="2347" t="s">
        <v>334</v>
      </c>
      <c r="D54" s="2346"/>
      <c r="E54" s="1552"/>
      <c r="F54" s="1552"/>
      <c r="G54" s="1552"/>
      <c r="H54" s="1608"/>
      <c r="I54" s="5458" t="s">
        <v>801</v>
      </c>
      <c r="J54" s="5458"/>
      <c r="K54" s="5458"/>
      <c r="L54" s="5458"/>
      <c r="M54" s="5458"/>
      <c r="N54" s="5458"/>
      <c r="O54" s="5458"/>
      <c r="P54" s="1608"/>
      <c r="Q54" s="1608"/>
      <c r="R54" s="1915"/>
      <c r="S54" s="1915"/>
      <c r="T54" s="1915"/>
      <c r="U54" s="1933" t="s">
        <v>772</v>
      </c>
      <c r="V54" s="2252" t="s">
        <v>720</v>
      </c>
      <c r="W54" s="1915"/>
      <c r="X54" s="1915"/>
      <c r="Y54" s="1915"/>
      <c r="Z54" s="2252" t="s">
        <v>720</v>
      </c>
      <c r="AA54" s="1915"/>
      <c r="AB54" s="1915"/>
      <c r="AC54" s="1915"/>
      <c r="AD54" s="1608"/>
      <c r="AE54" s="1552"/>
      <c r="AF54" s="1552"/>
      <c r="AG54" s="1552"/>
      <c r="AH54" s="1916"/>
    </row>
    <row r="55" spans="1:34" ht="15.75">
      <c r="A55" s="5030" t="s">
        <v>136</v>
      </c>
      <c r="B55" s="1940" t="s">
        <v>77</v>
      </c>
      <c r="C55" s="1962" t="s">
        <v>153</v>
      </c>
      <c r="D55" s="4551" t="s">
        <v>802</v>
      </c>
      <c r="E55" s="4551"/>
      <c r="F55" s="4551"/>
      <c r="G55" s="5103"/>
      <c r="H55" s="941"/>
      <c r="I55" s="799"/>
      <c r="J55" s="799"/>
      <c r="K55" s="2349" t="s">
        <v>720</v>
      </c>
      <c r="L55" s="1765"/>
      <c r="M55" s="1765"/>
      <c r="N55" s="1487"/>
      <c r="O55" s="1488"/>
      <c r="P55" s="799"/>
      <c r="Q55" s="799"/>
      <c r="R55" s="799"/>
      <c r="S55" s="3681" t="s">
        <v>251</v>
      </c>
      <c r="T55" s="5414" t="s">
        <v>782</v>
      </c>
      <c r="U55" s="5410"/>
      <c r="V55" s="5415"/>
      <c r="W55" s="3681" t="s">
        <v>251</v>
      </c>
      <c r="X55" s="799"/>
      <c r="Y55" s="2284" t="s">
        <v>720</v>
      </c>
      <c r="Z55" s="5409" t="s">
        <v>803</v>
      </c>
      <c r="AA55" s="5410"/>
      <c r="AB55" s="799"/>
      <c r="AC55" s="799"/>
      <c r="AD55" s="799"/>
      <c r="AE55" s="799"/>
      <c r="AF55" s="2284" t="s">
        <v>720</v>
      </c>
      <c r="AG55" s="2218" t="s">
        <v>251</v>
      </c>
      <c r="AH55" s="2350" t="s">
        <v>780</v>
      </c>
    </row>
    <row r="56" spans="1:34" ht="15.75">
      <c r="A56" s="5030"/>
      <c r="B56" s="1943" t="s">
        <v>95</v>
      </c>
      <c r="C56" s="2196" t="s">
        <v>139</v>
      </c>
      <c r="D56" s="2211"/>
      <c r="E56" s="939"/>
      <c r="F56" s="537"/>
      <c r="G56" s="537"/>
      <c r="H56" s="942"/>
      <c r="I56" s="537"/>
      <c r="J56" s="537"/>
      <c r="K56" s="933"/>
      <c r="L56" s="537"/>
      <c r="M56" s="920"/>
      <c r="N56" s="920"/>
      <c r="O56" s="920"/>
      <c r="P56" s="942"/>
      <c r="Q56" s="933"/>
      <c r="R56" s="852"/>
      <c r="S56" s="2333"/>
      <c r="T56" s="380"/>
      <c r="U56" s="1926"/>
      <c r="V56" s="852"/>
      <c r="W56" s="380"/>
      <c r="X56" s="380"/>
      <c r="Y56" s="380"/>
      <c r="Z56" s="536"/>
      <c r="AA56" s="380"/>
      <c r="AB56" s="380"/>
      <c r="AC56" s="380"/>
      <c r="AD56" s="942"/>
      <c r="AE56" s="537"/>
      <c r="AF56" s="537"/>
      <c r="AG56" s="537"/>
      <c r="AH56" s="964"/>
    </row>
    <row r="57" spans="1:34">
      <c r="A57" s="5030"/>
      <c r="B57" s="1981" t="s">
        <v>95</v>
      </c>
      <c r="C57" s="2232" t="s">
        <v>303</v>
      </c>
      <c r="D57" s="4413" t="s">
        <v>482</v>
      </c>
      <c r="E57" s="4413"/>
      <c r="F57" s="4413"/>
      <c r="G57" s="4413"/>
      <c r="H57" s="4414"/>
      <c r="I57" s="375"/>
      <c r="J57" s="375"/>
      <c r="K57" s="376"/>
      <c r="L57" s="362"/>
      <c r="M57" s="905"/>
      <c r="N57" s="905"/>
      <c r="O57" s="905"/>
      <c r="P57" s="2334"/>
      <c r="Q57" s="375"/>
      <c r="R57" s="375"/>
      <c r="S57" s="376"/>
      <c r="T57" s="2"/>
      <c r="U57" s="1548" t="s">
        <v>720</v>
      </c>
      <c r="V57" s="380"/>
      <c r="W57" s="375"/>
      <c r="X57" s="375"/>
      <c r="Y57" s="375"/>
      <c r="Z57" s="1201"/>
      <c r="AA57" s="1201"/>
      <c r="AB57" s="1201"/>
      <c r="AC57" s="1201"/>
      <c r="AD57" s="1201"/>
      <c r="AE57" s="677"/>
      <c r="AF57" s="375"/>
      <c r="AG57" s="375"/>
      <c r="AH57" s="1702"/>
    </row>
    <row r="58" spans="1:34" s="567" customFormat="1" ht="15.75">
      <c r="A58" s="5030"/>
      <c r="B58" s="1943" t="s">
        <v>142</v>
      </c>
      <c r="C58" s="1977" t="s">
        <v>143</v>
      </c>
      <c r="D58" s="2211"/>
      <c r="E58" s="537"/>
      <c r="F58" s="2019"/>
      <c r="G58" s="939"/>
      <c r="H58" s="2019"/>
      <c r="I58" s="939"/>
      <c r="J58" s="939"/>
      <c r="K58" s="2212"/>
      <c r="L58" s="537"/>
      <c r="M58" s="1459" t="s">
        <v>722</v>
      </c>
      <c r="N58" s="2280" t="s">
        <v>722</v>
      </c>
      <c r="O58" s="920"/>
      <c r="P58" s="2019"/>
      <c r="Q58" s="2212"/>
      <c r="R58" s="2212"/>
      <c r="S58" s="3682" t="s">
        <v>251</v>
      </c>
      <c r="T58" s="5409" t="s">
        <v>782</v>
      </c>
      <c r="U58" s="4725"/>
      <c r="V58" s="4726"/>
      <c r="W58" s="3682" t="s">
        <v>251</v>
      </c>
      <c r="X58" s="852"/>
      <c r="Y58" s="4724" t="s">
        <v>791</v>
      </c>
      <c r="Z58" s="4725"/>
      <c r="AA58" s="4726"/>
      <c r="AB58" s="852"/>
      <c r="AC58" s="852"/>
      <c r="AD58" s="2253"/>
      <c r="AE58" s="939"/>
      <c r="AF58" s="939"/>
      <c r="AG58" s="2218" t="s">
        <v>251</v>
      </c>
      <c r="AH58" s="3643" t="s">
        <v>780</v>
      </c>
    </row>
    <row r="59" spans="1:34" s="567" customFormat="1" ht="15.75">
      <c r="A59" s="5030"/>
      <c r="B59" s="2196" t="s">
        <v>155</v>
      </c>
      <c r="C59" s="1953" t="s">
        <v>532</v>
      </c>
      <c r="D59" s="1914" t="s">
        <v>717</v>
      </c>
      <c r="E59" s="824"/>
      <c r="F59" s="824"/>
      <c r="G59" s="824"/>
      <c r="H59" s="824"/>
      <c r="I59" s="824"/>
      <c r="J59" s="3585" t="s">
        <v>717</v>
      </c>
      <c r="K59" s="656"/>
      <c r="L59" s="824"/>
      <c r="M59" s="824"/>
      <c r="N59" s="920"/>
      <c r="O59" s="920"/>
      <c r="P59" s="1259"/>
      <c r="Q59" s="824"/>
      <c r="R59" s="380"/>
      <c r="S59" s="380"/>
      <c r="T59" s="380"/>
      <c r="U59" s="380"/>
      <c r="V59" s="380"/>
      <c r="W59" s="1631" t="s">
        <v>717</v>
      </c>
      <c r="X59" s="380"/>
      <c r="Y59" s="380"/>
      <c r="Z59" s="380"/>
      <c r="AA59" s="380"/>
      <c r="AB59" s="380"/>
      <c r="AC59" s="3628" t="s">
        <v>251</v>
      </c>
      <c r="AD59" s="5408" t="s">
        <v>804</v>
      </c>
      <c r="AE59" s="5408"/>
      <c r="AF59" s="5408"/>
      <c r="AG59" s="3628" t="s">
        <v>251</v>
      </c>
      <c r="AH59" s="696"/>
    </row>
    <row r="60" spans="1:34">
      <c r="A60" s="5031"/>
      <c r="B60" s="1961" t="s">
        <v>805</v>
      </c>
      <c r="C60" s="2197" t="s">
        <v>740</v>
      </c>
      <c r="D60" s="1688"/>
      <c r="E60" s="2214"/>
      <c r="F60" s="939"/>
      <c r="G60" s="939"/>
      <c r="H60" s="939"/>
      <c r="I60" s="939"/>
      <c r="J60" s="939"/>
      <c r="K60" s="939"/>
      <c r="L60" s="1765"/>
      <c r="M60" s="1765"/>
      <c r="N60" s="1765"/>
      <c r="O60" s="1765"/>
      <c r="P60" s="939"/>
      <c r="Q60" s="939"/>
      <c r="R60" s="939"/>
      <c r="S60" s="939"/>
      <c r="T60" s="939"/>
      <c r="U60" s="939"/>
      <c r="V60" s="939"/>
      <c r="W60" s="939"/>
      <c r="X60" s="939"/>
      <c r="Y60" s="939"/>
      <c r="Z60" s="939"/>
      <c r="AA60" s="939"/>
      <c r="AB60" s="939"/>
      <c r="AC60" s="939"/>
      <c r="AD60" s="939"/>
      <c r="AE60" s="939"/>
      <c r="AF60" s="939"/>
      <c r="AG60" s="939"/>
      <c r="AH60" s="1718"/>
    </row>
    <row r="61" spans="1:34" ht="15.75">
      <c r="A61" s="5403" t="s">
        <v>144</v>
      </c>
      <c r="B61" s="2213" t="s">
        <v>145</v>
      </c>
      <c r="C61" s="1940" t="s">
        <v>618</v>
      </c>
      <c r="D61" s="5455" t="s">
        <v>659</v>
      </c>
      <c r="E61" s="4523"/>
      <c r="F61" s="4523"/>
      <c r="G61" s="4523"/>
      <c r="H61" s="4523"/>
      <c r="I61" s="4523"/>
      <c r="J61" s="4523"/>
      <c r="K61" s="4523"/>
      <c r="L61" s="4523"/>
      <c r="M61" s="4524"/>
      <c r="N61" s="1023"/>
      <c r="O61" s="2281" t="s">
        <v>717</v>
      </c>
      <c r="P61" s="1200"/>
      <c r="Q61" s="1200"/>
      <c r="R61" s="973"/>
      <c r="S61" s="973"/>
      <c r="T61" s="2283" t="s">
        <v>717</v>
      </c>
      <c r="U61" s="973"/>
      <c r="V61" s="973"/>
      <c r="W61" s="973"/>
      <c r="X61" s="973"/>
      <c r="Y61" s="973"/>
      <c r="Z61" s="973"/>
      <c r="AA61" s="973"/>
      <c r="AB61" s="973"/>
      <c r="AC61" s="973"/>
      <c r="AD61" s="1200"/>
      <c r="AE61" s="1200"/>
      <c r="AF61" s="1200"/>
      <c r="AG61" s="1200"/>
      <c r="AH61" s="1368"/>
    </row>
    <row r="62" spans="1:34" ht="15.75" customHeight="1">
      <c r="A62" s="5403"/>
      <c r="B62" s="1953" t="s">
        <v>145</v>
      </c>
      <c r="C62" s="1943" t="s">
        <v>148</v>
      </c>
      <c r="D62" s="923"/>
      <c r="E62" s="362"/>
      <c r="F62" s="362"/>
      <c r="G62" s="362"/>
      <c r="H62" s="362"/>
      <c r="I62" s="362"/>
      <c r="J62" s="362"/>
      <c r="K62" s="569" t="s">
        <v>722</v>
      </c>
      <c r="L62" s="362"/>
      <c r="M62" s="362"/>
      <c r="N62" s="362"/>
      <c r="O62" s="362"/>
      <c r="P62" s="824"/>
      <c r="Q62" s="824"/>
      <c r="R62" s="1631" t="s">
        <v>720</v>
      </c>
      <c r="S62" s="380"/>
      <c r="T62" s="380"/>
      <c r="U62" s="2249"/>
      <c r="V62" s="380"/>
      <c r="W62" s="380"/>
      <c r="X62" s="380"/>
      <c r="Y62" s="4822" t="s">
        <v>806</v>
      </c>
      <c r="Z62" s="4822"/>
      <c r="AA62" s="4822"/>
      <c r="AB62" s="4822"/>
      <c r="AC62" s="4822"/>
      <c r="AD62" s="2254" t="s">
        <v>720</v>
      </c>
      <c r="AE62" s="362"/>
      <c r="AF62" s="2563" t="s">
        <v>251</v>
      </c>
      <c r="AG62" s="5251" t="s">
        <v>705</v>
      </c>
      <c r="AH62" s="5386"/>
    </row>
    <row r="63" spans="1:34" ht="15.75">
      <c r="A63" s="5403"/>
      <c r="B63" s="1953" t="s">
        <v>149</v>
      </c>
      <c r="C63" s="1943" t="s">
        <v>150</v>
      </c>
      <c r="D63" s="1479"/>
      <c r="E63" s="824"/>
      <c r="F63" s="3585" t="s">
        <v>722</v>
      </c>
      <c r="G63" s="824"/>
      <c r="H63" s="824"/>
      <c r="I63" s="824"/>
      <c r="J63" s="824"/>
      <c r="K63" s="824"/>
      <c r="L63" s="824"/>
      <c r="M63" s="824"/>
      <c r="O63" s="920"/>
      <c r="P63" s="824"/>
      <c r="Q63" s="824"/>
      <c r="R63" s="380"/>
      <c r="S63" s="380"/>
      <c r="T63" s="380"/>
      <c r="U63" s="1934" t="s">
        <v>772</v>
      </c>
      <c r="W63" s="380"/>
      <c r="X63" s="380"/>
      <c r="Y63" s="2270" t="s">
        <v>722</v>
      </c>
      <c r="Z63" s="967"/>
      <c r="AA63" s="380"/>
      <c r="AB63" s="380"/>
      <c r="AC63" s="380"/>
      <c r="AD63" s="2254" t="s">
        <v>722</v>
      </c>
      <c r="AE63" s="824"/>
      <c r="AF63" s="824"/>
      <c r="AG63" s="824"/>
      <c r="AH63" s="1059"/>
    </row>
    <row r="64" spans="1:34" ht="15.75">
      <c r="A64" s="5403"/>
      <c r="B64" s="2232" t="s">
        <v>149</v>
      </c>
      <c r="C64" s="1944" t="s">
        <v>151</v>
      </c>
      <c r="D64" s="5456" t="s">
        <v>807</v>
      </c>
      <c r="E64" s="4649"/>
      <c r="F64" s="4649"/>
      <c r="G64" s="4649"/>
      <c r="H64" s="4649"/>
      <c r="I64" s="4649"/>
      <c r="J64" s="4649"/>
      <c r="K64" s="4649"/>
      <c r="L64" s="4649"/>
      <c r="M64" s="4649"/>
      <c r="N64" s="2195"/>
      <c r="O64" s="2195"/>
      <c r="P64" s="1364"/>
      <c r="Q64" s="1364"/>
      <c r="R64" s="852"/>
      <c r="S64" s="569" t="s">
        <v>722</v>
      </c>
      <c r="T64" s="852"/>
      <c r="U64" s="2233" t="s">
        <v>772</v>
      </c>
      <c r="V64" s="852"/>
      <c r="W64" s="852"/>
      <c r="X64" s="2270" t="s">
        <v>722</v>
      </c>
      <c r="Y64" s="852"/>
      <c r="Z64" s="2195"/>
      <c r="AA64" s="2195"/>
      <c r="AB64" s="1364"/>
      <c r="AC64" s="1364"/>
      <c r="AD64" s="852"/>
      <c r="AE64" s="1364"/>
      <c r="AF64" s="2254" t="s">
        <v>722</v>
      </c>
      <c r="AG64" s="1364"/>
      <c r="AH64" s="1702"/>
    </row>
    <row r="65" spans="1:34" ht="20.25" customHeight="1">
      <c r="A65" s="5451" t="s">
        <v>808</v>
      </c>
      <c r="B65" s="2017" t="s">
        <v>100</v>
      </c>
      <c r="C65" s="1951" t="s">
        <v>78</v>
      </c>
      <c r="D65" s="1710"/>
      <c r="E65" s="2228"/>
      <c r="F65" s="1200"/>
      <c r="G65" s="1200"/>
      <c r="H65" s="1200"/>
      <c r="I65" s="1200"/>
      <c r="J65" s="1200"/>
      <c r="K65" s="1200"/>
      <c r="L65" s="1200"/>
      <c r="M65" s="1200"/>
      <c r="N65" s="1022"/>
      <c r="O65" s="1023"/>
      <c r="P65" s="2228"/>
      <c r="Q65" s="1902"/>
      <c r="R65" s="973"/>
      <c r="S65" s="973"/>
      <c r="T65" s="2229" t="s">
        <v>698</v>
      </c>
      <c r="U65" s="973"/>
      <c r="V65" s="2371" t="s">
        <v>776</v>
      </c>
      <c r="W65" s="973"/>
      <c r="X65" s="973"/>
      <c r="Y65" s="973"/>
      <c r="Z65" s="1022"/>
      <c r="AA65" s="1023"/>
      <c r="AB65" s="2228"/>
      <c r="AC65" s="1902"/>
      <c r="AD65" s="973"/>
      <c r="AE65" s="1200"/>
      <c r="AF65" s="3671" t="s">
        <v>251</v>
      </c>
      <c r="AG65" s="5251" t="s">
        <v>705</v>
      </c>
      <c r="AH65" s="5386"/>
    </row>
    <row r="66" spans="1:34" ht="15.75">
      <c r="A66" s="5452"/>
      <c r="B66" s="1981" t="s">
        <v>95</v>
      </c>
      <c r="C66" s="1953" t="s">
        <v>620</v>
      </c>
      <c r="D66" s="1917"/>
      <c r="E66" s="1688"/>
      <c r="F66" s="3616" t="s">
        <v>717</v>
      </c>
      <c r="G66" s="1364"/>
      <c r="H66" s="1364"/>
      <c r="I66" s="1364"/>
      <c r="J66" s="1364"/>
      <c r="K66" s="1364"/>
      <c r="L66" s="3616" t="s">
        <v>717</v>
      </c>
      <c r="M66" s="1201"/>
      <c r="N66" s="2194"/>
      <c r="O66" s="2195"/>
      <c r="P66" s="1259"/>
      <c r="Q66" s="5398" t="s">
        <v>809</v>
      </c>
      <c r="R66" s="5399"/>
      <c r="S66" s="5399"/>
      <c r="T66" s="5399"/>
      <c r="U66" s="5399"/>
      <c r="V66" s="5399"/>
      <c r="W66" s="5399"/>
      <c r="X66" s="5399"/>
      <c r="Y66" s="5399"/>
      <c r="Z66" s="5400"/>
      <c r="AA66" s="5400"/>
      <c r="AB66" s="5400"/>
      <c r="AC66" s="5400"/>
      <c r="AD66" s="5400"/>
      <c r="AE66" s="5400"/>
      <c r="AF66" s="5399"/>
      <c r="AG66" s="5401"/>
      <c r="AH66" s="1026"/>
    </row>
    <row r="67" spans="1:34">
      <c r="A67" s="5452"/>
      <c r="B67" s="2196" t="s">
        <v>127</v>
      </c>
      <c r="C67" s="1953" t="s">
        <v>132</v>
      </c>
      <c r="D67" s="2240"/>
      <c r="E67" s="2193"/>
      <c r="F67" s="2193"/>
      <c r="G67" s="2193"/>
      <c r="H67" s="2193"/>
      <c r="I67" s="2193"/>
      <c r="J67" s="2193"/>
      <c r="K67" s="2193"/>
      <c r="L67" s="2193"/>
      <c r="M67" s="2193"/>
      <c r="N67" s="2193"/>
      <c r="O67" s="2193"/>
      <c r="P67" s="2192"/>
      <c r="Q67" s="2193"/>
      <c r="R67" s="2193"/>
      <c r="S67" s="2193"/>
      <c r="T67" s="2198" t="s">
        <v>698</v>
      </c>
      <c r="U67" s="2233" t="s">
        <v>810</v>
      </c>
      <c r="V67" s="2371" t="s">
        <v>776</v>
      </c>
      <c r="W67" s="2193"/>
      <c r="X67" s="2193"/>
      <c r="Y67" s="2193"/>
      <c r="Z67" s="362"/>
      <c r="AA67" s="362"/>
      <c r="AB67" s="362"/>
      <c r="AC67" s="362"/>
      <c r="AD67" s="362"/>
      <c r="AE67" s="362"/>
      <c r="AF67" s="1259"/>
      <c r="AG67" s="824"/>
      <c r="AH67" s="1059"/>
    </row>
    <row r="68" spans="1:34">
      <c r="A68" s="5452"/>
      <c r="B68" s="2196" t="s">
        <v>127</v>
      </c>
      <c r="C68" s="1953" t="s">
        <v>128</v>
      </c>
      <c r="D68" s="1914" t="s">
        <v>722</v>
      </c>
      <c r="E68" s="3585"/>
      <c r="F68" s="3585"/>
      <c r="G68" s="3585"/>
      <c r="H68" s="2193"/>
      <c r="I68" s="2271" t="s">
        <v>722</v>
      </c>
      <c r="J68" s="2193"/>
      <c r="K68" s="2193"/>
      <c r="L68" s="2193"/>
      <c r="M68" s="2193"/>
      <c r="N68" s="2193"/>
      <c r="O68" s="2193"/>
      <c r="P68" s="2193"/>
      <c r="Q68" s="3625"/>
      <c r="R68" s="1543"/>
      <c r="S68" s="1543"/>
      <c r="T68" s="2198" t="s">
        <v>698</v>
      </c>
      <c r="U68" s="2233" t="s">
        <v>810</v>
      </c>
      <c r="V68" s="2371" t="s">
        <v>776</v>
      </c>
      <c r="W68" s="2248" t="s">
        <v>722</v>
      </c>
      <c r="X68" s="1543"/>
      <c r="Y68" s="2193"/>
      <c r="Z68" s="2193"/>
      <c r="AA68" s="2193"/>
      <c r="AB68" s="2193"/>
      <c r="AC68" s="3625"/>
      <c r="AD68" s="1543"/>
      <c r="AE68" s="3585"/>
      <c r="AF68" s="3640" t="s">
        <v>251</v>
      </c>
      <c r="AG68" s="5251" t="s">
        <v>705</v>
      </c>
      <c r="AH68" s="5386"/>
    </row>
    <row r="69" spans="1:34">
      <c r="A69" s="5453"/>
      <c r="B69" s="2196" t="s">
        <v>90</v>
      </c>
      <c r="C69" s="2241" t="s">
        <v>660</v>
      </c>
      <c r="D69" s="4411" t="s">
        <v>619</v>
      </c>
      <c r="E69" s="4411"/>
      <c r="F69" s="4411"/>
      <c r="G69" s="4411"/>
      <c r="H69" s="4411"/>
      <c r="I69" s="4411"/>
      <c r="J69" s="4411"/>
      <c r="K69" s="4411"/>
      <c r="L69" s="4411"/>
      <c r="M69" s="4411"/>
      <c r="N69" s="4334"/>
      <c r="O69" s="321"/>
      <c r="P69" s="321"/>
      <c r="Q69" s="321"/>
      <c r="R69" s="321"/>
      <c r="S69" s="321"/>
      <c r="T69" s="2198" t="s">
        <v>698</v>
      </c>
      <c r="U69" s="1934" t="s">
        <v>772</v>
      </c>
      <c r="V69" s="2371" t="s">
        <v>776</v>
      </c>
      <c r="W69" s="321"/>
      <c r="X69" s="321"/>
      <c r="Y69" s="321"/>
      <c r="Z69" s="321"/>
      <c r="AA69" s="321"/>
      <c r="AB69" s="321"/>
      <c r="AC69" s="321"/>
      <c r="AD69" s="321"/>
      <c r="AE69" s="321"/>
      <c r="AF69" s="3640" t="s">
        <v>251</v>
      </c>
      <c r="AG69" s="5251" t="s">
        <v>705</v>
      </c>
      <c r="AH69" s="5386"/>
    </row>
    <row r="74" spans="1:34">
      <c r="G74" s="916"/>
    </row>
    <row r="79" spans="1:34">
      <c r="I79" s="917"/>
    </row>
  </sheetData>
  <mergeCells count="96">
    <mergeCell ref="A65:A69"/>
    <mergeCell ref="A30:A32"/>
    <mergeCell ref="A61:A64"/>
    <mergeCell ref="R34:X34"/>
    <mergeCell ref="D57:H57"/>
    <mergeCell ref="D61:M61"/>
    <mergeCell ref="E40:S40"/>
    <mergeCell ref="D64:M64"/>
    <mergeCell ref="D52:M52"/>
    <mergeCell ref="D45:M45"/>
    <mergeCell ref="D69:N69"/>
    <mergeCell ref="I54:O54"/>
    <mergeCell ref="N41:AH41"/>
    <mergeCell ref="D41:G41"/>
    <mergeCell ref="AG30:AH30"/>
    <mergeCell ref="Y35:AA35"/>
    <mergeCell ref="S39:Z39"/>
    <mergeCell ref="D50:M50"/>
    <mergeCell ref="K48:AH48"/>
    <mergeCell ref="D47:O47"/>
    <mergeCell ref="AG53:AH53"/>
    <mergeCell ref="AD53:AE53"/>
    <mergeCell ref="T44:AC44"/>
    <mergeCell ref="AF44:AH44"/>
    <mergeCell ref="AF40:AH40"/>
    <mergeCell ref="AF39:AH39"/>
    <mergeCell ref="A1:C1"/>
    <mergeCell ref="D1:AH1"/>
    <mergeCell ref="A2:C2"/>
    <mergeCell ref="A3:C3"/>
    <mergeCell ref="A4:C4"/>
    <mergeCell ref="D4:E4"/>
    <mergeCell ref="P4:S4"/>
    <mergeCell ref="A9:C9"/>
    <mergeCell ref="A13:C13"/>
    <mergeCell ref="A14:C14"/>
    <mergeCell ref="A16:C16"/>
    <mergeCell ref="A17:C17"/>
    <mergeCell ref="A15:C15"/>
    <mergeCell ref="A10:C10"/>
    <mergeCell ref="A11:C11"/>
    <mergeCell ref="A12:C12"/>
    <mergeCell ref="D6:AH6"/>
    <mergeCell ref="AF8:AH8"/>
    <mergeCell ref="A5:C5"/>
    <mergeCell ref="A6:C6"/>
    <mergeCell ref="H7:O7"/>
    <mergeCell ref="P7:X7"/>
    <mergeCell ref="A7:C7"/>
    <mergeCell ref="A8:C8"/>
    <mergeCell ref="AG69:AH69"/>
    <mergeCell ref="Z55:AA55"/>
    <mergeCell ref="Y58:AA58"/>
    <mergeCell ref="E29:AH29"/>
    <mergeCell ref="AG68:AH68"/>
    <mergeCell ref="T55:V55"/>
    <mergeCell ref="T58:V58"/>
    <mergeCell ref="AG36:AH36"/>
    <mergeCell ref="P47:AH47"/>
    <mergeCell ref="P49:AH49"/>
    <mergeCell ref="P44:S44"/>
    <mergeCell ref="D43:AH43"/>
    <mergeCell ref="D30:E30"/>
    <mergeCell ref="D37:N37"/>
    <mergeCell ref="D32:M32"/>
    <mergeCell ref="D55:G55"/>
    <mergeCell ref="G30:J30"/>
    <mergeCell ref="AG65:AH65"/>
    <mergeCell ref="Q66:AG66"/>
    <mergeCell ref="A22:C22"/>
    <mergeCell ref="A23:C23"/>
    <mergeCell ref="A28:A29"/>
    <mergeCell ref="A55:A60"/>
    <mergeCell ref="A33:A37"/>
    <mergeCell ref="A38:A54"/>
    <mergeCell ref="D35:N35"/>
    <mergeCell ref="D46:M46"/>
    <mergeCell ref="AG62:AH62"/>
    <mergeCell ref="D44:F44"/>
    <mergeCell ref="H44:O44"/>
    <mergeCell ref="AD59:AF59"/>
    <mergeCell ref="Y62:AC62"/>
    <mergeCell ref="A20:C20"/>
    <mergeCell ref="AG16:AH16"/>
    <mergeCell ref="A18:C18"/>
    <mergeCell ref="R21:AB21"/>
    <mergeCell ref="F27:L27"/>
    <mergeCell ref="AG27:AH27"/>
    <mergeCell ref="K24:N24"/>
    <mergeCell ref="D25:L25"/>
    <mergeCell ref="Z27:AA27"/>
    <mergeCell ref="T24:V24"/>
    <mergeCell ref="Y25:AH25"/>
    <mergeCell ref="AG24:AH24"/>
    <mergeCell ref="A21:C21"/>
    <mergeCell ref="A19:C19"/>
  </mergeCells>
  <pageMargins left="0.25" right="0.25" top="0.75" bottom="0.75" header="0.3" footer="0.3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C8CC-E40D-4AF3-8ECF-143B9058C322}">
  <sheetPr>
    <pageSetUpPr fitToPage="1"/>
  </sheetPr>
  <dimension ref="A1:AH66"/>
  <sheetViews>
    <sheetView zoomScale="70" zoomScaleNormal="70" workbookViewId="0">
      <pane xSplit="3" ySplit="21" topLeftCell="AF66" activePane="bottomRight" state="frozen"/>
      <selection pane="bottomRight" activeCell="AF66" sqref="AF66:AF71"/>
      <selection pane="bottomLeft"/>
      <selection pane="topRight"/>
    </sheetView>
  </sheetViews>
  <sheetFormatPr defaultRowHeight="15"/>
  <cols>
    <col min="3" max="3" width="11.42578125" bestFit="1" customWidth="1"/>
    <col min="8" max="8" width="8.5703125" customWidth="1"/>
    <col min="9" max="9" width="10.85546875" customWidth="1"/>
    <col min="17" max="17" width="10.42578125" customWidth="1"/>
    <col min="23" max="23" width="12.5703125" customWidth="1"/>
  </cols>
  <sheetData>
    <row r="1" spans="1:32">
      <c r="A1" s="5065" t="s">
        <v>29</v>
      </c>
      <c r="B1" s="5066"/>
      <c r="C1" s="5066"/>
      <c r="D1" s="5430" t="s">
        <v>811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4"/>
    </row>
    <row r="2" spans="1:32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</row>
    <row r="3" spans="1:32">
      <c r="A3" s="5070" t="s">
        <v>32</v>
      </c>
      <c r="B3" s="4378"/>
      <c r="C3" s="4378"/>
      <c r="D3" s="3414" t="s">
        <v>33</v>
      </c>
      <c r="E3" s="3703" t="s">
        <v>35</v>
      </c>
      <c r="F3" s="19" t="s">
        <v>36</v>
      </c>
      <c r="G3" s="19" t="s">
        <v>36</v>
      </c>
      <c r="H3" s="3703" t="s">
        <v>37</v>
      </c>
      <c r="I3" s="3703" t="s">
        <v>33</v>
      </c>
      <c r="J3" s="3703" t="s">
        <v>34</v>
      </c>
      <c r="K3" s="3703" t="s">
        <v>33</v>
      </c>
      <c r="L3" s="3703" t="s">
        <v>35</v>
      </c>
      <c r="M3" s="19" t="s">
        <v>36</v>
      </c>
      <c r="N3" s="19" t="s">
        <v>36</v>
      </c>
      <c r="O3" s="19" t="s">
        <v>37</v>
      </c>
      <c r="P3" s="3703" t="s">
        <v>33</v>
      </c>
      <c r="Q3" s="3703" t="s">
        <v>34</v>
      </c>
      <c r="R3" s="3703" t="s">
        <v>33</v>
      </c>
      <c r="S3" s="3703" t="s">
        <v>35</v>
      </c>
      <c r="T3" s="19" t="s">
        <v>36</v>
      </c>
      <c r="U3" s="19" t="s">
        <v>36</v>
      </c>
      <c r="V3" s="19" t="s">
        <v>37</v>
      </c>
      <c r="W3" s="19" t="s">
        <v>33</v>
      </c>
      <c r="X3" s="3703" t="s">
        <v>34</v>
      </c>
      <c r="Y3" s="40" t="s">
        <v>33</v>
      </c>
      <c r="Z3" s="3703" t="s">
        <v>35</v>
      </c>
      <c r="AA3" s="19" t="s">
        <v>36</v>
      </c>
      <c r="AB3" s="19" t="s">
        <v>36</v>
      </c>
      <c r="AC3" s="3703" t="s">
        <v>37</v>
      </c>
      <c r="AD3" s="41" t="s">
        <v>33</v>
      </c>
      <c r="AE3" s="41" t="s">
        <v>34</v>
      </c>
      <c r="AF3" s="41" t="s">
        <v>33</v>
      </c>
    </row>
    <row r="4" spans="1:32" ht="15.75">
      <c r="A4" s="4831" t="s">
        <v>38</v>
      </c>
      <c r="B4" s="4250"/>
      <c r="C4" s="4250"/>
      <c r="D4" s="1001" t="s">
        <v>26</v>
      </c>
      <c r="E4" s="1002"/>
      <c r="F4" s="1002"/>
      <c r="G4" s="1002"/>
      <c r="H4" s="1002"/>
      <c r="I4" s="1002"/>
      <c r="J4" s="1012"/>
      <c r="K4" s="1002"/>
      <c r="L4" s="1002"/>
      <c r="M4" s="5245" t="s">
        <v>812</v>
      </c>
      <c r="N4" s="5246"/>
      <c r="O4" s="5247"/>
      <c r="P4" s="1002"/>
      <c r="Q4" s="1002"/>
      <c r="R4" s="1002"/>
      <c r="S4" s="1002"/>
      <c r="T4" s="5245" t="s">
        <v>813</v>
      </c>
      <c r="U4" s="5246"/>
      <c r="V4" s="5246"/>
      <c r="W4" s="5247"/>
      <c r="X4" s="1002"/>
      <c r="Y4" s="1002"/>
      <c r="Z4" s="1002"/>
      <c r="AA4" s="1017"/>
      <c r="AB4" s="1002"/>
      <c r="AC4" s="1002"/>
      <c r="AD4" s="1002"/>
      <c r="AE4" s="1002"/>
      <c r="AF4" s="1018"/>
    </row>
    <row r="5" spans="1:32">
      <c r="A5" s="4061" t="s">
        <v>165</v>
      </c>
      <c r="B5" s="4062"/>
      <c r="C5" s="4062"/>
      <c r="D5" s="5573" t="s">
        <v>814</v>
      </c>
      <c r="E5" s="5574"/>
      <c r="F5" s="5574"/>
      <c r="G5" s="5574"/>
      <c r="H5" s="5575"/>
      <c r="I5" s="402"/>
      <c r="J5" s="402"/>
      <c r="K5" s="363"/>
      <c r="L5" s="363"/>
      <c r="M5" s="363"/>
      <c r="N5" s="363"/>
      <c r="O5" s="363"/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/>
      <c r="AB5" s="363"/>
      <c r="AC5" s="363"/>
      <c r="AD5" s="363"/>
      <c r="AE5" s="363"/>
      <c r="AF5" s="863"/>
    </row>
    <row r="6" spans="1:32">
      <c r="A6" s="4265" t="s">
        <v>407</v>
      </c>
      <c r="B6" s="4266"/>
      <c r="C6" s="4266"/>
      <c r="D6" s="1005"/>
      <c r="E6" s="438"/>
      <c r="F6" s="438"/>
      <c r="G6" s="438"/>
      <c r="H6" s="438"/>
      <c r="I6" s="370"/>
      <c r="J6" s="713"/>
      <c r="K6" s="438"/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438"/>
      <c r="AA6" s="438"/>
      <c r="AB6" s="438"/>
      <c r="AC6" s="438"/>
      <c r="AD6" s="438"/>
      <c r="AE6" s="438"/>
      <c r="AF6" s="866"/>
    </row>
    <row r="7" spans="1:32">
      <c r="A7" s="4533" t="s">
        <v>262</v>
      </c>
      <c r="B7" s="4533"/>
      <c r="C7" s="4533"/>
      <c r="D7" s="5576" t="s">
        <v>224</v>
      </c>
      <c r="E7" s="5577"/>
      <c r="F7" s="5577"/>
      <c r="G7" s="5577"/>
      <c r="H7" s="5577"/>
      <c r="I7" s="5577"/>
      <c r="J7" s="5577"/>
      <c r="K7" s="5577"/>
      <c r="L7" s="5576" t="s">
        <v>450</v>
      </c>
      <c r="M7" s="5577"/>
      <c r="N7" s="5577"/>
      <c r="O7" s="5577"/>
      <c r="P7" s="5577"/>
      <c r="Q7" s="5577"/>
      <c r="R7" s="5577"/>
      <c r="S7" s="5577"/>
      <c r="T7" s="5578"/>
      <c r="U7" s="402"/>
      <c r="V7" s="363"/>
      <c r="W7" s="363"/>
      <c r="X7" s="363"/>
      <c r="Y7" s="363"/>
      <c r="Z7" s="363"/>
      <c r="AA7" s="437"/>
      <c r="AB7" s="363"/>
      <c r="AC7" s="363"/>
      <c r="AD7" s="363"/>
      <c r="AE7" s="363"/>
      <c r="AF7" s="1500"/>
    </row>
    <row r="8" spans="1:32" ht="15.75">
      <c r="A8" s="5566" t="s">
        <v>225</v>
      </c>
      <c r="B8" s="5566"/>
      <c r="C8" s="5566"/>
      <c r="D8" s="1008"/>
      <c r="E8" s="371"/>
      <c r="F8" s="371"/>
      <c r="G8" s="371"/>
      <c r="H8" s="371"/>
      <c r="I8" s="371"/>
      <c r="J8" s="713"/>
      <c r="K8" s="438"/>
      <c r="L8" s="438"/>
      <c r="M8" s="438"/>
      <c r="N8" s="438"/>
      <c r="O8" s="438"/>
      <c r="P8" s="438"/>
      <c r="Q8" s="438"/>
      <c r="R8" s="438"/>
      <c r="S8" s="438"/>
      <c r="T8" s="438"/>
      <c r="U8" s="370"/>
      <c r="V8" s="370"/>
      <c r="W8" s="370"/>
      <c r="X8" s="370"/>
      <c r="Y8" s="370"/>
      <c r="Z8" s="370"/>
      <c r="AA8" s="370"/>
      <c r="AB8" s="438"/>
      <c r="AC8" s="438"/>
      <c r="AD8" s="438"/>
      <c r="AE8" s="438"/>
      <c r="AF8" s="862"/>
    </row>
    <row r="9" spans="1:32" ht="15.75">
      <c r="A9" s="5567" t="s">
        <v>272</v>
      </c>
      <c r="B9" s="5568"/>
      <c r="C9" s="5568"/>
      <c r="D9" s="860"/>
      <c r="E9" s="363"/>
      <c r="F9" s="363"/>
      <c r="G9" s="363"/>
      <c r="H9" s="363"/>
      <c r="I9" s="363"/>
      <c r="J9" s="402"/>
      <c r="K9" s="363"/>
      <c r="L9" s="363"/>
      <c r="M9" s="363"/>
      <c r="N9" s="363"/>
      <c r="O9" s="363"/>
      <c r="P9" s="363"/>
      <c r="Q9" s="363"/>
      <c r="R9" s="363"/>
      <c r="S9" s="363"/>
      <c r="T9" s="363"/>
      <c r="U9" s="363"/>
      <c r="V9" s="363"/>
      <c r="W9" s="363"/>
      <c r="X9" s="363"/>
      <c r="Y9" s="363"/>
      <c r="Z9" s="363"/>
      <c r="AA9" s="363"/>
      <c r="AB9" s="363"/>
      <c r="AC9" s="363"/>
      <c r="AD9" s="363"/>
      <c r="AE9" s="363"/>
      <c r="AF9" s="863"/>
    </row>
    <row r="10" spans="1:32" ht="15.75">
      <c r="A10" s="5555" t="s">
        <v>265</v>
      </c>
      <c r="B10" s="5556"/>
      <c r="C10" s="5556"/>
      <c r="D10" s="860"/>
      <c r="E10" s="363"/>
      <c r="F10" s="363"/>
      <c r="G10" s="363"/>
      <c r="H10" s="363"/>
      <c r="I10" s="363"/>
      <c r="J10" s="713"/>
      <c r="K10" s="438"/>
      <c r="L10" s="438"/>
      <c r="M10" s="438"/>
      <c r="N10" s="438"/>
      <c r="O10" s="438"/>
      <c r="P10" s="438"/>
      <c r="Q10" s="438"/>
      <c r="R10" s="438"/>
      <c r="S10" s="438"/>
      <c r="T10" s="438"/>
      <c r="U10" s="438"/>
      <c r="V10" s="438"/>
      <c r="W10" s="438"/>
      <c r="X10" s="438"/>
      <c r="Y10" s="438"/>
      <c r="Z10" s="438"/>
      <c r="AA10" s="438"/>
      <c r="AB10" s="438"/>
      <c r="AC10" s="438"/>
      <c r="AD10" s="438"/>
      <c r="AE10" s="438"/>
      <c r="AF10" s="866"/>
    </row>
    <row r="11" spans="1:32" ht="15.75" customHeight="1">
      <c r="A11" s="5557" t="s">
        <v>60</v>
      </c>
      <c r="B11" s="5558"/>
      <c r="C11" s="5558"/>
      <c r="D11" s="860"/>
      <c r="E11" s="363"/>
      <c r="F11" s="363"/>
      <c r="G11" s="363"/>
      <c r="H11" s="363"/>
      <c r="I11" s="363"/>
      <c r="J11" s="402"/>
      <c r="K11" s="438"/>
      <c r="L11" s="438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437"/>
      <c r="AB11" s="363"/>
      <c r="AC11" s="363"/>
      <c r="AD11" s="363"/>
      <c r="AE11" s="363"/>
      <c r="AF11" s="865"/>
    </row>
    <row r="12" spans="1:32" ht="15.75">
      <c r="A12" s="5559" t="s">
        <v>63</v>
      </c>
      <c r="B12" s="5560"/>
      <c r="C12" s="5561"/>
      <c r="D12" s="860"/>
      <c r="E12" s="363"/>
      <c r="F12" s="363"/>
      <c r="G12" s="363"/>
      <c r="H12" s="363"/>
      <c r="I12" s="363"/>
      <c r="J12" s="714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70"/>
      <c r="V12" s="370"/>
      <c r="W12" s="370"/>
      <c r="X12" s="370"/>
      <c r="Y12" s="2187" t="s">
        <v>815</v>
      </c>
      <c r="Z12" s="370"/>
      <c r="AA12" s="370"/>
      <c r="AB12" s="438"/>
      <c r="AC12" s="438"/>
      <c r="AD12" s="438"/>
      <c r="AE12" s="438"/>
      <c r="AF12" s="862"/>
    </row>
    <row r="13" spans="1:32" ht="15.75">
      <c r="A13" s="5562" t="s">
        <v>54</v>
      </c>
      <c r="B13" s="5563"/>
      <c r="C13" s="5563"/>
      <c r="D13" s="860"/>
      <c r="E13" s="363"/>
      <c r="F13" s="363"/>
      <c r="G13" s="363"/>
      <c r="H13" s="363"/>
      <c r="I13" s="363"/>
      <c r="J13" s="714"/>
      <c r="K13" s="370"/>
      <c r="L13" s="370"/>
      <c r="M13" s="370"/>
      <c r="N13" s="370"/>
      <c r="O13" s="363"/>
      <c r="P13" s="363"/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437"/>
      <c r="AB13" s="363"/>
      <c r="AC13" s="363"/>
      <c r="AD13" s="363"/>
      <c r="AE13" s="363"/>
      <c r="AF13" s="863"/>
    </row>
    <row r="14" spans="1:32" ht="21" customHeight="1">
      <c r="A14" s="5564" t="s">
        <v>365</v>
      </c>
      <c r="B14" s="5565"/>
      <c r="C14" s="5565"/>
      <c r="D14" s="860"/>
      <c r="E14" s="363"/>
      <c r="F14" s="363"/>
      <c r="G14" s="363"/>
      <c r="H14" s="363"/>
      <c r="I14" s="437"/>
      <c r="J14" s="363"/>
      <c r="K14" s="363"/>
      <c r="L14" s="363"/>
      <c r="M14" s="363"/>
      <c r="N14" s="363"/>
      <c r="O14" s="402"/>
      <c r="P14" s="363"/>
      <c r="Q14" s="5533" t="s">
        <v>816</v>
      </c>
      <c r="R14" s="5534"/>
      <c r="S14" s="363"/>
      <c r="T14" s="370"/>
      <c r="U14" s="370"/>
      <c r="V14" s="363"/>
      <c r="W14" s="363"/>
      <c r="X14" s="363"/>
      <c r="Y14" s="363"/>
      <c r="Z14" s="363"/>
      <c r="AA14" s="437"/>
      <c r="AB14" s="363"/>
      <c r="AC14" s="363"/>
      <c r="AD14" s="363"/>
      <c r="AE14" s="363"/>
      <c r="AF14" s="863"/>
    </row>
    <row r="15" spans="1:32" ht="15" customHeight="1">
      <c r="A15" s="5486" t="s">
        <v>705</v>
      </c>
      <c r="B15" s="5487"/>
      <c r="C15" s="5487"/>
      <c r="D15" s="860"/>
      <c r="E15" s="363"/>
      <c r="F15" s="363"/>
      <c r="G15" s="363"/>
      <c r="H15" s="363"/>
      <c r="I15" s="437"/>
      <c r="J15" s="749"/>
      <c r="K15" s="749"/>
      <c r="L15" s="749"/>
      <c r="M15" s="749"/>
      <c r="N15" s="749"/>
      <c r="O15" s="1901"/>
      <c r="P15" s="749"/>
      <c r="Q15" s="1900"/>
      <c r="R15" s="1900"/>
      <c r="S15" s="363"/>
      <c r="T15" s="370"/>
      <c r="U15" s="370"/>
      <c r="V15" s="363"/>
      <c r="W15" s="370"/>
      <c r="X15" s="370"/>
      <c r="Y15" s="363"/>
      <c r="Z15" s="363"/>
      <c r="AA15" s="437"/>
      <c r="AB15" s="438"/>
      <c r="AC15" s="438"/>
      <c r="AD15" s="438"/>
      <c r="AE15" s="438"/>
      <c r="AF15" s="1004"/>
    </row>
    <row r="16" spans="1:32" ht="15.75" customHeight="1">
      <c r="A16" s="5292" t="s">
        <v>366</v>
      </c>
      <c r="B16" s="5292"/>
      <c r="C16" s="5292"/>
      <c r="D16" s="860"/>
      <c r="E16" s="363"/>
      <c r="F16" s="363"/>
      <c r="G16" s="363"/>
      <c r="H16" s="363"/>
      <c r="I16" s="437"/>
      <c r="J16" s="1898"/>
      <c r="K16" s="1899"/>
      <c r="L16" s="1899"/>
      <c r="M16" s="1899"/>
      <c r="N16" s="1899"/>
      <c r="O16" s="1900"/>
      <c r="P16" s="1900"/>
      <c r="Q16" s="1900"/>
      <c r="R16" s="5579" t="s">
        <v>817</v>
      </c>
      <c r="S16" s="5580"/>
      <c r="T16" s="363"/>
      <c r="U16" s="363"/>
      <c r="V16" s="363"/>
      <c r="W16" s="363"/>
      <c r="X16" s="363"/>
      <c r="Y16" s="363"/>
      <c r="Z16" s="363"/>
      <c r="AA16" s="437"/>
      <c r="AB16" s="363"/>
      <c r="AC16" s="363"/>
      <c r="AD16" s="363"/>
      <c r="AE16" s="363"/>
      <c r="AF16" s="865"/>
    </row>
    <row r="17" spans="1:34" ht="15.75">
      <c r="A17" s="5488" t="s">
        <v>818</v>
      </c>
      <c r="B17" s="5489"/>
      <c r="C17" s="5489"/>
      <c r="D17" s="860"/>
      <c r="E17" s="363"/>
      <c r="F17" s="363"/>
      <c r="G17" s="363"/>
      <c r="H17" s="363"/>
      <c r="I17" s="363"/>
      <c r="J17" s="363"/>
      <c r="K17" s="749"/>
      <c r="L17" s="749"/>
      <c r="M17" s="749"/>
      <c r="N17" s="749"/>
      <c r="O17" s="749"/>
      <c r="P17" s="749"/>
      <c r="Q17" s="749"/>
      <c r="R17" s="749"/>
      <c r="S17" s="714"/>
      <c r="T17" s="370"/>
      <c r="U17" s="370"/>
      <c r="V17" s="370"/>
      <c r="W17" s="370"/>
      <c r="X17" s="370"/>
      <c r="Y17" s="370"/>
      <c r="Z17" s="370"/>
      <c r="AA17" s="370"/>
      <c r="AB17" s="5545" t="s">
        <v>818</v>
      </c>
      <c r="AC17" s="5546"/>
      <c r="AD17" s="5546"/>
      <c r="AE17" s="5546"/>
      <c r="AF17" s="5547"/>
    </row>
    <row r="18" spans="1:34" ht="15.75">
      <c r="A18" s="5490" t="s">
        <v>593</v>
      </c>
      <c r="B18" s="5491"/>
      <c r="C18" s="5492"/>
      <c r="D18" s="860"/>
      <c r="E18" s="363"/>
      <c r="F18" s="363"/>
      <c r="G18" s="363"/>
      <c r="H18" s="363"/>
      <c r="I18" s="363"/>
      <c r="J18" s="749"/>
      <c r="K18" s="749"/>
      <c r="L18" s="749"/>
      <c r="M18" s="749"/>
      <c r="N18" s="749"/>
      <c r="O18" s="2222"/>
      <c r="P18" s="2221"/>
      <c r="Q18" s="2221"/>
      <c r="R18" s="2221"/>
      <c r="S18" s="402"/>
      <c r="T18" s="363"/>
      <c r="U18" s="363"/>
      <c r="V18" s="363"/>
      <c r="W18" s="363"/>
      <c r="X18" s="363"/>
      <c r="Y18" s="363"/>
      <c r="Z18" s="363"/>
      <c r="AA18" s="363"/>
      <c r="AB18" s="363"/>
      <c r="AC18" s="363"/>
      <c r="AD18" s="363"/>
      <c r="AE18" s="2373" t="s">
        <v>819</v>
      </c>
      <c r="AF18" s="863"/>
    </row>
    <row r="19" spans="1:34" ht="15.75">
      <c r="A19" s="5538" t="s">
        <v>541</v>
      </c>
      <c r="B19" s="5539"/>
      <c r="C19" s="5540"/>
      <c r="D19" s="860"/>
      <c r="E19" s="363"/>
      <c r="F19" s="363"/>
      <c r="G19" s="363"/>
      <c r="H19" s="363"/>
      <c r="I19" s="363"/>
      <c r="J19" s="1899"/>
      <c r="K19" s="1899"/>
      <c r="L19" s="1899"/>
      <c r="M19" s="1899"/>
      <c r="N19" s="1899"/>
      <c r="O19" s="1899"/>
      <c r="P19" s="1899"/>
      <c r="Q19" s="1899"/>
      <c r="R19" s="1899"/>
      <c r="S19" s="438"/>
      <c r="T19" s="438"/>
      <c r="U19" s="438"/>
      <c r="V19" s="438"/>
      <c r="W19" s="438"/>
      <c r="X19" s="4399" t="s">
        <v>820</v>
      </c>
      <c r="Y19" s="4316"/>
      <c r="Z19" s="4531"/>
      <c r="AA19" s="438"/>
      <c r="AB19" s="438"/>
      <c r="AC19" s="4400" t="s">
        <v>821</v>
      </c>
      <c r="AD19" s="4762"/>
      <c r="AE19" s="4762"/>
      <c r="AF19" s="5504"/>
    </row>
    <row r="20" spans="1:34" ht="15.75">
      <c r="A20" s="5514" t="s">
        <v>779</v>
      </c>
      <c r="B20" s="5515"/>
      <c r="C20" s="5515"/>
      <c r="D20" s="5514" t="s">
        <v>779</v>
      </c>
      <c r="E20" s="5515"/>
      <c r="F20" s="5515"/>
      <c r="G20" s="5515"/>
      <c r="H20" s="5515"/>
      <c r="I20" s="5515"/>
      <c r="J20" s="5515"/>
      <c r="K20" s="5516"/>
      <c r="L20" s="1900"/>
      <c r="M20" s="1900"/>
      <c r="N20" s="1900"/>
      <c r="O20" s="1900"/>
      <c r="P20" s="1900"/>
      <c r="Q20" s="1900"/>
      <c r="R20" s="1900"/>
      <c r="S20" s="370"/>
      <c r="T20" s="370"/>
      <c r="U20" s="370"/>
      <c r="V20" s="363"/>
      <c r="W20" s="363"/>
      <c r="X20" s="363"/>
      <c r="Y20" s="363"/>
      <c r="Z20" s="363"/>
      <c r="AA20" s="671"/>
      <c r="AB20" s="363"/>
      <c r="AC20" s="363"/>
      <c r="AD20" s="363"/>
      <c r="AE20" s="363"/>
      <c r="AF20" s="863"/>
    </row>
    <row r="21" spans="1:34" ht="15.75">
      <c r="A21" s="5535" t="s">
        <v>64</v>
      </c>
      <c r="B21" s="5536"/>
      <c r="C21" s="5537"/>
      <c r="D21" s="1007" t="s">
        <v>26</v>
      </c>
      <c r="E21" s="770"/>
      <c r="F21" s="770"/>
      <c r="G21" s="2369"/>
      <c r="H21" s="2369"/>
      <c r="I21" s="2359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2359"/>
      <c r="AC21" s="2359"/>
      <c r="AD21" s="2359"/>
      <c r="AE21" s="2359"/>
      <c r="AF21" s="2370"/>
    </row>
    <row r="22" spans="1:34">
      <c r="A22" s="1997" t="s">
        <v>66</v>
      </c>
      <c r="B22" s="1991" t="s">
        <v>67</v>
      </c>
      <c r="C22" s="1978" t="s">
        <v>74</v>
      </c>
      <c r="D22" s="2305" t="s">
        <v>251</v>
      </c>
      <c r="E22" s="371"/>
      <c r="F22" s="363"/>
      <c r="G22" s="371"/>
      <c r="H22" s="371"/>
      <c r="I22" s="371"/>
      <c r="J22" s="371"/>
      <c r="K22" s="371"/>
      <c r="L22" s="371"/>
      <c r="M22" s="371"/>
      <c r="N22" s="371"/>
      <c r="O22" s="371"/>
      <c r="P22" s="371"/>
      <c r="Q22" s="371"/>
      <c r="R22" s="2563" t="s">
        <v>822</v>
      </c>
      <c r="S22" s="371"/>
      <c r="T22" s="2563" t="s">
        <v>822</v>
      </c>
      <c r="U22" s="371"/>
      <c r="V22" s="371"/>
      <c r="W22" s="371"/>
      <c r="X22" s="371"/>
      <c r="Y22" s="2563" t="s">
        <v>822</v>
      </c>
      <c r="Z22" s="371"/>
      <c r="AA22" s="371"/>
      <c r="AB22" s="371"/>
      <c r="AC22" s="371"/>
      <c r="AD22" s="371"/>
      <c r="AE22" s="371"/>
      <c r="AF22" s="864"/>
    </row>
    <row r="23" spans="1:34">
      <c r="A23" s="1998" t="s">
        <v>73</v>
      </c>
      <c r="B23" s="1958" t="s">
        <v>67</v>
      </c>
      <c r="C23" s="1979" t="s">
        <v>458</v>
      </c>
      <c r="D23" s="5508" t="s">
        <v>823</v>
      </c>
      <c r="E23" s="5509"/>
      <c r="F23" s="363"/>
      <c r="G23" s="363"/>
      <c r="H23" s="363"/>
      <c r="I23" s="363"/>
      <c r="J23" s="4207" t="s">
        <v>197</v>
      </c>
      <c r="K23" s="4208"/>
      <c r="L23" s="4208"/>
      <c r="M23" s="4208"/>
      <c r="N23" s="4209"/>
      <c r="O23" s="5426" t="s">
        <v>251</v>
      </c>
      <c r="P23" s="5428"/>
      <c r="Q23" s="5533" t="s">
        <v>816</v>
      </c>
      <c r="R23" s="5534"/>
      <c r="S23" s="2563" t="s">
        <v>251</v>
      </c>
      <c r="T23" s="363"/>
      <c r="U23" s="363"/>
      <c r="V23" s="363"/>
      <c r="W23" s="363"/>
      <c r="X23" s="363"/>
      <c r="Y23" s="363"/>
      <c r="Z23" s="363"/>
      <c r="AA23" s="363"/>
      <c r="AB23" s="363"/>
      <c r="AC23" s="363"/>
      <c r="AD23" s="363"/>
      <c r="AE23" s="363"/>
      <c r="AF23" s="863"/>
    </row>
    <row r="24" spans="1:34" s="1704" customFormat="1" ht="15.75" customHeight="1">
      <c r="A24" s="3669" t="s">
        <v>599</v>
      </c>
      <c r="B24" s="1954" t="s">
        <v>543</v>
      </c>
      <c r="C24" s="1941" t="s">
        <v>544</v>
      </c>
      <c r="D24" s="1985"/>
      <c r="E24" s="1646"/>
      <c r="F24" s="1646"/>
      <c r="G24" s="1646"/>
      <c r="H24" s="1646"/>
      <c r="I24" s="1646"/>
      <c r="J24" s="1646"/>
      <c r="K24" s="1646"/>
      <c r="L24" s="1646"/>
      <c r="M24" s="1646"/>
      <c r="N24" s="1646"/>
      <c r="O24" s="1646"/>
      <c r="P24" s="1646"/>
      <c r="Q24" s="1646"/>
      <c r="R24" s="1646"/>
      <c r="S24" s="1646"/>
      <c r="T24" s="1646"/>
      <c r="U24" s="1646"/>
      <c r="V24" s="1646"/>
      <c r="W24" s="1646"/>
      <c r="X24" s="1646"/>
      <c r="Y24" s="1646"/>
      <c r="Z24" s="1646"/>
      <c r="AA24" s="1646"/>
      <c r="AB24" s="1646"/>
      <c r="AC24" s="1646"/>
      <c r="AD24" s="5505"/>
      <c r="AE24" s="5506"/>
      <c r="AF24" s="5507"/>
      <c r="AG24"/>
      <c r="AH24"/>
    </row>
    <row r="25" spans="1:34">
      <c r="A25" s="3646" t="s">
        <v>84</v>
      </c>
      <c r="B25" s="2003" t="s">
        <v>85</v>
      </c>
      <c r="C25" s="2004" t="s">
        <v>86</v>
      </c>
      <c r="D25" s="2300"/>
      <c r="E25" s="1381"/>
      <c r="F25" s="1381"/>
      <c r="G25" s="1381"/>
      <c r="H25" s="713"/>
      <c r="I25" s="438"/>
      <c r="J25" s="438"/>
      <c r="K25" s="2301" t="s">
        <v>720</v>
      </c>
      <c r="L25" s="438"/>
      <c r="M25" s="438"/>
      <c r="N25" s="438"/>
      <c r="O25" s="438"/>
      <c r="P25" s="438"/>
      <c r="Q25" s="2301" t="s">
        <v>720</v>
      </c>
      <c r="R25" s="438"/>
      <c r="S25" s="438"/>
      <c r="T25" s="2450"/>
      <c r="U25" s="2451"/>
      <c r="V25" s="2451"/>
      <c r="W25" s="2452"/>
      <c r="X25" s="2301" t="s">
        <v>720</v>
      </c>
      <c r="Y25" s="438"/>
      <c r="Z25" s="438"/>
      <c r="AA25" s="438"/>
      <c r="AB25" s="438"/>
      <c r="AC25" s="438"/>
      <c r="AD25" s="4729" t="s">
        <v>824</v>
      </c>
      <c r="AE25" s="5502"/>
      <c r="AF25" s="5503"/>
    </row>
    <row r="26" spans="1:34">
      <c r="A26" s="5523" t="s">
        <v>92</v>
      </c>
      <c r="B26" s="2002" t="s">
        <v>95</v>
      </c>
      <c r="C26" s="657" t="s">
        <v>96</v>
      </c>
      <c r="D26" s="2298" t="s">
        <v>720</v>
      </c>
      <c r="E26" s="1002"/>
      <c r="F26" s="4599" t="s">
        <v>825</v>
      </c>
      <c r="G26" s="5532"/>
      <c r="H26" s="5520" t="s">
        <v>826</v>
      </c>
      <c r="I26" s="5521"/>
      <c r="J26" s="5522"/>
      <c r="K26" s="3671" t="s">
        <v>251</v>
      </c>
      <c r="L26" s="461"/>
      <c r="M26" s="2295" t="s">
        <v>720</v>
      </c>
      <c r="N26" s="1002"/>
      <c r="O26" s="5096" t="s">
        <v>251</v>
      </c>
      <c r="P26" s="5098"/>
      <c r="Q26" s="5481" t="s">
        <v>816</v>
      </c>
      <c r="R26" s="5481"/>
      <c r="S26" s="3671" t="s">
        <v>251</v>
      </c>
      <c r="T26" s="4436" t="s">
        <v>827</v>
      </c>
      <c r="U26" s="5544"/>
      <c r="V26" s="1002"/>
      <c r="W26" s="1002"/>
      <c r="X26" s="1002"/>
      <c r="Y26" s="1002"/>
      <c r="Z26" s="1002"/>
      <c r="AA26" s="1002"/>
      <c r="AB26" s="1002"/>
      <c r="AC26" s="363"/>
      <c r="AD26" s="363"/>
      <c r="AE26" s="363"/>
      <c r="AF26" s="863"/>
    </row>
    <row r="27" spans="1:34">
      <c r="A27" s="5500"/>
      <c r="B27" s="1992" t="s">
        <v>326</v>
      </c>
      <c r="C27" s="2299" t="s">
        <v>327</v>
      </c>
      <c r="D27" s="2235"/>
      <c r="E27" s="363"/>
      <c r="F27" s="363"/>
      <c r="G27" s="363"/>
      <c r="H27" s="363"/>
      <c r="I27" s="363"/>
      <c r="J27" s="363"/>
      <c r="K27" s="363"/>
      <c r="L27" s="363"/>
      <c r="M27" s="363"/>
      <c r="N27" s="363"/>
      <c r="O27" s="1412" t="s">
        <v>720</v>
      </c>
      <c r="P27" s="5477" t="s">
        <v>828</v>
      </c>
      <c r="Q27" s="5477"/>
      <c r="R27" s="5477"/>
      <c r="S27" s="5477"/>
      <c r="T27" s="363"/>
      <c r="U27" s="363"/>
      <c r="V27" s="1412" t="s">
        <v>720</v>
      </c>
      <c r="W27" s="3665" t="s">
        <v>829</v>
      </c>
      <c r="X27" s="48"/>
      <c r="Y27" s="363"/>
      <c r="Z27" s="363"/>
      <c r="AA27" s="363"/>
      <c r="AB27" s="363"/>
      <c r="AC27" s="363"/>
      <c r="AD27" s="363"/>
      <c r="AE27" s="363"/>
      <c r="AF27" s="863"/>
    </row>
    <row r="28" spans="1:34">
      <c r="A28" s="5524"/>
      <c r="B28" s="1993" t="s">
        <v>606</v>
      </c>
      <c r="C28" s="2309" t="s">
        <v>98</v>
      </c>
      <c r="D28" s="1007" t="s">
        <v>26</v>
      </c>
      <c r="E28" s="770"/>
      <c r="F28" s="770"/>
      <c r="G28" s="2296" t="s">
        <v>720</v>
      </c>
      <c r="H28" s="770"/>
      <c r="I28" s="770"/>
      <c r="J28" s="770"/>
      <c r="K28" s="770"/>
      <c r="L28" s="770"/>
      <c r="M28" s="770"/>
      <c r="N28" s="1552" t="s">
        <v>722</v>
      </c>
      <c r="O28" s="321"/>
      <c r="P28" s="5471" t="s">
        <v>828</v>
      </c>
      <c r="Q28" s="5471"/>
      <c r="R28" s="5471"/>
      <c r="S28" s="5471"/>
      <c r="T28" s="2296" t="s">
        <v>720</v>
      </c>
      <c r="U28" s="770"/>
      <c r="V28" s="770"/>
      <c r="W28" s="3665" t="s">
        <v>829</v>
      </c>
      <c r="X28" s="770"/>
      <c r="Y28" s="770"/>
      <c r="Z28" s="770"/>
      <c r="AA28" s="770"/>
      <c r="AB28" s="770"/>
      <c r="AC28" s="770"/>
      <c r="AD28" s="770"/>
      <c r="AE28" s="770"/>
      <c r="AF28" s="867"/>
    </row>
    <row r="29" spans="1:34">
      <c r="A29" s="5403" t="s">
        <v>99</v>
      </c>
      <c r="B29" s="1948" t="s">
        <v>100</v>
      </c>
      <c r="C29" s="1971" t="s">
        <v>101</v>
      </c>
      <c r="D29" s="1999"/>
      <c r="E29" s="536"/>
      <c r="F29" s="536"/>
      <c r="G29" s="435"/>
      <c r="H29" s="713"/>
      <c r="I29" s="438"/>
      <c r="J29" s="438"/>
      <c r="K29" s="438"/>
      <c r="L29" s="438"/>
      <c r="M29" s="438"/>
      <c r="N29" s="438"/>
      <c r="O29" s="438"/>
      <c r="P29" s="438"/>
      <c r="Q29" s="438"/>
      <c r="R29" s="438"/>
      <c r="S29" s="438"/>
      <c r="T29" s="438"/>
      <c r="U29" s="438"/>
      <c r="V29" s="438"/>
      <c r="W29" s="438"/>
      <c r="X29" s="438"/>
      <c r="Y29" s="438"/>
      <c r="Z29" s="438"/>
      <c r="AA29" s="438"/>
      <c r="AB29" s="438"/>
      <c r="AC29" s="438"/>
      <c r="AD29" s="438"/>
      <c r="AE29" s="438"/>
      <c r="AF29" s="713"/>
    </row>
    <row r="30" spans="1:34">
      <c r="A30" s="5403"/>
      <c r="B30" s="1945" t="s">
        <v>77</v>
      </c>
      <c r="C30" s="1972" t="s">
        <v>245</v>
      </c>
      <c r="D30" s="756"/>
      <c r="E30" s="380"/>
      <c r="F30" s="380"/>
      <c r="G30" s="402"/>
      <c r="H30" s="2297" t="s">
        <v>720</v>
      </c>
      <c r="I30" s="2297"/>
      <c r="J30" s="4333" t="s">
        <v>830</v>
      </c>
      <c r="K30" s="4411"/>
      <c r="L30" s="4411"/>
      <c r="M30" s="4411"/>
      <c r="N30" s="4411"/>
      <c r="O30" s="4411"/>
      <c r="P30" s="4411"/>
      <c r="Q30" s="4411"/>
      <c r="R30" s="4411"/>
      <c r="S30" s="4411"/>
      <c r="T30" s="4411"/>
      <c r="U30" s="4411"/>
      <c r="V30" s="4411"/>
      <c r="W30" s="4334"/>
      <c r="X30" s="370"/>
      <c r="Y30" s="370"/>
      <c r="Z30" s="2297" t="s">
        <v>720</v>
      </c>
      <c r="AA30" s="671"/>
      <c r="AB30" s="2297"/>
      <c r="AC30" s="370"/>
      <c r="AD30" s="370"/>
      <c r="AE30" s="370"/>
      <c r="AF30" s="1006"/>
    </row>
    <row r="31" spans="1:34" ht="15.75">
      <c r="A31" s="5403"/>
      <c r="B31" s="1945" t="s">
        <v>95</v>
      </c>
      <c r="C31" s="1972" t="s">
        <v>548</v>
      </c>
      <c r="D31" s="1926"/>
      <c r="E31" s="852"/>
      <c r="F31" s="852"/>
      <c r="G31" s="3649" t="s">
        <v>251</v>
      </c>
      <c r="H31" s="5529" t="s">
        <v>831</v>
      </c>
      <c r="I31" s="5530"/>
      <c r="J31" s="5530"/>
      <c r="K31" s="5531"/>
      <c r="L31" s="5541" t="s">
        <v>832</v>
      </c>
      <c r="M31" s="5542"/>
      <c r="N31" s="5542"/>
      <c r="O31" s="5542"/>
      <c r="P31" s="5542"/>
      <c r="Q31" s="5542"/>
      <c r="R31" s="5542"/>
      <c r="S31" s="5542"/>
      <c r="T31" s="5542"/>
      <c r="U31" s="5542"/>
      <c r="V31" s="5543"/>
      <c r="W31" s="5569" t="s">
        <v>833</v>
      </c>
      <c r="X31" s="5569"/>
      <c r="Y31" s="5569"/>
      <c r="Z31" s="5569"/>
      <c r="AA31" s="3648" t="s">
        <v>251</v>
      </c>
      <c r="AB31" s="2307" t="s">
        <v>722</v>
      </c>
      <c r="AC31" s="363"/>
      <c r="AD31" s="363"/>
      <c r="AE31" s="1412" t="s">
        <v>722</v>
      </c>
      <c r="AF31" s="1006"/>
    </row>
    <row r="32" spans="1:34" ht="22.5">
      <c r="A32" s="5403"/>
      <c r="B32" s="1945" t="s">
        <v>106</v>
      </c>
      <c r="C32" s="1972" t="s">
        <v>107</v>
      </c>
      <c r="D32" s="3661" t="s">
        <v>251</v>
      </c>
      <c r="E32" s="380"/>
      <c r="F32" s="380"/>
      <c r="G32" s="402"/>
      <c r="H32" s="1412"/>
      <c r="I32" s="1412" t="s">
        <v>720</v>
      </c>
      <c r="J32" s="363"/>
      <c r="K32" s="363"/>
      <c r="L32" s="363"/>
      <c r="M32" s="363"/>
      <c r="N32" s="402"/>
      <c r="O32" s="363"/>
      <c r="P32" s="363"/>
      <c r="Q32" s="363"/>
      <c r="R32" s="1412" t="s">
        <v>722</v>
      </c>
      <c r="S32" s="363"/>
      <c r="T32" s="363"/>
      <c r="U32" s="363"/>
      <c r="V32" s="363"/>
      <c r="W32" s="363"/>
      <c r="X32" s="2383" t="s">
        <v>834</v>
      </c>
      <c r="Y32" s="363"/>
      <c r="Z32" s="363"/>
      <c r="AA32" s="434"/>
      <c r="AB32" s="371"/>
      <c r="AC32" s="1412" t="s">
        <v>720</v>
      </c>
      <c r="AD32" s="371"/>
      <c r="AE32" s="371"/>
      <c r="AF32" s="865"/>
    </row>
    <row r="33" spans="1:32">
      <c r="A33" s="5525"/>
      <c r="B33" s="1946" t="s">
        <v>108</v>
      </c>
      <c r="C33" s="1973" t="s">
        <v>109</v>
      </c>
      <c r="D33" s="2001"/>
      <c r="E33" s="940"/>
      <c r="F33" s="940"/>
      <c r="G33" s="438"/>
      <c r="H33" s="438"/>
      <c r="I33" s="438"/>
      <c r="J33" s="672"/>
      <c r="K33" s="438"/>
      <c r="L33" s="438"/>
      <c r="M33" s="438"/>
      <c r="N33" s="438"/>
      <c r="O33" s="2297" t="s">
        <v>722</v>
      </c>
      <c r="P33" s="438"/>
      <c r="Q33" s="438"/>
      <c r="R33" s="438"/>
      <c r="S33" s="438"/>
      <c r="T33" s="438"/>
      <c r="U33" s="438"/>
      <c r="V33" s="2297" t="s">
        <v>722</v>
      </c>
      <c r="W33" s="438"/>
      <c r="X33" s="438"/>
      <c r="Y33" s="438"/>
      <c r="Z33" s="438"/>
      <c r="AA33" s="672"/>
      <c r="AB33" s="438"/>
      <c r="AC33" s="438"/>
      <c r="AD33" s="438"/>
      <c r="AE33" s="438"/>
      <c r="AF33" s="2297" t="s">
        <v>722</v>
      </c>
    </row>
    <row r="34" spans="1:32">
      <c r="A34" s="5030" t="s">
        <v>110</v>
      </c>
      <c r="B34" s="1989" t="s">
        <v>77</v>
      </c>
      <c r="C34" s="2362" t="s">
        <v>201</v>
      </c>
      <c r="D34" s="1001"/>
      <c r="E34" s="2295" t="s">
        <v>720</v>
      </c>
      <c r="F34" s="1002"/>
      <c r="G34" s="1002"/>
      <c r="H34" s="1002"/>
      <c r="I34" s="1002"/>
      <c r="J34" s="1002"/>
      <c r="K34" s="1002"/>
      <c r="L34" s="1002"/>
      <c r="M34" s="1002"/>
      <c r="N34" s="1002"/>
      <c r="O34" s="1002"/>
      <c r="P34" s="2295" t="s">
        <v>720</v>
      </c>
      <c r="Q34" s="1002"/>
      <c r="R34" s="1002"/>
      <c r="S34" s="1002"/>
      <c r="T34" s="1002"/>
      <c r="U34" s="1002"/>
      <c r="V34" s="1002"/>
      <c r="W34" s="1002"/>
      <c r="X34" s="1002"/>
      <c r="Y34" s="1002"/>
      <c r="Z34" s="1002"/>
      <c r="AA34" s="1002"/>
      <c r="AB34" s="1002"/>
      <c r="AC34" s="1002"/>
      <c r="AD34" s="2295" t="s">
        <v>720</v>
      </c>
      <c r="AE34" s="2448"/>
      <c r="AF34" s="1217"/>
    </row>
    <row r="35" spans="1:32">
      <c r="A35" s="5030"/>
      <c r="B35" s="2196" t="s">
        <v>77</v>
      </c>
      <c r="C35" s="2363" t="s">
        <v>610</v>
      </c>
      <c r="D35" s="2351"/>
      <c r="E35" s="3661" t="s">
        <v>251</v>
      </c>
      <c r="F35" s="370"/>
      <c r="G35" s="370"/>
      <c r="H35" s="370"/>
      <c r="I35" s="2297"/>
      <c r="J35" s="370"/>
      <c r="K35" s="370"/>
      <c r="L35" s="2297" t="s">
        <v>717</v>
      </c>
      <c r="M35" s="370"/>
      <c r="N35" s="370"/>
      <c r="O35" s="370"/>
      <c r="P35" s="370"/>
      <c r="Q35" s="370"/>
      <c r="R35" s="2297" t="s">
        <v>717</v>
      </c>
      <c r="S35" s="370"/>
      <c r="T35" s="363"/>
      <c r="U35" s="363"/>
      <c r="V35" s="363"/>
      <c r="W35" s="363"/>
      <c r="X35" s="363"/>
      <c r="Y35" s="363"/>
      <c r="Z35" s="363"/>
      <c r="AA35" s="363"/>
      <c r="AB35" s="363"/>
      <c r="AC35" s="363"/>
      <c r="AD35" s="1412"/>
      <c r="AE35" s="363"/>
      <c r="AF35" s="863"/>
    </row>
    <row r="36" spans="1:32">
      <c r="A36" s="5030"/>
      <c r="B36" s="2196" t="s">
        <v>95</v>
      </c>
      <c r="C36" s="2363" t="s">
        <v>249</v>
      </c>
      <c r="D36" s="5518" t="s">
        <v>794</v>
      </c>
      <c r="E36" s="5519"/>
      <c r="F36" s="5519"/>
      <c r="G36" s="5519"/>
      <c r="H36" s="5519"/>
      <c r="I36" s="5519"/>
      <c r="J36" s="5519"/>
      <c r="K36" s="5519"/>
      <c r="L36" s="5553" t="s">
        <v>835</v>
      </c>
      <c r="M36" s="5553"/>
      <c r="N36" s="5553"/>
      <c r="O36" s="5553"/>
      <c r="P36" s="5553"/>
      <c r="Q36" s="5553"/>
      <c r="R36" s="5553"/>
      <c r="S36" s="2278"/>
      <c r="T36" s="402"/>
      <c r="U36" s="2293" t="s">
        <v>251</v>
      </c>
      <c r="V36" s="363"/>
      <c r="W36" s="1412" t="s">
        <v>720</v>
      </c>
      <c r="X36" s="363"/>
      <c r="Y36" s="363"/>
      <c r="Z36" s="363"/>
      <c r="AA36" s="363"/>
      <c r="AB36" s="1412" t="s">
        <v>720</v>
      </c>
      <c r="AC36" s="363"/>
      <c r="AD36" s="363"/>
      <c r="AE36" s="363"/>
      <c r="AF36" s="863"/>
    </row>
    <row r="37" spans="1:32">
      <c r="A37" s="5030"/>
      <c r="B37" s="2196" t="s">
        <v>113</v>
      </c>
      <c r="C37" s="1953" t="s">
        <v>116</v>
      </c>
      <c r="D37" s="860"/>
      <c r="E37" s="371"/>
      <c r="F37" s="371"/>
      <c r="G37" s="2319" t="s">
        <v>722</v>
      </c>
      <c r="H37" s="371"/>
      <c r="I37" s="2319"/>
      <c r="J37" s="371"/>
      <c r="K37" s="371"/>
      <c r="L37" s="371"/>
      <c r="M37" s="371"/>
      <c r="N37" s="371"/>
      <c r="O37" s="283"/>
      <c r="P37" s="5496" t="s">
        <v>828</v>
      </c>
      <c r="Q37" s="5497"/>
      <c r="R37" s="5497"/>
      <c r="S37" s="5498"/>
      <c r="T37" s="363"/>
      <c r="U37" s="1412" t="s">
        <v>720</v>
      </c>
      <c r="V37" s="283"/>
      <c r="W37" s="3665" t="s">
        <v>829</v>
      </c>
      <c r="X37" s="363"/>
      <c r="Y37" s="363"/>
      <c r="Z37" s="363"/>
      <c r="AA37" s="363"/>
      <c r="AB37" s="363"/>
      <c r="AC37" s="5493" t="s">
        <v>836</v>
      </c>
      <c r="AD37" s="5494"/>
      <c r="AE37" s="5494"/>
      <c r="AF37" s="5495"/>
    </row>
    <row r="38" spans="1:32">
      <c r="A38" s="5030"/>
      <c r="B38" s="2196" t="s">
        <v>118</v>
      </c>
      <c r="C38" s="1953" t="s">
        <v>119</v>
      </c>
      <c r="D38" s="860"/>
      <c r="E38" s="370"/>
      <c r="F38" s="370"/>
      <c r="G38" s="370"/>
      <c r="H38" s="5570" t="s">
        <v>837</v>
      </c>
      <c r="I38" s="5571"/>
      <c r="J38" s="5571"/>
      <c r="K38" s="5571"/>
      <c r="L38" s="5572"/>
      <c r="M38" s="370"/>
      <c r="N38" s="370"/>
      <c r="O38" s="370"/>
      <c r="P38" s="370"/>
      <c r="Q38" s="370"/>
      <c r="R38" s="370"/>
      <c r="S38" s="4333" t="s">
        <v>838</v>
      </c>
      <c r="T38" s="4411"/>
      <c r="U38" s="4411"/>
      <c r="V38" s="4411"/>
      <c r="W38" s="4411"/>
      <c r="X38" s="4411"/>
      <c r="Y38" s="4411"/>
      <c r="Z38" s="4411"/>
      <c r="AA38" s="4411"/>
      <c r="AB38" s="4411"/>
      <c r="AC38" s="4334"/>
      <c r="AD38" s="363"/>
      <c r="AE38" s="363"/>
      <c r="AF38" s="863"/>
    </row>
    <row r="39" spans="1:32">
      <c r="A39" s="5030"/>
      <c r="B39" s="2196" t="s">
        <v>500</v>
      </c>
      <c r="C39" s="1953" t="s">
        <v>126</v>
      </c>
      <c r="D39" s="5518" t="s">
        <v>794</v>
      </c>
      <c r="E39" s="5519"/>
      <c r="F39" s="5519"/>
      <c r="G39" s="5519"/>
      <c r="H39" s="5519"/>
      <c r="I39" s="5519"/>
      <c r="J39" s="5519"/>
      <c r="K39" s="5519"/>
      <c r="L39" s="5553" t="s">
        <v>835</v>
      </c>
      <c r="M39" s="5553"/>
      <c r="N39" s="5553"/>
      <c r="O39" s="5553"/>
      <c r="P39" s="5553"/>
      <c r="Q39" s="5553"/>
      <c r="R39" s="5553"/>
      <c r="S39" s="2328"/>
      <c r="T39" s="2320"/>
      <c r="U39" s="2293" t="s">
        <v>251</v>
      </c>
      <c r="V39" s="48"/>
      <c r="W39" s="1412"/>
      <c r="X39" s="363"/>
      <c r="Y39" s="363"/>
      <c r="Z39" s="1412"/>
      <c r="AA39" s="1412" t="s">
        <v>722</v>
      </c>
      <c r="AB39" s="363"/>
      <c r="AC39" s="363"/>
      <c r="AD39" s="1412"/>
      <c r="AE39" s="363"/>
      <c r="AF39" s="2352" t="s">
        <v>720</v>
      </c>
    </row>
    <row r="40" spans="1:32">
      <c r="A40" s="5030"/>
      <c r="B40" s="2196" t="s">
        <v>120</v>
      </c>
      <c r="C40" s="1953" t="s">
        <v>121</v>
      </c>
      <c r="D40" s="1015"/>
      <c r="E40" s="2301" t="s">
        <v>722</v>
      </c>
      <c r="F40" s="438"/>
      <c r="G40" s="438"/>
      <c r="H40" s="438"/>
      <c r="I40" s="438"/>
      <c r="J40" s="2301"/>
      <c r="K40" s="2301" t="s">
        <v>722</v>
      </c>
      <c r="L40" s="438"/>
      <c r="M40" s="371"/>
      <c r="N40" s="371"/>
      <c r="O40" s="371"/>
      <c r="P40" s="371"/>
      <c r="Q40" s="371"/>
      <c r="R40" s="371"/>
      <c r="S40" s="371"/>
      <c r="T40" s="363"/>
      <c r="U40" s="363"/>
      <c r="V40" s="363"/>
      <c r="W40" s="363"/>
      <c r="X40" s="363"/>
      <c r="Y40" s="2297"/>
      <c r="Z40" s="2297" t="s">
        <v>722</v>
      </c>
      <c r="AA40" s="363"/>
      <c r="AB40" s="2297"/>
      <c r="AC40" s="363"/>
      <c r="AD40" s="363"/>
      <c r="AE40" s="363"/>
      <c r="AF40" s="863"/>
    </row>
    <row r="41" spans="1:32">
      <c r="A41" s="5030"/>
      <c r="B41" s="2196" t="s">
        <v>122</v>
      </c>
      <c r="C41" s="1953" t="s">
        <v>470</v>
      </c>
      <c r="D41" s="860"/>
      <c r="E41" s="363"/>
      <c r="F41" s="1412" t="s">
        <v>722</v>
      </c>
      <c r="G41" s="363"/>
      <c r="H41" s="363"/>
      <c r="I41" s="363"/>
      <c r="J41" s="363"/>
      <c r="K41" s="1412"/>
      <c r="L41" s="1412" t="s">
        <v>722</v>
      </c>
      <c r="M41" s="363"/>
      <c r="N41" s="363"/>
      <c r="O41" s="776"/>
      <c r="P41" s="5477" t="s">
        <v>828</v>
      </c>
      <c r="Q41" s="5477"/>
      <c r="R41" s="5477"/>
      <c r="S41" s="5477"/>
      <c r="T41" s="363"/>
      <c r="U41" s="1412"/>
      <c r="V41" s="1412"/>
      <c r="W41" s="3665" t="s">
        <v>829</v>
      </c>
      <c r="X41" s="363"/>
      <c r="Y41" s="363"/>
      <c r="Z41" s="363"/>
      <c r="AA41" s="363"/>
      <c r="AB41" s="363"/>
      <c r="AC41" s="363"/>
      <c r="AD41" s="363"/>
      <c r="AE41" s="363"/>
      <c r="AF41" s="2273"/>
    </row>
    <row r="42" spans="1:32">
      <c r="A42" s="5030"/>
      <c r="B42" s="2196" t="s">
        <v>122</v>
      </c>
      <c r="C42" s="1953" t="s">
        <v>553</v>
      </c>
      <c r="D42" s="2353" t="s">
        <v>717</v>
      </c>
      <c r="E42" s="363"/>
      <c r="F42" s="363"/>
      <c r="G42" s="363"/>
      <c r="H42" s="4487" t="s">
        <v>839</v>
      </c>
      <c r="I42" s="5278"/>
      <c r="J42" s="5278"/>
      <c r="K42" s="5278"/>
      <c r="L42" s="5278"/>
      <c r="M42" s="5517"/>
      <c r="N42" s="363"/>
      <c r="O42" s="2"/>
      <c r="P42" s="5477" t="s">
        <v>828</v>
      </c>
      <c r="Q42" s="5477"/>
      <c r="R42" s="5477"/>
      <c r="S42" s="5477"/>
      <c r="T42" s="363"/>
      <c r="U42" s="363"/>
      <c r="V42" s="283"/>
      <c r="W42" s="3665" t="s">
        <v>829</v>
      </c>
      <c r="X42" s="363"/>
      <c r="Y42" s="569" t="s">
        <v>717</v>
      </c>
      <c r="Z42" s="363"/>
      <c r="AA42" s="363"/>
      <c r="AB42" s="363"/>
      <c r="AC42" s="363"/>
      <c r="AD42" s="569" t="s">
        <v>717</v>
      </c>
      <c r="AE42" s="363"/>
      <c r="AF42" s="2273"/>
    </row>
    <row r="43" spans="1:32">
      <c r="A43" s="5030"/>
      <c r="B43" s="2196" t="s">
        <v>124</v>
      </c>
      <c r="C43" s="1953" t="s">
        <v>125</v>
      </c>
      <c r="D43" s="5513" t="s">
        <v>799</v>
      </c>
      <c r="E43" s="5092"/>
      <c r="F43" s="5092"/>
      <c r="G43" s="5092"/>
      <c r="H43" s="5092"/>
      <c r="I43" s="5092"/>
      <c r="J43" s="5092"/>
      <c r="K43" s="5092"/>
      <c r="L43" s="5092"/>
      <c r="M43" s="5092"/>
      <c r="N43" s="5092"/>
      <c r="O43" s="5093"/>
      <c r="P43" s="5550" t="s">
        <v>251</v>
      </c>
      <c r="Q43" s="5550"/>
      <c r="R43" s="2278"/>
      <c r="S43" s="1412" t="s">
        <v>720</v>
      </c>
      <c r="T43" s="402"/>
      <c r="U43" s="363"/>
      <c r="V43" s="363"/>
      <c r="W43" s="363"/>
      <c r="X43" s="1412" t="s">
        <v>722</v>
      </c>
      <c r="Y43" s="363"/>
      <c r="Z43" s="1412"/>
      <c r="AA43" s="363"/>
      <c r="AB43" s="363"/>
      <c r="AC43" s="363"/>
      <c r="AD43" s="363"/>
      <c r="AE43" s="1412"/>
      <c r="AF43" s="863"/>
    </row>
    <row r="44" spans="1:32">
      <c r="A44" s="5030"/>
      <c r="B44" s="2227" t="s">
        <v>127</v>
      </c>
      <c r="C44" s="2232" t="s">
        <v>657</v>
      </c>
      <c r="D44" s="5548" t="s">
        <v>406</v>
      </c>
      <c r="E44" s="5549"/>
      <c r="F44" s="363"/>
      <c r="G44" s="363"/>
      <c r="H44" s="363"/>
      <c r="I44" s="363"/>
      <c r="J44" s="363"/>
      <c r="K44" s="363"/>
      <c r="L44" s="363"/>
      <c r="M44" s="363"/>
      <c r="N44" s="2"/>
      <c r="O44" s="2307"/>
      <c r="P44" s="5477" t="s">
        <v>828</v>
      </c>
      <c r="Q44" s="5477"/>
      <c r="R44" s="5477"/>
      <c r="S44" s="5551"/>
      <c r="T44" s="283"/>
      <c r="U44" s="370"/>
      <c r="V44" s="363"/>
      <c r="W44" s="3665" t="s">
        <v>829</v>
      </c>
      <c r="X44" s="370"/>
      <c r="Y44" s="370"/>
      <c r="Z44" s="2307" t="s">
        <v>717</v>
      </c>
      <c r="AA44" s="370"/>
      <c r="AB44" s="370"/>
      <c r="AC44" s="370"/>
      <c r="AD44" s="370"/>
      <c r="AE44" s="2307" t="s">
        <v>717</v>
      </c>
      <c r="AF44" s="862"/>
    </row>
    <row r="45" spans="1:32">
      <c r="A45" s="5030"/>
      <c r="B45" s="2227" t="s">
        <v>692</v>
      </c>
      <c r="C45" s="2232" t="s">
        <v>693</v>
      </c>
      <c r="D45" s="2354"/>
      <c r="E45" s="2271" t="s">
        <v>717</v>
      </c>
      <c r="F45" s="370"/>
      <c r="G45" s="370"/>
      <c r="H45" s="370"/>
      <c r="I45" s="370"/>
      <c r="J45" s="370"/>
      <c r="K45" s="370"/>
      <c r="L45" s="370"/>
      <c r="M45" s="370"/>
      <c r="N45" s="370"/>
      <c r="O45" s="2"/>
      <c r="P45" s="5477" t="s">
        <v>828</v>
      </c>
      <c r="Q45" s="5477"/>
      <c r="R45" s="5477"/>
      <c r="S45" s="5477"/>
      <c r="T45" s="370"/>
      <c r="U45" s="370"/>
      <c r="V45" s="363"/>
      <c r="W45" s="3665" t="s">
        <v>829</v>
      </c>
      <c r="X45" s="370"/>
      <c r="Y45" s="370"/>
      <c r="Z45" s="370"/>
      <c r="AA45" s="370"/>
      <c r="AB45" s="370"/>
      <c r="AC45" s="2307" t="s">
        <v>717</v>
      </c>
      <c r="AD45" s="370"/>
      <c r="AE45" s="370"/>
      <c r="AF45" s="862"/>
    </row>
    <row r="46" spans="1:32">
      <c r="A46" s="5030"/>
      <c r="B46" s="2227" t="s">
        <v>554</v>
      </c>
      <c r="C46" s="2232" t="s">
        <v>555</v>
      </c>
      <c r="D46" s="2355"/>
      <c r="E46" s="2279"/>
      <c r="F46" s="714"/>
      <c r="G46" s="370"/>
      <c r="H46" s="370"/>
      <c r="I46" s="714"/>
      <c r="J46" s="370"/>
      <c r="K46" s="2308" t="s">
        <v>717</v>
      </c>
      <c r="L46" s="370"/>
      <c r="M46" s="370"/>
      <c r="N46" s="370"/>
      <c r="O46" s="2302"/>
      <c r="P46" s="5551" t="s">
        <v>828</v>
      </c>
      <c r="Q46" s="5552"/>
      <c r="R46" s="5552"/>
      <c r="S46" s="5552"/>
      <c r="T46" s="1377"/>
      <c r="U46" s="370"/>
      <c r="V46" s="363"/>
      <c r="W46" s="3665" t="s">
        <v>829</v>
      </c>
      <c r="X46" s="370"/>
      <c r="Y46" s="370"/>
      <c r="Z46" s="370"/>
      <c r="AA46" s="370"/>
      <c r="AB46" s="370"/>
      <c r="AC46" s="370"/>
      <c r="AD46" s="370"/>
      <c r="AE46" s="370"/>
      <c r="AF46" s="2356" t="s">
        <v>717</v>
      </c>
    </row>
    <row r="47" spans="1:32" ht="15.75" customHeight="1">
      <c r="A47" s="5030"/>
      <c r="B47" s="2196" t="s">
        <v>129</v>
      </c>
      <c r="C47" s="1953" t="s">
        <v>474</v>
      </c>
      <c r="D47" s="2357"/>
      <c r="E47" s="1924"/>
      <c r="F47" s="2000"/>
      <c r="G47" s="1924"/>
      <c r="H47" s="2000"/>
      <c r="I47" s="2000"/>
      <c r="J47" s="1924"/>
      <c r="K47" s="2293" t="s">
        <v>251</v>
      </c>
      <c r="L47" s="5554" t="s">
        <v>840</v>
      </c>
      <c r="M47" s="5519"/>
      <c r="N47" s="5519"/>
      <c r="O47" s="5519"/>
      <c r="P47" s="5519"/>
      <c r="Q47" s="5519"/>
      <c r="R47" s="5519"/>
      <c r="S47" s="2328"/>
      <c r="T47" s="363"/>
      <c r="U47" s="2293" t="s">
        <v>251</v>
      </c>
      <c r="V47" s="363"/>
      <c r="W47" s="363"/>
      <c r="X47" s="4333" t="s">
        <v>477</v>
      </c>
      <c r="Y47" s="4411"/>
      <c r="Z47" s="4411"/>
      <c r="AA47" s="4411"/>
      <c r="AB47" s="4411"/>
      <c r="AC47" s="4411"/>
      <c r="AD47" s="4411"/>
      <c r="AE47" s="4411"/>
      <c r="AF47" s="4559"/>
    </row>
    <row r="48" spans="1:32">
      <c r="A48" s="5030"/>
      <c r="B48" s="2196" t="s">
        <v>134</v>
      </c>
      <c r="C48" s="1953" t="s">
        <v>135</v>
      </c>
      <c r="D48" s="5511" t="s">
        <v>251</v>
      </c>
      <c r="E48" s="5512"/>
      <c r="F48" s="371"/>
      <c r="G48" s="371"/>
      <c r="H48" s="363"/>
      <c r="I48" s="435"/>
      <c r="J48" s="371"/>
      <c r="K48" s="363"/>
      <c r="L48" s="371"/>
      <c r="M48" s="1412" t="s">
        <v>722</v>
      </c>
      <c r="N48" s="371"/>
      <c r="O48" s="371"/>
      <c r="P48" s="371"/>
      <c r="Q48" s="371"/>
      <c r="R48" s="371"/>
      <c r="S48" s="1412" t="s">
        <v>722</v>
      </c>
      <c r="T48" s="363"/>
      <c r="U48" s="363"/>
      <c r="V48" s="363"/>
      <c r="W48" s="363"/>
      <c r="X48" s="363"/>
      <c r="Y48" s="363"/>
      <c r="Z48" s="363"/>
      <c r="AA48" s="363"/>
      <c r="AB48" s="363"/>
      <c r="AC48" s="371"/>
      <c r="AD48" s="371"/>
      <c r="AE48" s="371"/>
      <c r="AF48" s="864"/>
    </row>
    <row r="49" spans="1:32">
      <c r="A49" s="5031"/>
      <c r="B49" s="2197" t="s">
        <v>333</v>
      </c>
      <c r="C49" s="1953" t="s">
        <v>334</v>
      </c>
      <c r="D49" s="2358" t="s">
        <v>722</v>
      </c>
      <c r="E49" s="2359"/>
      <c r="F49" s="2359"/>
      <c r="G49" s="2359"/>
      <c r="H49" s="2359"/>
      <c r="I49" s="770"/>
      <c r="J49" s="770"/>
      <c r="K49" s="770"/>
      <c r="L49" s="770"/>
      <c r="M49" s="770"/>
      <c r="N49" s="770"/>
      <c r="O49" s="1376"/>
      <c r="P49" s="2360" t="s">
        <v>722</v>
      </c>
      <c r="Q49" s="1376"/>
      <c r="R49" s="1376"/>
      <c r="S49" s="1376"/>
      <c r="T49" s="770"/>
      <c r="U49" s="770"/>
      <c r="V49" s="770"/>
      <c r="W49" s="770"/>
      <c r="X49" s="770"/>
      <c r="Y49" s="2360" t="s">
        <v>722</v>
      </c>
      <c r="Z49" s="770"/>
      <c r="AA49" s="770"/>
      <c r="AB49" s="770"/>
      <c r="AC49" s="5526" t="s">
        <v>836</v>
      </c>
      <c r="AD49" s="5527"/>
      <c r="AE49" s="5527"/>
      <c r="AF49" s="5528"/>
    </row>
    <row r="50" spans="1:32" ht="15.75">
      <c r="A50" s="5030" t="s">
        <v>136</v>
      </c>
      <c r="B50" s="1962" t="s">
        <v>77</v>
      </c>
      <c r="C50" s="1951" t="s">
        <v>153</v>
      </c>
      <c r="D50" s="5463" t="s">
        <v>779</v>
      </c>
      <c r="E50" s="5464"/>
      <c r="F50" s="5464"/>
      <c r="G50" s="5464"/>
      <c r="H50" s="5464"/>
      <c r="I50" s="5464"/>
      <c r="J50" s="5464"/>
      <c r="K50" s="3649" t="s">
        <v>251</v>
      </c>
      <c r="L50" s="2361"/>
      <c r="M50" s="2361"/>
      <c r="O50" s="371"/>
      <c r="P50" s="371"/>
      <c r="Q50" s="371"/>
      <c r="R50" s="2319" t="s">
        <v>720</v>
      </c>
      <c r="S50" s="371"/>
      <c r="T50" s="371"/>
      <c r="U50" s="371"/>
      <c r="V50" s="371"/>
      <c r="W50" s="371"/>
      <c r="X50" s="371"/>
      <c r="Y50" s="2319" t="s">
        <v>720</v>
      </c>
      <c r="Z50" s="371"/>
      <c r="AA50" s="371"/>
      <c r="AB50" s="371"/>
      <c r="AC50" s="371"/>
      <c r="AD50" s="371"/>
      <c r="AE50" s="2319" t="s">
        <v>720</v>
      </c>
      <c r="AF50" s="864"/>
    </row>
    <row r="51" spans="1:32">
      <c r="A51" s="5030"/>
      <c r="B51" s="1958" t="s">
        <v>95</v>
      </c>
      <c r="C51" s="1947" t="s">
        <v>139</v>
      </c>
      <c r="D51" s="2303"/>
      <c r="E51" s="2219"/>
      <c r="F51" s="2219"/>
      <c r="G51" s="2219"/>
      <c r="H51" s="2219"/>
      <c r="I51" s="2219"/>
      <c r="J51" s="2219"/>
      <c r="K51" s="2219"/>
      <c r="L51" s="2219"/>
      <c r="M51" s="2219"/>
      <c r="N51" s="2219"/>
      <c r="O51" s="2219"/>
      <c r="P51" s="2219"/>
      <c r="Q51" s="2219"/>
      <c r="R51" s="2337"/>
      <c r="S51" s="2337"/>
      <c r="T51" s="2338"/>
      <c r="U51" s="2338"/>
      <c r="V51" s="2338"/>
      <c r="W51" s="2338"/>
      <c r="X51" s="2338"/>
      <c r="Y51" s="2338"/>
      <c r="Z51" s="2338"/>
      <c r="AA51" s="2338"/>
      <c r="AB51" s="2338"/>
      <c r="AC51" s="2338"/>
      <c r="AD51" s="2338"/>
      <c r="AE51" s="2338"/>
      <c r="AF51" s="2339"/>
    </row>
    <row r="52" spans="1:32" ht="15.75">
      <c r="A52" s="5030"/>
      <c r="B52" s="2230" t="s">
        <v>95</v>
      </c>
      <c r="C52" s="1957" t="s">
        <v>303</v>
      </c>
      <c r="D52" s="860"/>
      <c r="E52" s="363"/>
      <c r="F52" s="1412" t="s">
        <v>720</v>
      </c>
      <c r="G52" s="363"/>
      <c r="H52" s="363"/>
      <c r="I52" s="363"/>
      <c r="J52" s="363"/>
      <c r="K52" s="363"/>
      <c r="L52" s="363"/>
      <c r="M52" s="2234" t="s">
        <v>251</v>
      </c>
      <c r="N52" s="5467" t="s">
        <v>841</v>
      </c>
      <c r="O52" s="5468"/>
      <c r="P52" s="5469"/>
      <c r="Q52" s="2234" t="s">
        <v>251</v>
      </c>
      <c r="R52" s="1412"/>
      <c r="S52" s="1412"/>
      <c r="T52" s="1412"/>
      <c r="U52" s="363"/>
      <c r="V52" s="363"/>
      <c r="W52" s="1412"/>
      <c r="X52" s="363"/>
      <c r="Y52" s="363"/>
      <c r="Z52" s="363"/>
      <c r="AA52" s="363"/>
      <c r="AB52" s="363"/>
      <c r="AC52" s="1412"/>
      <c r="AD52" s="1412"/>
      <c r="AE52" s="1412"/>
      <c r="AF52" s="1412"/>
    </row>
    <row r="53" spans="1:32" ht="15.75">
      <c r="A53" s="5030"/>
      <c r="B53" s="1959" t="s">
        <v>142</v>
      </c>
      <c r="C53" s="1947" t="s">
        <v>143</v>
      </c>
      <c r="D53" s="5484" t="s">
        <v>779</v>
      </c>
      <c r="E53" s="5485"/>
      <c r="F53" s="5485"/>
      <c r="G53" s="5485"/>
      <c r="H53" s="5485"/>
      <c r="I53" s="5485"/>
      <c r="J53" s="5485"/>
      <c r="K53" s="3648" t="s">
        <v>251</v>
      </c>
      <c r="L53" s="2219"/>
      <c r="N53" s="363"/>
      <c r="O53" s="2"/>
      <c r="P53" s="5477" t="s">
        <v>828</v>
      </c>
      <c r="Q53" s="5477"/>
      <c r="R53" s="5477"/>
      <c r="S53" s="5477"/>
      <c r="T53" s="1412" t="s">
        <v>722</v>
      </c>
      <c r="U53" s="363"/>
      <c r="V53" s="2306"/>
      <c r="W53" s="3665" t="s">
        <v>829</v>
      </c>
      <c r="X53" s="363"/>
      <c r="Y53" s="363"/>
      <c r="Z53" s="363"/>
      <c r="AA53" s="1412" t="s">
        <v>720</v>
      </c>
      <c r="AB53" s="363"/>
      <c r="AC53" s="5475" t="s">
        <v>836</v>
      </c>
      <c r="AD53" s="5475"/>
      <c r="AE53" s="5475"/>
      <c r="AF53" s="5476"/>
    </row>
    <row r="54" spans="1:32" ht="15.75">
      <c r="A54" s="5030"/>
      <c r="B54" s="1959" t="s">
        <v>739</v>
      </c>
      <c r="C54" s="1947" t="s">
        <v>740</v>
      </c>
      <c r="D54" s="2304"/>
      <c r="E54" s="2220"/>
      <c r="F54" s="2220"/>
      <c r="G54" s="3647" t="s">
        <v>251</v>
      </c>
      <c r="H54" s="5483" t="s">
        <v>831</v>
      </c>
      <c r="I54" s="5483"/>
      <c r="J54" s="5483"/>
      <c r="K54" s="5483"/>
      <c r="L54" s="3647" t="s">
        <v>251</v>
      </c>
      <c r="M54" s="2220"/>
      <c r="N54" s="2220"/>
      <c r="O54" s="323"/>
      <c r="P54" s="5478" t="s">
        <v>828</v>
      </c>
      <c r="Q54" s="5478"/>
      <c r="R54" s="5478"/>
      <c r="S54" s="5478"/>
      <c r="T54" s="370"/>
      <c r="U54" s="370"/>
      <c r="V54" s="2302"/>
      <c r="W54" s="3670" t="s">
        <v>829</v>
      </c>
      <c r="X54" s="370"/>
      <c r="Y54" s="370"/>
      <c r="Z54" s="370"/>
      <c r="AA54" s="370"/>
      <c r="AB54" s="370"/>
      <c r="AC54" s="370"/>
      <c r="AD54" s="370"/>
      <c r="AE54" s="370"/>
      <c r="AF54" s="370"/>
    </row>
    <row r="55" spans="1:32">
      <c r="A55" s="5499" t="s">
        <v>144</v>
      </c>
      <c r="B55" s="2005" t="s">
        <v>145</v>
      </c>
      <c r="C55" s="2243" t="s">
        <v>618</v>
      </c>
      <c r="D55" s="1001"/>
      <c r="E55" s="1002"/>
      <c r="F55" s="1002"/>
      <c r="G55" s="1002"/>
      <c r="H55" s="1002"/>
      <c r="I55" s="1002"/>
      <c r="J55" s="1002"/>
      <c r="K55" s="1002"/>
      <c r="L55" s="1002"/>
      <c r="M55" s="1002"/>
      <c r="N55" s="1002"/>
      <c r="O55" s="1002"/>
      <c r="P55" s="1002"/>
      <c r="Q55" s="1559" t="s">
        <v>717</v>
      </c>
      <c r="R55" s="1002"/>
      <c r="S55" s="1002"/>
      <c r="T55" s="1002"/>
      <c r="U55" s="1002"/>
      <c r="V55" s="1002"/>
      <c r="W55" s="1002"/>
      <c r="X55" s="1559" t="s">
        <v>717</v>
      </c>
      <c r="Y55" s="1002"/>
      <c r="Z55" s="1002"/>
      <c r="AA55" s="4436" t="s">
        <v>438</v>
      </c>
      <c r="AB55" s="5479"/>
      <c r="AC55" s="5479"/>
      <c r="AD55" s="5479"/>
      <c r="AE55" s="5479"/>
      <c r="AF55" s="5480"/>
    </row>
    <row r="56" spans="1:32">
      <c r="A56" s="5500"/>
      <c r="B56" s="2230" t="s">
        <v>145</v>
      </c>
      <c r="C56" s="1957" t="s">
        <v>148</v>
      </c>
      <c r="D56" s="4514" t="s">
        <v>842</v>
      </c>
      <c r="E56" s="4475"/>
      <c r="F56" s="4475"/>
      <c r="G56" s="3628" t="s">
        <v>251</v>
      </c>
      <c r="H56" s="363"/>
      <c r="I56" s="363"/>
      <c r="J56" s="1412" t="s">
        <v>722</v>
      </c>
      <c r="K56" s="363"/>
      <c r="L56" s="363"/>
      <c r="M56" s="363"/>
      <c r="N56" s="1412" t="s">
        <v>720</v>
      </c>
      <c r="O56" s="5426" t="s">
        <v>251</v>
      </c>
      <c r="P56" s="5428"/>
      <c r="Q56" s="4632" t="s">
        <v>816</v>
      </c>
      <c r="R56" s="4632"/>
      <c r="S56" s="3628" t="s">
        <v>251</v>
      </c>
      <c r="T56" s="4475" t="s">
        <v>843</v>
      </c>
      <c r="U56" s="5510"/>
      <c r="V56" s="5510"/>
      <c r="W56" s="5510"/>
      <c r="X56" s="363" t="s">
        <v>30</v>
      </c>
      <c r="Y56" s="2374" t="s">
        <v>844</v>
      </c>
      <c r="Z56" s="363"/>
      <c r="AA56" s="363"/>
      <c r="AB56" s="363"/>
      <c r="AC56" s="363"/>
      <c r="AD56" s="363"/>
      <c r="AE56" s="2373" t="s">
        <v>819</v>
      </c>
      <c r="AF56" s="863"/>
    </row>
    <row r="57" spans="1:32">
      <c r="A57" s="5500"/>
      <c r="B57" s="2230" t="s">
        <v>149</v>
      </c>
      <c r="C57" s="1957" t="s">
        <v>150</v>
      </c>
      <c r="D57" s="860" t="s">
        <v>26</v>
      </c>
      <c r="E57" s="363"/>
      <c r="F57" s="363"/>
      <c r="G57" s="363"/>
      <c r="H57" s="363"/>
      <c r="I57" s="363"/>
      <c r="J57" s="1412" t="s">
        <v>720</v>
      </c>
      <c r="K57" s="363"/>
      <c r="L57" s="363"/>
      <c r="M57" s="363"/>
      <c r="N57" s="363"/>
      <c r="O57" s="363"/>
      <c r="P57" s="905"/>
      <c r="Q57" s="1412" t="s">
        <v>722</v>
      </c>
      <c r="R57" s="363"/>
      <c r="S57" s="363"/>
      <c r="T57" s="363"/>
      <c r="U57" s="363"/>
      <c r="V57" s="363"/>
      <c r="W57" s="1412" t="s">
        <v>722</v>
      </c>
      <c r="X57" s="363"/>
      <c r="Y57" s="363"/>
      <c r="Z57" s="363"/>
      <c r="AA57" s="363"/>
      <c r="AB57" s="363"/>
      <c r="AC57" s="363"/>
      <c r="AD57" s="363"/>
      <c r="AE57" s="363"/>
      <c r="AF57" s="863"/>
    </row>
    <row r="58" spans="1:32">
      <c r="A58" s="5501"/>
      <c r="B58" s="1990" t="s">
        <v>149</v>
      </c>
      <c r="C58" s="2264" t="s">
        <v>151</v>
      </c>
      <c r="D58" s="1015"/>
      <c r="E58" s="370"/>
      <c r="F58" s="370"/>
      <c r="G58" s="370"/>
      <c r="H58" s="2297" t="s">
        <v>722</v>
      </c>
      <c r="I58" s="2297" t="s">
        <v>722</v>
      </c>
      <c r="J58" s="370"/>
      <c r="K58" s="2297"/>
      <c r="L58" s="370"/>
      <c r="M58" s="370"/>
      <c r="N58" s="370"/>
      <c r="O58" s="370"/>
      <c r="P58" s="1377"/>
      <c r="Q58" s="1377"/>
      <c r="R58" s="2297"/>
      <c r="S58" s="1377"/>
      <c r="T58" s="2377"/>
      <c r="U58" s="2279"/>
      <c r="V58" s="2279"/>
      <c r="W58" s="2279"/>
      <c r="X58" s="370"/>
      <c r="Y58" s="370"/>
      <c r="Z58" s="370"/>
      <c r="AA58" s="370"/>
      <c r="AB58" s="2297"/>
      <c r="AC58" s="2297" t="s">
        <v>722</v>
      </c>
      <c r="AD58" s="370"/>
      <c r="AE58" s="370"/>
      <c r="AF58" s="862"/>
    </row>
    <row r="59" spans="1:32" ht="15.75" customHeight="1">
      <c r="A59" s="5472" t="s">
        <v>13</v>
      </c>
      <c r="B59" s="2396" t="s">
        <v>100</v>
      </c>
      <c r="C59" s="2396" t="s">
        <v>78</v>
      </c>
      <c r="D59" s="2397" t="s">
        <v>845</v>
      </c>
      <c r="E59" s="3671" t="s">
        <v>251</v>
      </c>
      <c r="F59" s="1002"/>
      <c r="G59" s="1013"/>
      <c r="H59" s="1013"/>
      <c r="I59" s="1013"/>
      <c r="J59" s="1002"/>
      <c r="K59" s="4599" t="s">
        <v>89</v>
      </c>
      <c r="L59" s="4599"/>
      <c r="M59" s="1002"/>
      <c r="N59" s="1002"/>
      <c r="O59" s="5482" t="s">
        <v>251</v>
      </c>
      <c r="P59" s="5482"/>
      <c r="Q59" s="5481" t="s">
        <v>816</v>
      </c>
      <c r="R59" s="5481"/>
      <c r="S59" s="3671" t="s">
        <v>251</v>
      </c>
      <c r="T59" s="1002"/>
      <c r="U59" s="1002"/>
      <c r="V59" s="1002"/>
      <c r="W59" s="1002"/>
      <c r="X59" s="1002"/>
      <c r="Y59" s="2391" t="s">
        <v>844</v>
      </c>
      <c r="Z59" s="1002"/>
      <c r="AA59" s="1002"/>
      <c r="AB59" s="1002"/>
      <c r="AC59" s="1002"/>
      <c r="AD59" s="1002"/>
      <c r="AE59" s="2392" t="s">
        <v>819</v>
      </c>
      <c r="AF59" s="1217"/>
    </row>
    <row r="60" spans="1:32" ht="15.75">
      <c r="A60" s="5473"/>
      <c r="B60" s="2389" t="s">
        <v>95</v>
      </c>
      <c r="C60" s="2389" t="s">
        <v>620</v>
      </c>
      <c r="D60" s="824"/>
      <c r="E60" s="824"/>
      <c r="F60" s="824"/>
      <c r="G60" s="824"/>
      <c r="H60" s="2254" t="s">
        <v>717</v>
      </c>
      <c r="I60" s="824"/>
      <c r="J60" s="824"/>
      <c r="K60" s="824"/>
      <c r="L60" s="824"/>
      <c r="M60" s="824"/>
      <c r="N60" s="920"/>
      <c r="O60" s="4822" t="s">
        <v>251</v>
      </c>
      <c r="P60" s="4822"/>
      <c r="Q60" s="4632" t="s">
        <v>816</v>
      </c>
      <c r="R60" s="4632"/>
      <c r="S60" s="3628" t="s">
        <v>251</v>
      </c>
      <c r="T60" s="380"/>
      <c r="U60" s="380"/>
      <c r="V60" s="380"/>
      <c r="W60" s="380"/>
      <c r="X60" s="380"/>
      <c r="Y60" s="2374" t="s">
        <v>844</v>
      </c>
      <c r="Z60" s="2"/>
      <c r="AA60" s="380"/>
      <c r="AB60" s="1002"/>
      <c r="AC60" s="1002"/>
      <c r="AD60" s="1002"/>
      <c r="AE60" s="1002"/>
      <c r="AF60" s="2447" t="s">
        <v>845</v>
      </c>
    </row>
    <row r="61" spans="1:32">
      <c r="A61" s="5473"/>
      <c r="B61" s="2" t="s">
        <v>127</v>
      </c>
      <c r="C61" s="2" t="s">
        <v>128</v>
      </c>
      <c r="D61" s="4475" t="s">
        <v>842</v>
      </c>
      <c r="E61" s="4475"/>
      <c r="F61" s="4475"/>
      <c r="G61" s="3628" t="s">
        <v>251</v>
      </c>
      <c r="H61" s="2"/>
      <c r="I61" s="2"/>
      <c r="J61" s="2"/>
      <c r="K61" s="2"/>
      <c r="L61" s="1412" t="s">
        <v>720</v>
      </c>
      <c r="M61" s="2"/>
      <c r="N61" s="2"/>
      <c r="O61" s="2"/>
      <c r="P61" s="5477" t="s">
        <v>828</v>
      </c>
      <c r="Q61" s="5477"/>
      <c r="R61" s="5477"/>
      <c r="S61" s="5477"/>
      <c r="T61" s="2"/>
      <c r="U61" s="1412" t="s">
        <v>722</v>
      </c>
      <c r="V61" s="2"/>
      <c r="W61" s="3665" t="s">
        <v>829</v>
      </c>
      <c r="X61" s="2"/>
      <c r="Y61" s="2374" t="s">
        <v>844</v>
      </c>
      <c r="Z61" s="2"/>
      <c r="AA61" s="2"/>
      <c r="AB61" s="1002"/>
      <c r="AC61" s="363"/>
      <c r="AD61" s="363"/>
      <c r="AE61" s="2394" t="s">
        <v>819</v>
      </c>
      <c r="AF61" s="863"/>
    </row>
    <row r="62" spans="1:32">
      <c r="A62" s="5473"/>
      <c r="B62" s="2" t="s">
        <v>90</v>
      </c>
      <c r="C62" s="2" t="s">
        <v>660</v>
      </c>
      <c r="D62" s="3628" t="s">
        <v>251</v>
      </c>
      <c r="E62" s="2"/>
      <c r="F62" s="2"/>
      <c r="G62" s="2"/>
      <c r="H62" s="2"/>
      <c r="I62" s="2395" t="s">
        <v>717</v>
      </c>
      <c r="J62" s="2"/>
      <c r="K62" s="2"/>
      <c r="L62" s="2"/>
      <c r="M62" s="2"/>
      <c r="N62" s="2"/>
      <c r="O62" s="4822" t="s">
        <v>251</v>
      </c>
      <c r="P62" s="4822"/>
      <c r="Q62" s="4632" t="s">
        <v>816</v>
      </c>
      <c r="R62" s="4632"/>
      <c r="S62" s="3628" t="s">
        <v>251</v>
      </c>
      <c r="T62" s="2"/>
      <c r="U62" s="2"/>
      <c r="V62" s="2"/>
      <c r="W62" s="2"/>
      <c r="X62" s="2"/>
      <c r="Y62" s="2374" t="s">
        <v>844</v>
      </c>
      <c r="Z62" s="2"/>
      <c r="AA62" s="2"/>
      <c r="AB62" s="2"/>
      <c r="AC62" s="5475" t="s">
        <v>836</v>
      </c>
      <c r="AD62" s="5475"/>
      <c r="AE62" s="5475"/>
      <c r="AF62" s="5476"/>
    </row>
    <row r="63" spans="1:32">
      <c r="A63" s="5473"/>
      <c r="B63" s="2389" t="s">
        <v>81</v>
      </c>
      <c r="C63" s="2389" t="s">
        <v>396</v>
      </c>
      <c r="D63" s="363"/>
      <c r="E63" s="363"/>
      <c r="F63" s="363"/>
      <c r="G63" s="363"/>
      <c r="H63" s="363"/>
      <c r="I63" s="363"/>
      <c r="J63" s="363"/>
      <c r="K63" s="363"/>
      <c r="L63" s="363"/>
      <c r="M63" s="363"/>
      <c r="N63" s="363"/>
      <c r="O63" s="3628" t="s">
        <v>251</v>
      </c>
      <c r="P63" s="2405" t="s">
        <v>846</v>
      </c>
      <c r="Q63" s="5470" t="s">
        <v>847</v>
      </c>
      <c r="R63" s="5470"/>
      <c r="S63" s="3628" t="s">
        <v>251</v>
      </c>
      <c r="T63" s="363"/>
      <c r="U63" s="363"/>
      <c r="V63" s="363"/>
      <c r="W63" s="363"/>
      <c r="X63" s="363"/>
      <c r="Y63" s="2374" t="s">
        <v>844</v>
      </c>
      <c r="Z63" s="363"/>
      <c r="AA63" s="363"/>
      <c r="AB63" s="380"/>
      <c r="AC63" s="363"/>
      <c r="AD63" s="363"/>
      <c r="AE63" s="2394" t="s">
        <v>819</v>
      </c>
      <c r="AF63" s="863"/>
    </row>
    <row r="64" spans="1:32">
      <c r="A64" s="5474"/>
      <c r="B64" s="2390" t="s">
        <v>699</v>
      </c>
      <c r="C64" s="2390" t="s">
        <v>532</v>
      </c>
      <c r="D64" s="770"/>
      <c r="E64" s="770"/>
      <c r="F64" s="770"/>
      <c r="G64" s="1552" t="s">
        <v>717</v>
      </c>
      <c r="H64" s="770"/>
      <c r="I64" s="770"/>
      <c r="J64" s="1552" t="s">
        <v>717</v>
      </c>
      <c r="K64" s="770"/>
      <c r="L64" s="770"/>
      <c r="M64" s="770"/>
      <c r="N64" s="770"/>
      <c r="O64" s="770"/>
      <c r="P64" s="5471" t="s">
        <v>828</v>
      </c>
      <c r="Q64" s="5471"/>
      <c r="R64" s="5471"/>
      <c r="S64" s="5471"/>
      <c r="T64" s="770"/>
      <c r="U64" s="770"/>
      <c r="V64" s="770"/>
      <c r="W64" s="3667" t="s">
        <v>829</v>
      </c>
      <c r="X64" s="770" t="s">
        <v>30</v>
      </c>
      <c r="Y64" s="770"/>
      <c r="Z64" s="770"/>
      <c r="AA64" s="770"/>
      <c r="AB64" s="770"/>
      <c r="AC64" s="770"/>
      <c r="AD64" s="2234" t="s">
        <v>251</v>
      </c>
      <c r="AE64" s="5465" t="s">
        <v>755</v>
      </c>
      <c r="AF64" s="5466"/>
    </row>
    <row r="65" spans="1:3">
      <c r="A65" s="283"/>
      <c r="B65" s="283"/>
      <c r="C65" s="283"/>
    </row>
    <row r="66" spans="1:3">
      <c r="B66" s="283"/>
      <c r="C66" s="283"/>
    </row>
  </sheetData>
  <mergeCells count="102">
    <mergeCell ref="S38:AC38"/>
    <mergeCell ref="W31:Z31"/>
    <mergeCell ref="H38:L38"/>
    <mergeCell ref="L39:R39"/>
    <mergeCell ref="P42:S42"/>
    <mergeCell ref="D36:K36"/>
    <mergeCell ref="P41:S41"/>
    <mergeCell ref="D1:AF1"/>
    <mergeCell ref="Q14:R14"/>
    <mergeCell ref="D5:H5"/>
    <mergeCell ref="D7:K7"/>
    <mergeCell ref="L7:T7"/>
    <mergeCell ref="M4:O4"/>
    <mergeCell ref="T4:W4"/>
    <mergeCell ref="R16:S16"/>
    <mergeCell ref="O26:P26"/>
    <mergeCell ref="A10:C10"/>
    <mergeCell ref="A11:C11"/>
    <mergeCell ref="A12:C12"/>
    <mergeCell ref="A13:C13"/>
    <mergeCell ref="A14:C14"/>
    <mergeCell ref="A8:C8"/>
    <mergeCell ref="A5:C5"/>
    <mergeCell ref="A1:C1"/>
    <mergeCell ref="A2:C2"/>
    <mergeCell ref="A3:C3"/>
    <mergeCell ref="A4:C4"/>
    <mergeCell ref="A9:C9"/>
    <mergeCell ref="A6:C6"/>
    <mergeCell ref="A7:C7"/>
    <mergeCell ref="AC49:AF49"/>
    <mergeCell ref="A16:C16"/>
    <mergeCell ref="H31:K31"/>
    <mergeCell ref="F26:G26"/>
    <mergeCell ref="J30:W30"/>
    <mergeCell ref="Q23:R23"/>
    <mergeCell ref="Q26:R26"/>
    <mergeCell ref="P27:S27"/>
    <mergeCell ref="A21:C21"/>
    <mergeCell ref="A19:C19"/>
    <mergeCell ref="A20:C20"/>
    <mergeCell ref="L31:V31"/>
    <mergeCell ref="T26:U26"/>
    <mergeCell ref="J23:N23"/>
    <mergeCell ref="AB17:AF17"/>
    <mergeCell ref="D44:E44"/>
    <mergeCell ref="X47:AF47"/>
    <mergeCell ref="P28:S28"/>
    <mergeCell ref="P43:Q43"/>
    <mergeCell ref="P46:S46"/>
    <mergeCell ref="L36:R36"/>
    <mergeCell ref="P44:S44"/>
    <mergeCell ref="P45:S45"/>
    <mergeCell ref="L47:R47"/>
    <mergeCell ref="H54:K54"/>
    <mergeCell ref="D53:J53"/>
    <mergeCell ref="A15:C15"/>
    <mergeCell ref="A17:C17"/>
    <mergeCell ref="A18:C18"/>
    <mergeCell ref="AC37:AF37"/>
    <mergeCell ref="P37:S37"/>
    <mergeCell ref="A55:A58"/>
    <mergeCell ref="A34:A49"/>
    <mergeCell ref="AD25:AF25"/>
    <mergeCell ref="AC19:AF19"/>
    <mergeCell ref="X19:Z19"/>
    <mergeCell ref="AD24:AF24"/>
    <mergeCell ref="D23:E23"/>
    <mergeCell ref="O23:P23"/>
    <mergeCell ref="T56:W56"/>
    <mergeCell ref="D48:E48"/>
    <mergeCell ref="D43:O43"/>
    <mergeCell ref="D20:K20"/>
    <mergeCell ref="H42:M42"/>
    <mergeCell ref="D39:K39"/>
    <mergeCell ref="H26:J26"/>
    <mergeCell ref="A26:A28"/>
    <mergeCell ref="A29:A33"/>
    <mergeCell ref="D50:J50"/>
    <mergeCell ref="AE64:AF64"/>
    <mergeCell ref="N52:P52"/>
    <mergeCell ref="Q63:R63"/>
    <mergeCell ref="P64:S64"/>
    <mergeCell ref="A59:A64"/>
    <mergeCell ref="AC62:AF62"/>
    <mergeCell ref="Q60:R60"/>
    <mergeCell ref="P61:S61"/>
    <mergeCell ref="Q62:R62"/>
    <mergeCell ref="A50:A54"/>
    <mergeCell ref="AC53:AF53"/>
    <mergeCell ref="P54:S54"/>
    <mergeCell ref="P53:S53"/>
    <mergeCell ref="O62:P62"/>
    <mergeCell ref="AA55:AF55"/>
    <mergeCell ref="D61:F61"/>
    <mergeCell ref="Q56:R56"/>
    <mergeCell ref="Q59:R59"/>
    <mergeCell ref="K59:L59"/>
    <mergeCell ref="D56:F56"/>
    <mergeCell ref="O60:P60"/>
    <mergeCell ref="O59:P59"/>
    <mergeCell ref="O56:P56"/>
  </mergeCells>
  <pageMargins left="0.7" right="0.7" top="0.75" bottom="0.75" header="0.3" footer="0.3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19443-7787-44DC-9F8F-66322EB92D2C}">
  <sheetPr>
    <pageSetUpPr fitToPage="1"/>
  </sheetPr>
  <dimension ref="A1:AI68"/>
  <sheetViews>
    <sheetView zoomScale="68" zoomScaleNormal="68" workbookViewId="0">
      <pane xSplit="3" ySplit="22" topLeftCell="D38" activePane="bottomRight" state="frozen"/>
      <selection pane="bottomRight" activeCell="D38" sqref="D38"/>
      <selection pane="bottomLeft"/>
      <selection pane="topRight"/>
    </sheetView>
  </sheetViews>
  <sheetFormatPr defaultRowHeight="15"/>
  <cols>
    <col min="3" max="3" width="11.5703125" bestFit="1" customWidth="1"/>
    <col min="10" max="10" width="10.42578125" bestFit="1" customWidth="1"/>
  </cols>
  <sheetData>
    <row r="1" spans="1:35">
      <c r="A1" s="5065" t="s">
        <v>29</v>
      </c>
      <c r="B1" s="5066"/>
      <c r="C1" s="5066"/>
      <c r="D1" s="5430" t="s">
        <v>848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3"/>
      <c r="AG1" s="5073"/>
      <c r="AH1" s="5074"/>
    </row>
    <row r="2" spans="1:35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5">
      <c r="A3" s="5070" t="s">
        <v>32</v>
      </c>
      <c r="B3" s="4378"/>
      <c r="C3" s="4378"/>
      <c r="D3" s="3703" t="s">
        <v>35</v>
      </c>
      <c r="E3" s="19" t="s">
        <v>36</v>
      </c>
      <c r="F3" s="19" t="s">
        <v>36</v>
      </c>
      <c r="G3" s="3703" t="s">
        <v>37</v>
      </c>
      <c r="H3" s="3703" t="s">
        <v>33</v>
      </c>
      <c r="I3" s="3703" t="s">
        <v>34</v>
      </c>
      <c r="J3" s="3703" t="s">
        <v>33</v>
      </c>
      <c r="K3" s="3703" t="s">
        <v>35</v>
      </c>
      <c r="L3" s="19" t="s">
        <v>36</v>
      </c>
      <c r="M3" s="19" t="s">
        <v>36</v>
      </c>
      <c r="N3" s="3703" t="s">
        <v>37</v>
      </c>
      <c r="O3" s="3703" t="s">
        <v>33</v>
      </c>
      <c r="P3" s="3703" t="s">
        <v>34</v>
      </c>
      <c r="Q3" s="40" t="s">
        <v>33</v>
      </c>
      <c r="R3" s="3703" t="s">
        <v>35</v>
      </c>
      <c r="S3" s="19" t="s">
        <v>36</v>
      </c>
      <c r="T3" s="19" t="s">
        <v>36</v>
      </c>
      <c r="U3" s="3703" t="s">
        <v>37</v>
      </c>
      <c r="V3" s="41" t="s">
        <v>33</v>
      </c>
      <c r="W3" s="41" t="s">
        <v>34</v>
      </c>
      <c r="X3" s="41" t="s">
        <v>33</v>
      </c>
      <c r="Y3" s="41" t="s">
        <v>35</v>
      </c>
      <c r="Z3" s="19" t="s">
        <v>36</v>
      </c>
      <c r="AA3" s="19" t="s">
        <v>36</v>
      </c>
      <c r="AB3" s="3703" t="s">
        <v>37</v>
      </c>
      <c r="AC3" s="41" t="s">
        <v>33</v>
      </c>
      <c r="AD3" s="41" t="s">
        <v>34</v>
      </c>
      <c r="AE3" s="41" t="s">
        <v>33</v>
      </c>
      <c r="AF3" s="2387" t="s">
        <v>35</v>
      </c>
      <c r="AG3" s="19" t="s">
        <v>36</v>
      </c>
      <c r="AH3" s="1928" t="s">
        <v>36</v>
      </c>
    </row>
    <row r="4" spans="1:35" ht="15.75">
      <c r="A4" s="4831" t="s">
        <v>38</v>
      </c>
      <c r="B4" s="4249"/>
      <c r="C4" s="4249"/>
      <c r="D4" s="786"/>
      <c r="E4" s="787"/>
      <c r="F4" s="788"/>
      <c r="G4" s="788"/>
      <c r="H4" s="788"/>
      <c r="I4" s="788"/>
      <c r="J4" s="1925"/>
      <c r="K4" s="1925"/>
      <c r="L4" s="1925"/>
      <c r="M4" s="788"/>
      <c r="N4" s="791"/>
      <c r="O4" s="791"/>
      <c r="P4" s="791"/>
      <c r="Q4" s="787"/>
      <c r="R4" s="787"/>
      <c r="S4" s="787"/>
      <c r="T4" s="788"/>
      <c r="U4" s="787"/>
      <c r="V4" s="787"/>
      <c r="W4" s="787"/>
      <c r="X4" s="787"/>
      <c r="Y4" s="787"/>
      <c r="Z4" s="788"/>
      <c r="AA4" s="792"/>
      <c r="AB4" s="5593" t="s">
        <v>849</v>
      </c>
      <c r="AC4" s="5594"/>
      <c r="AD4" s="5594"/>
      <c r="AE4" s="5595"/>
      <c r="AF4" s="5590" t="s">
        <v>850</v>
      </c>
      <c r="AG4" s="5591"/>
      <c r="AH4" s="5592"/>
    </row>
    <row r="5" spans="1:35" s="567" customFormat="1" ht="15.75" customHeight="1">
      <c r="A5" s="4061" t="s">
        <v>165</v>
      </c>
      <c r="B5" s="4062"/>
      <c r="C5" s="4062"/>
      <c r="D5" s="860"/>
      <c r="E5" s="363"/>
      <c r="F5" s="363"/>
      <c r="G5" s="363"/>
      <c r="H5" s="363"/>
      <c r="I5" s="363"/>
      <c r="J5" s="363"/>
      <c r="K5" s="437"/>
      <c r="L5" s="5581" t="s">
        <v>774</v>
      </c>
      <c r="M5" s="5582"/>
      <c r="N5" s="5582"/>
      <c r="O5" s="5582"/>
      <c r="P5" s="5582"/>
      <c r="Q5" s="5582"/>
      <c r="R5" s="5583"/>
      <c r="S5" s="402"/>
      <c r="T5" s="363"/>
      <c r="U5" s="363"/>
      <c r="V5" s="363"/>
      <c r="W5" s="363"/>
      <c r="X5" s="437"/>
      <c r="Y5" s="5581" t="s">
        <v>450</v>
      </c>
      <c r="Z5" s="5596"/>
      <c r="AA5" s="5596"/>
      <c r="AB5" s="5596"/>
      <c r="AC5" s="5596"/>
      <c r="AD5" s="5596"/>
      <c r="AE5" s="5597"/>
      <c r="AF5" s="402"/>
      <c r="AG5" s="363"/>
      <c r="AH5" s="865"/>
    </row>
    <row r="6" spans="1:35" ht="15.75" customHeight="1">
      <c r="A6" s="4265" t="s">
        <v>407</v>
      </c>
      <c r="B6" s="4266"/>
      <c r="C6" s="4266"/>
      <c r="D6" s="1908"/>
      <c r="E6" s="905"/>
      <c r="F6" s="905"/>
      <c r="G6" s="905"/>
      <c r="H6" s="905"/>
      <c r="I6" s="905"/>
      <c r="J6" s="905"/>
      <c r="K6" s="905"/>
      <c r="L6" s="1042"/>
      <c r="M6" s="1042"/>
      <c r="N6" s="1042"/>
      <c r="O6" s="1042"/>
      <c r="P6" s="1042"/>
      <c r="Q6" s="1042"/>
      <c r="R6" s="1042"/>
      <c r="S6" s="905"/>
      <c r="T6" s="905"/>
      <c r="U6" s="905"/>
      <c r="V6" s="905"/>
      <c r="W6" s="905"/>
      <c r="X6" s="905"/>
      <c r="Y6" s="796"/>
      <c r="Z6" s="374"/>
      <c r="AA6" s="374"/>
      <c r="AB6" s="374"/>
      <c r="AC6" s="374"/>
      <c r="AD6" s="905"/>
      <c r="AE6" s="905"/>
      <c r="AF6" s="2334"/>
      <c r="AG6" s="1328"/>
      <c r="AH6" s="2425"/>
    </row>
    <row r="7" spans="1:35" ht="15.75">
      <c r="A7" s="4533" t="s">
        <v>262</v>
      </c>
      <c r="B7" s="4533"/>
      <c r="C7" s="4533"/>
      <c r="D7" s="923"/>
      <c r="E7" s="362"/>
      <c r="F7" s="362"/>
      <c r="G7" s="362"/>
      <c r="H7" s="362"/>
      <c r="I7" s="362"/>
      <c r="J7" s="362"/>
      <c r="K7" s="362"/>
      <c r="L7" s="362"/>
      <c r="M7" s="362"/>
      <c r="N7" s="920"/>
      <c r="O7" s="920"/>
      <c r="P7" s="362"/>
      <c r="Q7" s="362"/>
      <c r="R7" s="380"/>
      <c r="S7" s="380"/>
      <c r="T7" s="380"/>
      <c r="U7" s="380"/>
      <c r="V7" s="380"/>
      <c r="W7" s="380"/>
      <c r="X7" s="380"/>
      <c r="Y7" s="535"/>
      <c r="Z7" s="904"/>
      <c r="AA7" s="904"/>
      <c r="AB7" s="904"/>
      <c r="AC7" s="904"/>
      <c r="AD7" s="904"/>
      <c r="AE7" s="904"/>
      <c r="AF7" s="5582" t="s">
        <v>164</v>
      </c>
      <c r="AG7" s="5582"/>
      <c r="AH7" s="5583"/>
    </row>
    <row r="8" spans="1:35" ht="15.75">
      <c r="A8" s="5289" t="s">
        <v>702</v>
      </c>
      <c r="B8" s="5290"/>
      <c r="C8" s="5290"/>
      <c r="D8" s="923"/>
      <c r="E8" s="362"/>
      <c r="F8" s="362"/>
      <c r="G8" s="362"/>
      <c r="H8" s="362"/>
      <c r="I8" s="362"/>
      <c r="J8" s="362"/>
      <c r="K8" s="362"/>
      <c r="L8" s="362"/>
      <c r="M8" s="362"/>
      <c r="N8" s="920"/>
      <c r="O8" s="920"/>
      <c r="P8" s="362"/>
      <c r="Q8" s="362"/>
      <c r="R8" s="380"/>
      <c r="S8" s="380"/>
      <c r="T8" s="380"/>
      <c r="U8" s="380"/>
      <c r="V8" s="380"/>
      <c r="W8" s="380"/>
      <c r="X8" s="380"/>
      <c r="Y8" s="535"/>
      <c r="Z8" s="1642"/>
      <c r="AA8" s="1642"/>
      <c r="AB8" s="1642"/>
      <c r="AC8" s="1642"/>
      <c r="AD8" s="1642"/>
      <c r="AE8" s="1642"/>
      <c r="AF8" s="1555"/>
      <c r="AG8" s="1555"/>
      <c r="AH8" s="2505"/>
    </row>
    <row r="9" spans="1:35" ht="15.75">
      <c r="A9" s="4391" t="s">
        <v>225</v>
      </c>
      <c r="B9" s="4391"/>
      <c r="C9" s="4391"/>
      <c r="D9" s="923"/>
      <c r="E9" s="362"/>
      <c r="F9" s="362"/>
      <c r="G9" s="362"/>
      <c r="H9" s="362"/>
      <c r="I9" s="362"/>
      <c r="J9" s="362"/>
      <c r="K9" s="362"/>
      <c r="L9" s="362"/>
      <c r="M9" s="362"/>
      <c r="N9" s="920"/>
      <c r="O9" s="920"/>
      <c r="P9" s="362"/>
      <c r="Q9" s="362"/>
      <c r="R9" s="380"/>
      <c r="S9" s="380"/>
      <c r="T9" s="380"/>
      <c r="U9" s="380"/>
      <c r="V9" s="380"/>
      <c r="W9" s="2401" t="s">
        <v>851</v>
      </c>
      <c r="X9" s="380"/>
      <c r="Y9" s="535"/>
      <c r="Z9" s="380"/>
      <c r="AA9" s="380"/>
      <c r="AB9" s="380"/>
      <c r="AC9" s="2525" t="s">
        <v>852</v>
      </c>
      <c r="AD9" s="362"/>
      <c r="AE9" s="365"/>
      <c r="AF9" s="362"/>
      <c r="AG9" s="362"/>
      <c r="AH9" s="1026"/>
    </row>
    <row r="10" spans="1:35" ht="15" customHeight="1">
      <c r="A10" s="4381" t="s">
        <v>272</v>
      </c>
      <c r="B10" s="4382"/>
      <c r="C10" s="4382"/>
      <c r="D10" s="923"/>
      <c r="E10" s="362"/>
      <c r="F10" s="362"/>
      <c r="G10" s="362"/>
      <c r="H10" s="362"/>
      <c r="I10" s="362"/>
      <c r="J10" s="824"/>
      <c r="K10" s="824"/>
      <c r="L10" s="362"/>
      <c r="M10" s="362"/>
      <c r="N10" s="362"/>
      <c r="O10" s="362"/>
      <c r="P10" s="362"/>
      <c r="Q10" s="362"/>
      <c r="R10" s="362"/>
      <c r="S10" s="362"/>
      <c r="T10" s="362"/>
      <c r="U10" s="362"/>
      <c r="V10" s="380" t="s">
        <v>775</v>
      </c>
      <c r="W10" s="362"/>
      <c r="X10" s="362"/>
      <c r="Y10" s="362"/>
      <c r="Z10" s="365"/>
      <c r="AA10" s="1543"/>
      <c r="AB10" s="2770"/>
      <c r="AC10" s="365"/>
      <c r="AD10" s="365"/>
      <c r="AE10" s="365"/>
      <c r="AF10" s="365"/>
      <c r="AG10" s="365"/>
      <c r="AH10" s="2429"/>
    </row>
    <row r="11" spans="1:35" ht="14.25" customHeight="1">
      <c r="A11" s="4380" t="s">
        <v>265</v>
      </c>
      <c r="B11" s="4532"/>
      <c r="C11" s="4532"/>
      <c r="D11" s="923"/>
      <c r="E11" s="362"/>
      <c r="F11" s="362"/>
      <c r="G11" s="362"/>
      <c r="H11" s="362"/>
      <c r="I11" s="362"/>
      <c r="J11" s="362"/>
      <c r="K11" s="362"/>
      <c r="L11" s="362"/>
      <c r="M11" s="362"/>
      <c r="N11" s="920"/>
      <c r="O11" s="920"/>
      <c r="P11" s="362"/>
      <c r="Q11" s="362"/>
      <c r="R11" s="380"/>
      <c r="S11" s="380"/>
      <c r="T11" s="380"/>
      <c r="U11" s="380"/>
      <c r="V11" s="380"/>
      <c r="W11" s="380"/>
      <c r="X11" s="380"/>
      <c r="Y11" s="380"/>
      <c r="Z11" s="362"/>
      <c r="AA11" s="380"/>
      <c r="AB11" s="380"/>
      <c r="AC11" s="380"/>
      <c r="AD11" s="362"/>
      <c r="AE11" s="362"/>
      <c r="AF11" s="362"/>
      <c r="AG11" s="362"/>
      <c r="AH11" s="2426"/>
    </row>
    <row r="12" spans="1:35" ht="15.75">
      <c r="A12" s="5429" t="s">
        <v>60</v>
      </c>
      <c r="B12" s="4489"/>
      <c r="C12" s="4489"/>
      <c r="D12" s="923"/>
      <c r="E12" s="362"/>
      <c r="F12" s="362"/>
      <c r="G12" s="362"/>
      <c r="H12" s="362"/>
      <c r="I12" s="362"/>
      <c r="J12" s="362"/>
      <c r="K12" s="362"/>
      <c r="L12" s="362"/>
      <c r="M12" s="362"/>
      <c r="N12" s="920"/>
      <c r="O12" s="920"/>
      <c r="P12" s="362"/>
      <c r="Q12" s="362"/>
      <c r="R12" s="380"/>
      <c r="S12" s="380"/>
      <c r="T12" s="380"/>
      <c r="U12" s="380"/>
      <c r="V12" s="2403" t="s">
        <v>853</v>
      </c>
      <c r="W12" s="380"/>
      <c r="X12" s="380"/>
      <c r="Y12" s="380"/>
      <c r="Z12" s="380"/>
      <c r="AA12" s="380"/>
      <c r="AB12" s="380"/>
      <c r="AC12" s="380"/>
      <c r="AD12" s="362"/>
      <c r="AE12" s="362"/>
      <c r="AF12" s="362"/>
      <c r="AG12" s="362"/>
      <c r="AH12" s="2426"/>
    </row>
    <row r="13" spans="1:35" ht="15.75">
      <c r="A13" s="5287" t="s">
        <v>63</v>
      </c>
      <c r="B13" s="4313"/>
      <c r="C13" s="4487"/>
      <c r="D13" s="923"/>
      <c r="E13" s="362"/>
      <c r="F13" s="362"/>
      <c r="G13" s="362"/>
      <c r="H13" s="362"/>
      <c r="I13" s="362"/>
      <c r="J13" s="362"/>
      <c r="K13" s="362"/>
      <c r="L13" s="362"/>
      <c r="M13" s="362"/>
      <c r="N13" s="920"/>
      <c r="O13" s="920"/>
      <c r="P13" s="362"/>
      <c r="Q13" s="362"/>
      <c r="R13" s="380"/>
      <c r="S13" s="380"/>
      <c r="T13" s="2422"/>
      <c r="U13" s="380"/>
      <c r="V13" s="380"/>
      <c r="W13" s="380"/>
      <c r="X13" s="380"/>
      <c r="Y13" s="380"/>
      <c r="Z13" s="380"/>
      <c r="AA13" s="380"/>
      <c r="AB13" s="380"/>
      <c r="AC13" s="380"/>
      <c r="AD13" s="362"/>
      <c r="AE13" s="362"/>
      <c r="AF13" s="362"/>
      <c r="AG13" s="362"/>
      <c r="AH13" s="2426"/>
      <c r="AI13" s="924"/>
    </row>
    <row r="14" spans="1:35" ht="15.75">
      <c r="A14" s="5288" t="s">
        <v>54</v>
      </c>
      <c r="B14" s="4535"/>
      <c r="C14" s="4535"/>
      <c r="D14" s="923"/>
      <c r="E14" s="362"/>
      <c r="F14" s="362"/>
      <c r="G14" s="362"/>
      <c r="H14" s="362"/>
      <c r="I14" s="362"/>
      <c r="J14" s="362"/>
      <c r="K14" s="362"/>
      <c r="L14" s="362"/>
      <c r="M14" s="362"/>
      <c r="N14" s="920"/>
      <c r="O14" s="920"/>
      <c r="P14" s="362"/>
      <c r="Q14" s="362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62"/>
      <c r="AE14" s="362"/>
      <c r="AF14" s="362"/>
      <c r="AG14" s="362"/>
      <c r="AH14" s="2426"/>
    </row>
    <row r="15" spans="1:35" ht="15.75">
      <c r="A15" s="5033" t="s">
        <v>365</v>
      </c>
      <c r="B15" s="4360"/>
      <c r="C15" s="4360"/>
      <c r="D15" s="923"/>
      <c r="E15" s="362"/>
      <c r="F15" s="362"/>
      <c r="G15" s="362"/>
      <c r="H15" s="362"/>
      <c r="I15" s="362"/>
      <c r="J15" s="362"/>
      <c r="K15" s="362"/>
      <c r="L15" s="362"/>
      <c r="M15" s="362"/>
      <c r="N15" s="920"/>
      <c r="O15" s="920"/>
      <c r="P15" s="362"/>
      <c r="Q15" s="362"/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62"/>
      <c r="AE15" s="362"/>
      <c r="AF15" s="362"/>
      <c r="AG15" s="362"/>
      <c r="AH15" s="2426"/>
    </row>
    <row r="16" spans="1:35" ht="15.75">
      <c r="A16" s="5041" t="s">
        <v>705</v>
      </c>
      <c r="B16" s="4763"/>
      <c r="C16" s="4763"/>
      <c r="D16" s="923"/>
      <c r="E16" s="362"/>
      <c r="F16" s="362"/>
      <c r="G16" s="362"/>
      <c r="H16" s="362"/>
      <c r="I16" s="362"/>
      <c r="J16" s="362"/>
      <c r="K16" s="362"/>
      <c r="L16" s="362"/>
      <c r="M16" s="362"/>
      <c r="N16" s="920"/>
      <c r="O16" s="920"/>
      <c r="P16" s="362"/>
      <c r="Q16" s="362"/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62"/>
      <c r="AE16" s="362"/>
      <c r="AF16" s="362"/>
      <c r="AG16" s="905"/>
      <c r="AH16" s="2424"/>
    </row>
    <row r="17" spans="1:34" ht="15.75">
      <c r="A17" s="4361" t="s">
        <v>366</v>
      </c>
      <c r="B17" s="4361"/>
      <c r="C17" s="4361"/>
      <c r="D17" s="923"/>
      <c r="E17" s="362"/>
      <c r="F17" s="362"/>
      <c r="G17" s="362"/>
      <c r="H17" s="362"/>
      <c r="I17" s="362"/>
      <c r="J17" s="362"/>
      <c r="K17" s="362"/>
      <c r="L17" s="362"/>
      <c r="M17" s="362"/>
      <c r="N17" s="920"/>
      <c r="O17" s="920"/>
      <c r="P17" s="362"/>
      <c r="Q17" s="362"/>
      <c r="R17" s="380"/>
      <c r="S17" s="380"/>
      <c r="T17" s="380"/>
      <c r="U17" s="380"/>
      <c r="V17" s="380"/>
      <c r="W17" s="2382" t="s">
        <v>854</v>
      </c>
      <c r="X17" s="380"/>
      <c r="Y17" s="380"/>
      <c r="Z17" s="380"/>
      <c r="AA17" s="380"/>
      <c r="AB17" s="380"/>
      <c r="AC17" s="380"/>
      <c r="AD17" s="362"/>
      <c r="AE17" s="362"/>
      <c r="AF17" s="362"/>
      <c r="AG17" s="362"/>
      <c r="AH17" s="2426"/>
    </row>
    <row r="18" spans="1:34" ht="15.75">
      <c r="A18" s="5387" t="s">
        <v>411</v>
      </c>
      <c r="B18" s="4534"/>
      <c r="C18" s="4534"/>
      <c r="D18" s="923"/>
      <c r="E18" s="362"/>
      <c r="F18" s="362"/>
      <c r="G18" s="362"/>
      <c r="H18" s="362"/>
      <c r="I18" s="362"/>
      <c r="J18" s="362"/>
      <c r="K18" s="362"/>
      <c r="L18" s="362"/>
      <c r="M18" s="362"/>
      <c r="N18" s="920"/>
      <c r="O18" s="920"/>
      <c r="P18" s="362"/>
      <c r="Q18" s="362"/>
      <c r="R18" s="380"/>
      <c r="S18" s="380"/>
      <c r="T18" s="380"/>
      <c r="U18" s="380"/>
      <c r="V18" s="2423"/>
      <c r="W18" s="380"/>
      <c r="X18" s="380"/>
      <c r="Y18" s="380"/>
      <c r="Z18" s="380"/>
      <c r="AA18" s="380"/>
      <c r="AB18" s="380"/>
      <c r="AC18" s="380"/>
      <c r="AD18" s="362"/>
      <c r="AE18" s="362"/>
      <c r="AF18" s="362"/>
      <c r="AG18" s="362"/>
      <c r="AH18" s="2426"/>
    </row>
    <row r="19" spans="1:34">
      <c r="A19" s="4405" t="s">
        <v>540</v>
      </c>
      <c r="B19" s="4529"/>
      <c r="C19" s="4530"/>
      <c r="D19" s="923"/>
      <c r="E19" s="362"/>
      <c r="F19" s="362"/>
      <c r="G19" s="362"/>
      <c r="H19" s="362"/>
      <c r="I19" s="362"/>
      <c r="J19" s="362"/>
      <c r="K19" s="362"/>
      <c r="L19" s="362"/>
      <c r="M19" s="537"/>
      <c r="N19" s="537"/>
      <c r="O19" s="362"/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/>
      <c r="AB19" s="362"/>
      <c r="AC19" s="362"/>
      <c r="AD19" s="362"/>
      <c r="AE19" s="362"/>
      <c r="AF19" s="362"/>
      <c r="AG19" s="362"/>
      <c r="AH19" s="1455"/>
    </row>
    <row r="20" spans="1:34">
      <c r="A20" s="4399" t="s">
        <v>541</v>
      </c>
      <c r="B20" s="4316"/>
      <c r="C20" s="4531"/>
      <c r="D20" s="923"/>
      <c r="E20" s="362"/>
      <c r="F20" s="362"/>
      <c r="G20" s="362"/>
      <c r="H20" s="362"/>
      <c r="I20" s="362"/>
      <c r="J20" s="362"/>
      <c r="K20" s="362"/>
      <c r="L20" s="362"/>
      <c r="M20" s="537"/>
      <c r="N20" s="537"/>
      <c r="O20" s="362"/>
      <c r="P20" s="362"/>
      <c r="Q20" s="362"/>
      <c r="R20" s="363"/>
      <c r="S20" s="363"/>
      <c r="T20" s="363"/>
      <c r="U20" s="363"/>
      <c r="V20" s="363"/>
      <c r="W20" s="363"/>
      <c r="X20" s="363"/>
      <c r="Y20" s="363"/>
      <c r="Z20" s="363"/>
      <c r="AA20" s="363"/>
      <c r="AB20" s="363"/>
      <c r="AC20" s="362"/>
      <c r="AD20" s="362"/>
      <c r="AE20" s="362"/>
      <c r="AF20" s="362"/>
      <c r="AG20" s="2"/>
      <c r="AH20" s="2426"/>
    </row>
    <row r="21" spans="1:34">
      <c r="A21" s="5402" t="s">
        <v>779</v>
      </c>
      <c r="B21" s="4725"/>
      <c r="C21" s="4725"/>
      <c r="D21" s="923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/>
      <c r="AC21" s="362"/>
      <c r="AD21" s="362"/>
      <c r="AE21" s="362"/>
      <c r="AF21" s="362"/>
      <c r="AG21" s="2"/>
      <c r="AH21" s="2427"/>
    </row>
    <row r="22" spans="1:34">
      <c r="A22" s="4828" t="s">
        <v>64</v>
      </c>
      <c r="B22" s="4574"/>
      <c r="C22" s="4767"/>
      <c r="D22" s="1479"/>
      <c r="E22" s="824"/>
      <c r="F22" s="824"/>
      <c r="G22" s="824"/>
      <c r="H22" s="824"/>
      <c r="I22" s="824"/>
      <c r="J22" s="824"/>
      <c r="K22" s="824"/>
      <c r="L22" s="824"/>
      <c r="M22" s="537"/>
      <c r="N22" s="537"/>
      <c r="O22" s="824"/>
      <c r="P22" s="824"/>
      <c r="Q22" s="824"/>
      <c r="R22" s="824"/>
      <c r="S22" s="824"/>
      <c r="T22" s="824"/>
      <c r="U22" s="824"/>
      <c r="V22" s="824"/>
      <c r="W22" s="824"/>
      <c r="X22" s="1364"/>
      <c r="Y22" s="1364"/>
      <c r="Z22" s="1364"/>
      <c r="AA22" s="1364"/>
      <c r="AB22" s="1364"/>
      <c r="AC22" s="1364"/>
      <c r="AD22" s="1364"/>
      <c r="AE22" s="1364"/>
      <c r="AF22" s="824"/>
      <c r="AG22" s="2"/>
      <c r="AH22" s="2428"/>
    </row>
    <row r="23" spans="1:34" ht="15.75" customHeight="1">
      <c r="A23" s="2010" t="s">
        <v>66</v>
      </c>
      <c r="B23" s="2011" t="s">
        <v>67</v>
      </c>
      <c r="C23" s="2513" t="s">
        <v>74</v>
      </c>
      <c r="D23" s="934"/>
      <c r="E23" s="778"/>
      <c r="F23" s="778"/>
      <c r="G23" s="778"/>
      <c r="H23" s="778"/>
      <c r="I23" s="778"/>
      <c r="J23" s="778"/>
      <c r="K23" s="778"/>
      <c r="L23" s="778"/>
      <c r="M23" s="793"/>
      <c r="N23" s="778"/>
      <c r="O23" s="778"/>
      <c r="P23" s="778"/>
      <c r="Q23" s="778"/>
      <c r="R23" s="778"/>
      <c r="S23" s="778"/>
      <c r="T23" s="778"/>
      <c r="U23" s="778"/>
      <c r="V23" s="778"/>
      <c r="W23" s="2382" t="s">
        <v>854</v>
      </c>
      <c r="X23" s="2535"/>
      <c r="Y23" s="2535"/>
      <c r="Z23" s="5587" t="s">
        <v>855</v>
      </c>
      <c r="AA23" s="5588"/>
      <c r="AB23" s="5588"/>
      <c r="AC23" s="5588"/>
      <c r="AD23" s="5588"/>
      <c r="AE23" s="5588"/>
      <c r="AF23" s="5588"/>
      <c r="AG23" s="5589"/>
      <c r="AH23" s="1333"/>
    </row>
    <row r="24" spans="1:34" ht="15.75" customHeight="1">
      <c r="A24" s="2006" t="s">
        <v>73</v>
      </c>
      <c r="B24" s="2445" t="s">
        <v>67</v>
      </c>
      <c r="C24" s="2514" t="s">
        <v>458</v>
      </c>
      <c r="D24" s="935"/>
      <c r="E24" s="779"/>
      <c r="F24" s="779"/>
      <c r="G24" s="779"/>
      <c r="H24" s="779"/>
      <c r="I24" s="779"/>
      <c r="J24" s="779"/>
      <c r="K24" s="779" t="s">
        <v>324</v>
      </c>
      <c r="L24" s="779"/>
      <c r="M24" s="779"/>
      <c r="N24" s="283"/>
      <c r="O24" s="283"/>
      <c r="P24" s="283"/>
      <c r="Q24" s="283"/>
      <c r="R24" s="779"/>
      <c r="S24" s="779"/>
      <c r="T24" s="779"/>
      <c r="U24" s="779"/>
      <c r="V24" s="779"/>
      <c r="W24" s="779"/>
      <c r="X24" s="778"/>
      <c r="Y24" s="778"/>
      <c r="Z24" s="778"/>
      <c r="AA24" s="778"/>
      <c r="AB24" s="778"/>
      <c r="AC24" s="778"/>
      <c r="AD24" s="778"/>
      <c r="AE24" s="778"/>
      <c r="AF24" s="779"/>
      <c r="AG24" s="779"/>
      <c r="AH24" s="804"/>
    </row>
    <row r="25" spans="1:34" s="1704" customFormat="1" ht="15.75" customHeight="1">
      <c r="A25" s="2009" t="s">
        <v>599</v>
      </c>
      <c r="B25" s="2446" t="s">
        <v>543</v>
      </c>
      <c r="C25" s="2515" t="s">
        <v>544</v>
      </c>
      <c r="D25" s="1645"/>
      <c r="E25" s="1646"/>
      <c r="F25" s="1646"/>
      <c r="G25" s="1646"/>
      <c r="H25" s="1646"/>
      <c r="I25" s="3591" t="s">
        <v>856</v>
      </c>
      <c r="J25" s="1646"/>
      <c r="K25" s="1646"/>
      <c r="L25" s="1646"/>
      <c r="M25" s="1646"/>
      <c r="N25" s="1646"/>
      <c r="O25" s="1646"/>
      <c r="P25" s="1646"/>
      <c r="Q25" s="1646"/>
      <c r="R25" s="1646"/>
      <c r="S25" s="1646"/>
      <c r="T25" s="1646"/>
      <c r="U25" s="1646"/>
      <c r="V25" s="1646"/>
      <c r="W25" s="1646"/>
      <c r="X25" s="1646"/>
      <c r="Y25" s="1646"/>
      <c r="Z25" s="1646"/>
      <c r="AA25" s="1646"/>
      <c r="AB25" s="1646"/>
      <c r="AC25" s="1646"/>
      <c r="AD25" s="1646"/>
      <c r="AE25" s="1646"/>
      <c r="AF25" s="1646"/>
      <c r="AG25" s="321"/>
      <c r="AH25" s="322"/>
    </row>
    <row r="26" spans="1:34">
      <c r="A26" s="2007" t="s">
        <v>84</v>
      </c>
      <c r="B26" s="2008" t="s">
        <v>85</v>
      </c>
      <c r="C26" s="2516" t="s">
        <v>86</v>
      </c>
      <c r="D26" s="5584" t="s">
        <v>857</v>
      </c>
      <c r="E26" s="5585"/>
      <c r="F26" s="5585"/>
      <c r="G26" s="5586"/>
      <c r="H26" s="785"/>
      <c r="I26" s="785"/>
      <c r="J26" s="785"/>
      <c r="K26" s="785"/>
      <c r="L26" s="785"/>
      <c r="M26" s="785"/>
      <c r="N26" s="2439"/>
      <c r="O26" s="785"/>
      <c r="P26" s="785"/>
      <c r="Q26" s="785"/>
      <c r="R26" s="785"/>
      <c r="S26" s="785"/>
      <c r="T26" s="785"/>
      <c r="U26" s="785"/>
      <c r="V26" s="785"/>
      <c r="W26" s="2439"/>
      <c r="X26" s="2439"/>
      <c r="Y26" s="785"/>
      <c r="Z26" s="785"/>
      <c r="AA26" s="2439" t="s">
        <v>720</v>
      </c>
      <c r="AB26" s="785"/>
      <c r="AC26" s="785"/>
      <c r="AD26" s="785"/>
      <c r="AE26" s="785"/>
      <c r="AF26" s="785"/>
      <c r="AG26" s="785"/>
      <c r="AH26" s="2506" t="s">
        <v>720</v>
      </c>
    </row>
    <row r="27" spans="1:34" s="283" customFormat="1" ht="15.75" customHeight="1">
      <c r="A27" s="5523" t="s">
        <v>92</v>
      </c>
      <c r="B27" s="2410" t="s">
        <v>95</v>
      </c>
      <c r="C27" s="2517" t="s">
        <v>96</v>
      </c>
      <c r="D27" s="2345"/>
      <c r="E27" s="3702"/>
      <c r="F27" s="2432" t="s">
        <v>720</v>
      </c>
      <c r="G27" s="3702"/>
      <c r="H27" s="780"/>
      <c r="I27" s="779"/>
      <c r="J27" s="779"/>
      <c r="K27" s="779" t="s">
        <v>324</v>
      </c>
      <c r="L27" s="779"/>
      <c r="M27" s="937"/>
      <c r="N27" s="937"/>
      <c r="O27" s="937"/>
      <c r="P27" s="937"/>
      <c r="Q27" s="937"/>
      <c r="R27" s="2433" t="s">
        <v>720</v>
      </c>
      <c r="S27" s="937"/>
      <c r="T27" s="937"/>
      <c r="U27" s="937"/>
      <c r="V27" s="937"/>
      <c r="W27" s="2382" t="s">
        <v>854</v>
      </c>
      <c r="X27" s="937"/>
      <c r="Y27" s="2433" t="s">
        <v>720</v>
      </c>
      <c r="Z27" s="937"/>
      <c r="AA27" s="937"/>
      <c r="AB27" s="937"/>
      <c r="AC27" s="937"/>
      <c r="AD27" s="937"/>
      <c r="AE27" s="937"/>
      <c r="AF27" s="937"/>
      <c r="AG27" s="937"/>
      <c r="AH27" s="1333"/>
    </row>
    <row r="28" spans="1:34" s="283" customFormat="1" ht="15.75" customHeight="1">
      <c r="A28" s="5500"/>
      <c r="B28" s="2416" t="s">
        <v>326</v>
      </c>
      <c r="C28" s="2518" t="s">
        <v>327</v>
      </c>
      <c r="D28" s="934"/>
      <c r="E28" s="778"/>
      <c r="F28" s="778"/>
      <c r="G28" s="778"/>
      <c r="H28" s="779"/>
      <c r="I28" s="779"/>
      <c r="J28" s="779"/>
      <c r="K28" s="2432" t="s">
        <v>720</v>
      </c>
      <c r="L28" s="779"/>
      <c r="M28" s="779"/>
      <c r="N28" s="779"/>
      <c r="O28" s="779"/>
      <c r="P28" s="779"/>
      <c r="Q28" s="779"/>
      <c r="R28" s="779"/>
      <c r="S28" s="779"/>
      <c r="T28" s="779"/>
      <c r="U28" s="2432" t="s">
        <v>720</v>
      </c>
      <c r="V28" s="779"/>
      <c r="W28" s="2432" t="s">
        <v>720</v>
      </c>
      <c r="X28" s="779"/>
      <c r="Y28" s="779"/>
      <c r="Z28" s="779"/>
      <c r="AA28" s="779"/>
      <c r="AB28" s="779"/>
      <c r="AC28" s="2432"/>
      <c r="AD28" s="779"/>
      <c r="AE28" s="2434" t="s">
        <v>722</v>
      </c>
      <c r="AF28" s="779"/>
      <c r="AG28" s="779"/>
      <c r="AH28" s="804"/>
    </row>
    <row r="29" spans="1:34" s="283" customFormat="1" ht="15.75" customHeight="1">
      <c r="A29" s="5524"/>
      <c r="B29" s="2412" t="s">
        <v>606</v>
      </c>
      <c r="C29" s="2519" t="s">
        <v>98</v>
      </c>
      <c r="D29" s="938"/>
      <c r="E29" s="780"/>
      <c r="F29" s="780"/>
      <c r="G29" s="780"/>
      <c r="H29" s="780"/>
      <c r="I29" s="780"/>
      <c r="J29" s="780"/>
      <c r="K29" s="780"/>
      <c r="L29" s="780"/>
      <c r="M29" s="780"/>
      <c r="N29" s="779"/>
      <c r="O29" s="779"/>
      <c r="P29" s="779"/>
      <c r="Q29" s="2434" t="s">
        <v>722</v>
      </c>
      <c r="R29" s="779"/>
      <c r="S29" s="779"/>
      <c r="T29" s="779"/>
      <c r="U29" s="779"/>
      <c r="V29" s="779"/>
      <c r="X29" s="780"/>
      <c r="Y29" s="780"/>
      <c r="Z29" s="780"/>
      <c r="AA29" s="780"/>
      <c r="AB29" s="2434" t="s">
        <v>720</v>
      </c>
      <c r="AC29" s="780"/>
      <c r="AD29" s="780"/>
      <c r="AE29" s="780"/>
      <c r="AF29" s="780"/>
      <c r="AG29" s="2434" t="s">
        <v>720</v>
      </c>
      <c r="AH29" s="2444"/>
    </row>
    <row r="30" spans="1:34" ht="15.75" customHeight="1">
      <c r="A30" s="5525" t="s">
        <v>99</v>
      </c>
      <c r="B30" s="1948" t="s">
        <v>100</v>
      </c>
      <c r="C30" s="1942" t="s">
        <v>101</v>
      </c>
      <c r="D30" s="1499"/>
      <c r="E30" s="937"/>
      <c r="F30" s="937"/>
      <c r="G30" s="937"/>
      <c r="H30" s="937"/>
      <c r="I30" s="937"/>
      <c r="J30" s="937"/>
      <c r="K30" s="937"/>
      <c r="L30" s="937"/>
      <c r="M30" s="937"/>
      <c r="N30" s="1467"/>
      <c r="O30" s="1467"/>
      <c r="P30" s="1467"/>
      <c r="Q30" s="1467"/>
      <c r="R30" s="2454"/>
      <c r="S30" s="1467"/>
      <c r="T30" s="1467"/>
      <c r="U30" s="1467"/>
      <c r="V30" s="1467"/>
      <c r="W30" s="1467"/>
      <c r="X30" s="1467"/>
      <c r="Y30" s="2454"/>
      <c r="Z30" s="1467"/>
      <c r="AA30" s="1467"/>
      <c r="AB30" s="1467"/>
      <c r="AC30" s="1467"/>
      <c r="AD30" s="1467"/>
      <c r="AE30" s="1467"/>
      <c r="AF30" s="1467"/>
      <c r="AG30" s="1467"/>
      <c r="AH30" s="2455"/>
    </row>
    <row r="31" spans="1:34" ht="15.75" customHeight="1">
      <c r="A31" s="5454"/>
      <c r="B31" s="2411" t="s">
        <v>77</v>
      </c>
      <c r="C31" s="2520" t="s">
        <v>245</v>
      </c>
      <c r="D31" s="935"/>
      <c r="E31" s="779"/>
      <c r="F31" s="779"/>
      <c r="G31" s="2432"/>
      <c r="H31" s="779"/>
      <c r="I31" s="779"/>
      <c r="J31" s="4463" t="s">
        <v>858</v>
      </c>
      <c r="K31" s="4413"/>
      <c r="L31" s="4413"/>
      <c r="M31" s="4413"/>
      <c r="N31" s="4413"/>
      <c r="O31" s="4414"/>
      <c r="P31" s="361"/>
      <c r="Q31" s="361"/>
      <c r="R31" s="2456" t="s">
        <v>722</v>
      </c>
      <c r="S31" s="361"/>
      <c r="T31" s="361"/>
      <c r="U31" s="361"/>
      <c r="V31" s="361"/>
      <c r="W31" s="361"/>
      <c r="X31" s="2456" t="s">
        <v>720</v>
      </c>
      <c r="Y31" s="361"/>
      <c r="Z31" s="361"/>
      <c r="AA31" s="361"/>
      <c r="AB31" s="361"/>
      <c r="AC31" s="361"/>
      <c r="AD31" s="361"/>
      <c r="AE31" s="361"/>
      <c r="AF31" s="361"/>
      <c r="AG31" s="361"/>
      <c r="AH31" s="1065"/>
    </row>
    <row r="32" spans="1:34" ht="15.75" customHeight="1">
      <c r="A32" s="5454"/>
      <c r="B32" s="2460" t="s">
        <v>95</v>
      </c>
      <c r="C32" s="2521" t="s">
        <v>726</v>
      </c>
      <c r="D32" s="935"/>
      <c r="E32" s="779"/>
      <c r="F32" s="779"/>
      <c r="G32" s="779"/>
      <c r="H32" s="779"/>
      <c r="I32" s="779"/>
      <c r="J32" s="779"/>
      <c r="K32" s="779"/>
      <c r="L32" s="779"/>
      <c r="M32" s="779"/>
      <c r="N32" s="779"/>
      <c r="O32" s="779"/>
      <c r="P32" s="779"/>
      <c r="Q32" s="779"/>
      <c r="R32" s="779"/>
      <c r="S32" s="779"/>
      <c r="T32" s="779"/>
      <c r="U32" s="779"/>
      <c r="V32" s="779"/>
      <c r="W32" s="779"/>
      <c r="X32" s="779"/>
      <c r="Y32" s="779"/>
      <c r="Z32" s="779"/>
      <c r="AA32" s="779"/>
      <c r="AB32" s="779"/>
      <c r="AC32" s="779"/>
      <c r="AD32" s="779"/>
      <c r="AE32" s="779"/>
      <c r="AF32" s="779"/>
      <c r="AG32" s="779"/>
      <c r="AH32" s="804"/>
    </row>
    <row r="33" spans="1:34" ht="15.75" customHeight="1">
      <c r="A33" s="5454"/>
      <c r="B33" s="2411" t="s">
        <v>95</v>
      </c>
      <c r="C33" s="2520" t="s">
        <v>548</v>
      </c>
      <c r="D33" s="935"/>
      <c r="E33" s="779"/>
      <c r="F33" s="779"/>
      <c r="G33" s="2432" t="s">
        <v>720</v>
      </c>
      <c r="H33" s="779"/>
      <c r="I33" s="779"/>
      <c r="J33" s="779"/>
      <c r="K33" s="779" t="s">
        <v>324</v>
      </c>
      <c r="L33" s="779"/>
      <c r="M33" s="779"/>
      <c r="N33" s="5604" t="s">
        <v>859</v>
      </c>
      <c r="O33" s="5605"/>
      <c r="P33" s="5605"/>
      <c r="Q33" s="5605"/>
      <c r="R33" s="5605"/>
      <c r="S33" s="5605"/>
      <c r="T33" s="5605"/>
      <c r="U33" s="5605"/>
      <c r="V33" s="5605"/>
      <c r="W33" s="5605"/>
      <c r="X33" s="5605"/>
      <c r="Y33" s="5605"/>
      <c r="Z33" s="5605"/>
      <c r="AA33" s="5605"/>
      <c r="AB33" s="5605"/>
      <c r="AC33" s="5605"/>
      <c r="AD33" s="5605"/>
      <c r="AE33" s="5605"/>
      <c r="AF33" s="5605"/>
      <c r="AG33" s="5605"/>
      <c r="AH33" s="5606"/>
    </row>
    <row r="34" spans="1:34" ht="15.75" customHeight="1">
      <c r="A34" s="5454"/>
      <c r="B34" s="1945" t="s">
        <v>106</v>
      </c>
      <c r="C34" s="1938" t="s">
        <v>107</v>
      </c>
      <c r="D34" s="935"/>
      <c r="E34" s="779"/>
      <c r="F34" s="779"/>
      <c r="G34" s="779"/>
      <c r="H34" s="2432"/>
      <c r="I34" s="779"/>
      <c r="J34" s="2432" t="s">
        <v>720</v>
      </c>
      <c r="K34" s="779"/>
      <c r="L34" s="779"/>
      <c r="M34" s="779"/>
      <c r="N34" s="2434"/>
      <c r="O34" s="779"/>
      <c r="P34" s="779"/>
      <c r="Q34" s="779"/>
      <c r="R34" s="779"/>
      <c r="S34" s="779"/>
      <c r="T34" s="779"/>
      <c r="U34" s="779"/>
      <c r="V34" s="2432" t="s">
        <v>720</v>
      </c>
      <c r="W34" s="2382" t="s">
        <v>854</v>
      </c>
      <c r="X34" s="779"/>
      <c r="Y34" s="779"/>
      <c r="Z34" s="779"/>
      <c r="AA34" s="779"/>
      <c r="AB34" s="779"/>
      <c r="AC34" s="779"/>
      <c r="AD34" s="2432" t="s">
        <v>720</v>
      </c>
      <c r="AE34" s="779"/>
      <c r="AF34" s="2432"/>
      <c r="AG34" s="779"/>
      <c r="AH34" s="804"/>
    </row>
    <row r="35" spans="1:34" ht="15.75" customHeight="1">
      <c r="A35" s="5454"/>
      <c r="B35" s="1946" t="s">
        <v>108</v>
      </c>
      <c r="C35" s="2522" t="s">
        <v>109</v>
      </c>
      <c r="D35" s="938"/>
      <c r="E35" s="780"/>
      <c r="F35" s="780"/>
      <c r="G35" s="780"/>
      <c r="H35" s="2434" t="s">
        <v>722</v>
      </c>
      <c r="I35" s="780"/>
      <c r="J35" s="780"/>
      <c r="K35" s="780"/>
      <c r="L35" s="780"/>
      <c r="M35" s="780"/>
      <c r="N35" s="2434" t="s">
        <v>722</v>
      </c>
      <c r="O35" s="780"/>
      <c r="P35" s="780"/>
      <c r="Q35" s="780"/>
      <c r="R35" s="780"/>
      <c r="S35" s="780"/>
      <c r="T35" s="2434" t="s">
        <v>722</v>
      </c>
      <c r="U35" s="780"/>
      <c r="V35" s="780"/>
      <c r="W35" s="5616" t="s">
        <v>860</v>
      </c>
      <c r="X35" s="5617"/>
      <c r="Y35" s="5617"/>
      <c r="Z35" s="5617"/>
      <c r="AA35" s="5617"/>
      <c r="AB35" s="5617"/>
      <c r="AC35" s="5617"/>
      <c r="AD35" s="5617"/>
      <c r="AE35" s="5617"/>
      <c r="AF35" s="5617"/>
      <c r="AG35" s="5617"/>
      <c r="AH35" s="5618"/>
    </row>
    <row r="36" spans="1:34">
      <c r="A36" s="5030" t="s">
        <v>110</v>
      </c>
      <c r="B36" s="2408" t="s">
        <v>283</v>
      </c>
      <c r="C36" s="2409" t="s">
        <v>201</v>
      </c>
      <c r="D36" s="1499"/>
      <c r="E36" s="937"/>
      <c r="F36" s="937"/>
      <c r="G36" s="2433"/>
      <c r="H36" s="2433" t="s">
        <v>720</v>
      </c>
      <c r="I36" s="937"/>
      <c r="J36" s="3607" t="s">
        <v>112</v>
      </c>
      <c r="K36" s="937"/>
      <c r="L36" s="937"/>
      <c r="M36" s="937"/>
      <c r="N36" s="937"/>
      <c r="O36" s="3607" t="s">
        <v>112</v>
      </c>
      <c r="P36" s="937"/>
      <c r="Q36" s="937"/>
      <c r="R36" s="937"/>
      <c r="S36" s="937"/>
      <c r="T36" s="937"/>
      <c r="U36" s="937"/>
      <c r="V36" s="937"/>
      <c r="W36" s="937"/>
      <c r="X36" s="937"/>
      <c r="Y36" s="2433"/>
      <c r="Z36" s="4436" t="s">
        <v>112</v>
      </c>
      <c r="AA36" s="4502"/>
      <c r="AB36" s="4502"/>
      <c r="AC36" s="4503"/>
      <c r="AD36" s="937"/>
      <c r="AE36" s="2433" t="s">
        <v>720</v>
      </c>
      <c r="AF36" s="1467"/>
      <c r="AG36" s="1467"/>
      <c r="AH36" s="2455"/>
    </row>
    <row r="37" spans="1:34">
      <c r="A37" s="5030"/>
      <c r="B37" s="1994" t="s">
        <v>283</v>
      </c>
      <c r="C37" s="2242" t="s">
        <v>610</v>
      </c>
      <c r="D37" s="935"/>
      <c r="E37" s="779"/>
      <c r="F37" s="779"/>
      <c r="G37" s="779"/>
      <c r="H37" s="2434" t="s">
        <v>717</v>
      </c>
      <c r="I37" s="779"/>
      <c r="J37" s="779"/>
      <c r="K37" s="779"/>
      <c r="L37" s="779"/>
      <c r="M37" s="779"/>
      <c r="N37" s="779"/>
      <c r="O37" s="779"/>
      <c r="P37" s="779"/>
      <c r="Q37" s="779"/>
      <c r="R37" s="2434" t="s">
        <v>717</v>
      </c>
      <c r="S37" s="779"/>
      <c r="T37" s="779"/>
      <c r="U37" s="779"/>
      <c r="V37" s="779"/>
      <c r="W37" s="779"/>
      <c r="X37" s="779"/>
      <c r="Y37" s="779"/>
      <c r="Z37" s="779"/>
      <c r="AA37" s="3684" t="s">
        <v>251</v>
      </c>
      <c r="AB37" s="5607" t="s">
        <v>861</v>
      </c>
      <c r="AC37" s="5608"/>
      <c r="AD37" s="5608"/>
      <c r="AE37" s="3684" t="s">
        <v>251</v>
      </c>
      <c r="AF37" s="1339"/>
      <c r="AG37" s="1339"/>
      <c r="AH37" s="2507"/>
    </row>
    <row r="38" spans="1:34">
      <c r="A38" s="5030"/>
      <c r="B38" s="1994" t="s">
        <v>95</v>
      </c>
      <c r="C38" s="2368" t="s">
        <v>249</v>
      </c>
      <c r="D38" s="935"/>
      <c r="E38" s="2432" t="s">
        <v>720</v>
      </c>
      <c r="F38" s="779"/>
      <c r="G38" s="779"/>
      <c r="H38" s="779"/>
      <c r="I38" s="779"/>
      <c r="J38" s="779"/>
      <c r="K38" s="779"/>
      <c r="L38" s="779"/>
      <c r="M38" s="779"/>
      <c r="N38" s="2434"/>
      <c r="O38" s="779"/>
      <c r="P38" s="779"/>
      <c r="Q38" s="779"/>
      <c r="R38" s="779"/>
      <c r="S38" s="779"/>
      <c r="T38" s="779"/>
      <c r="U38" s="779"/>
      <c r="V38" s="2434" t="s">
        <v>722</v>
      </c>
      <c r="W38" s="779"/>
      <c r="X38" s="779"/>
      <c r="Y38" s="779"/>
      <c r="Z38" s="3702"/>
      <c r="AA38" s="3684" t="s">
        <v>251</v>
      </c>
      <c r="AB38" s="2376"/>
      <c r="AC38" s="5620" t="s">
        <v>862</v>
      </c>
      <c r="AD38" s="5621"/>
      <c r="AE38" s="5622"/>
      <c r="AF38" s="5622"/>
      <c r="AG38" s="5622"/>
      <c r="AH38" s="5623"/>
    </row>
    <row r="39" spans="1:34">
      <c r="A39" s="5030"/>
      <c r="B39" s="1972" t="s">
        <v>113</v>
      </c>
      <c r="C39" s="1945" t="s">
        <v>116</v>
      </c>
      <c r="D39" s="935"/>
      <c r="E39" s="779"/>
      <c r="F39" s="779"/>
      <c r="G39" s="779"/>
      <c r="H39" s="779"/>
      <c r="I39" s="779"/>
      <c r="J39" s="779"/>
      <c r="K39" s="779"/>
      <c r="L39" s="2432" t="s">
        <v>720</v>
      </c>
      <c r="M39" s="780"/>
      <c r="N39" s="780"/>
      <c r="O39" s="780"/>
      <c r="P39" s="780"/>
      <c r="Q39" s="780"/>
      <c r="R39" s="780"/>
      <c r="S39" s="780"/>
      <c r="T39" s="780"/>
      <c r="U39" s="780"/>
      <c r="V39" s="2435"/>
      <c r="W39" s="2435"/>
      <c r="X39" s="2435" t="s">
        <v>722</v>
      </c>
      <c r="Y39" s="779"/>
      <c r="Z39" s="779"/>
      <c r="AA39" s="779"/>
      <c r="AB39" s="779"/>
      <c r="AC39" s="779"/>
      <c r="AD39" s="2434" t="s">
        <v>722</v>
      </c>
      <c r="AE39" s="2434"/>
      <c r="AF39" s="779"/>
      <c r="AG39" s="779"/>
      <c r="AH39" s="804"/>
    </row>
    <row r="40" spans="1:34">
      <c r="A40" s="5030"/>
      <c r="B40" s="1972" t="s">
        <v>118</v>
      </c>
      <c r="C40" s="1945" t="s">
        <v>119</v>
      </c>
      <c r="D40" s="935"/>
      <c r="E40" s="779"/>
      <c r="F40" s="779"/>
      <c r="G40" s="779"/>
      <c r="H40" s="779"/>
      <c r="I40" s="779"/>
      <c r="J40" s="779"/>
      <c r="K40" s="847"/>
      <c r="L40" s="5611" t="s">
        <v>797</v>
      </c>
      <c r="M40" s="5611"/>
      <c r="N40" s="5611"/>
      <c r="O40" s="5611"/>
      <c r="P40" s="5611"/>
      <c r="Q40" s="5611"/>
      <c r="R40" s="5611"/>
      <c r="S40" s="5612"/>
      <c r="T40" s="5601" t="s">
        <v>863</v>
      </c>
      <c r="U40" s="5602"/>
      <c r="V40" s="5603"/>
      <c r="W40" s="5612" t="s">
        <v>864</v>
      </c>
      <c r="X40" s="5613"/>
      <c r="Y40" s="5613"/>
      <c r="Z40" s="5613"/>
      <c r="AA40" s="5613"/>
      <c r="AB40" s="5613"/>
      <c r="AC40" s="5614"/>
      <c r="AD40" s="5614"/>
      <c r="AE40" s="5614"/>
      <c r="AF40" s="5614"/>
      <c r="AG40" s="5614"/>
      <c r="AH40" s="5615"/>
    </row>
    <row r="41" spans="1:34">
      <c r="A41" s="5030"/>
      <c r="B41" s="1972" t="s">
        <v>500</v>
      </c>
      <c r="C41" s="1945" t="s">
        <v>126</v>
      </c>
      <c r="D41" s="935"/>
      <c r="E41" s="779"/>
      <c r="F41" s="779"/>
      <c r="G41" s="779"/>
      <c r="H41" s="779"/>
      <c r="I41" s="779"/>
      <c r="J41" s="779"/>
      <c r="K41" s="779"/>
      <c r="L41" s="2437" t="s">
        <v>722</v>
      </c>
      <c r="M41" s="778"/>
      <c r="N41" s="785"/>
      <c r="O41" s="785"/>
      <c r="P41" s="785"/>
      <c r="Q41" s="785"/>
      <c r="R41" s="785"/>
      <c r="S41" s="785"/>
      <c r="T41" s="785"/>
      <c r="U41" s="2437" t="s">
        <v>722</v>
      </c>
      <c r="V41" s="785"/>
      <c r="W41" s="780"/>
      <c r="X41" s="783"/>
      <c r="Y41" s="2375"/>
      <c r="Z41" s="3702"/>
      <c r="AA41" s="283"/>
      <c r="AB41" s="4333" t="s">
        <v>112</v>
      </c>
      <c r="AC41" s="4411"/>
      <c r="AD41" s="4411"/>
      <c r="AE41" s="4411"/>
      <c r="AF41" s="2193"/>
      <c r="AG41" s="2468"/>
      <c r="AH41" s="2508"/>
    </row>
    <row r="42" spans="1:34">
      <c r="A42" s="5030"/>
      <c r="B42" s="1981" t="s">
        <v>120</v>
      </c>
      <c r="C42" s="1946" t="s">
        <v>121</v>
      </c>
      <c r="D42" s="938"/>
      <c r="E42" s="780"/>
      <c r="F42" s="780"/>
      <c r="G42" s="2435" t="s">
        <v>722</v>
      </c>
      <c r="H42" s="2435"/>
      <c r="I42" s="780"/>
      <c r="J42" s="780"/>
      <c r="K42" s="780"/>
      <c r="L42" s="2377"/>
      <c r="M42" s="783"/>
      <c r="N42" s="2287"/>
      <c r="O42" s="2287"/>
      <c r="P42" s="2287"/>
      <c r="Q42" s="2287"/>
      <c r="R42" s="2379"/>
      <c r="S42" s="2441" t="s">
        <v>720</v>
      </c>
      <c r="T42" s="2379"/>
      <c r="U42" s="2379"/>
      <c r="V42" s="2379"/>
      <c r="W42" s="2379"/>
      <c r="X42" s="2379"/>
      <c r="Y42" s="2380"/>
      <c r="Z42" s="3684" t="s">
        <v>251</v>
      </c>
      <c r="AA42" s="2381"/>
      <c r="AB42" s="5609" t="s">
        <v>865</v>
      </c>
      <c r="AC42" s="5610"/>
      <c r="AD42" s="5610"/>
      <c r="AE42" s="5610"/>
      <c r="AF42" s="5610"/>
      <c r="AG42" s="4853" t="s">
        <v>112</v>
      </c>
      <c r="AH42" s="5619"/>
    </row>
    <row r="43" spans="1:34">
      <c r="A43" s="5030"/>
      <c r="B43" s="2196" t="s">
        <v>122</v>
      </c>
      <c r="C43" s="1953" t="s">
        <v>123</v>
      </c>
      <c r="D43" s="2431" t="s">
        <v>722</v>
      </c>
      <c r="E43" s="2260"/>
      <c r="F43" s="2260"/>
      <c r="G43" s="2260"/>
      <c r="H43" s="2260"/>
      <c r="I43" s="2260"/>
      <c r="J43" s="2260"/>
      <c r="K43" s="2260"/>
      <c r="L43" s="2260"/>
      <c r="M43" s="2260"/>
      <c r="N43" s="2440" t="s">
        <v>720</v>
      </c>
      <c r="O43" s="2440"/>
      <c r="P43" s="2266"/>
      <c r="Q43" s="2378"/>
      <c r="R43" s="2193"/>
      <c r="S43" s="2193"/>
      <c r="T43" s="2193"/>
      <c r="U43" s="2193"/>
      <c r="V43" s="2193"/>
      <c r="W43" s="2193"/>
      <c r="X43" s="2193"/>
      <c r="Y43" s="2464"/>
      <c r="Z43" s="2432" t="s">
        <v>720</v>
      </c>
      <c r="AA43" s="2192"/>
      <c r="AB43" s="2462"/>
      <c r="AC43" s="2193"/>
      <c r="AD43" s="2193"/>
      <c r="AE43" s="2193"/>
      <c r="AF43" s="2193"/>
      <c r="AG43" s="2193"/>
      <c r="AH43" s="2509"/>
    </row>
    <row r="44" spans="1:34">
      <c r="A44" s="5030"/>
      <c r="B44" s="2419" t="s">
        <v>122</v>
      </c>
      <c r="C44" s="2420" t="s">
        <v>553</v>
      </c>
      <c r="D44" s="2364"/>
      <c r="E44" s="2265"/>
      <c r="F44" s="2265"/>
      <c r="G44" s="2442" t="s">
        <v>717</v>
      </c>
      <c r="H44" s="2265"/>
      <c r="I44" s="2265"/>
      <c r="J44" s="2265"/>
      <c r="K44" s="2265"/>
      <c r="L44" s="2265"/>
      <c r="M44" s="2265"/>
      <c r="N44" s="2265"/>
      <c r="O44" s="2440" t="s">
        <v>717</v>
      </c>
      <c r="P44" s="2266"/>
      <c r="Q44" s="2266"/>
      <c r="R44" s="778"/>
      <c r="S44" s="778"/>
      <c r="T44" s="778"/>
      <c r="U44" s="778"/>
      <c r="V44" s="778"/>
      <c r="W44" s="778"/>
      <c r="X44" s="778"/>
      <c r="Y44" s="778"/>
      <c r="Z44" s="2466"/>
      <c r="AA44" s="3684" t="s">
        <v>251</v>
      </c>
      <c r="AB44" s="2259"/>
      <c r="AC44" s="5598" t="s">
        <v>862</v>
      </c>
      <c r="AD44" s="5599"/>
      <c r="AE44" s="5599"/>
      <c r="AF44" s="5599"/>
      <c r="AG44" s="5600"/>
      <c r="AH44" s="2322" t="s">
        <v>251</v>
      </c>
    </row>
    <row r="45" spans="1:34">
      <c r="A45" s="5030"/>
      <c r="B45" s="2196" t="s">
        <v>124</v>
      </c>
      <c r="C45" s="1953" t="s">
        <v>125</v>
      </c>
      <c r="D45" s="934"/>
      <c r="E45" s="778"/>
      <c r="F45" s="778"/>
      <c r="G45" s="778"/>
      <c r="H45" s="778"/>
      <c r="I45" s="2437" t="s">
        <v>722</v>
      </c>
      <c r="J45" s="2437"/>
      <c r="K45" s="778"/>
      <c r="L45" s="778"/>
      <c r="M45" s="778"/>
      <c r="N45" s="778"/>
      <c r="O45" s="778"/>
      <c r="P45" s="778"/>
      <c r="Q45" s="778"/>
      <c r="R45" s="779"/>
      <c r="S45" s="2437" t="s">
        <v>722</v>
      </c>
      <c r="T45" s="779"/>
      <c r="U45" s="779"/>
      <c r="V45" s="779"/>
      <c r="W45" s="779"/>
      <c r="X45" s="779"/>
      <c r="Y45" s="779"/>
      <c r="Z45" s="779"/>
      <c r="AA45" s="779"/>
      <c r="AB45" s="2437" t="s">
        <v>722</v>
      </c>
      <c r="AC45" s="779"/>
      <c r="AD45" s="779"/>
      <c r="AE45" s="779"/>
      <c r="AF45" s="779"/>
      <c r="AG45" s="779"/>
      <c r="AH45" s="804"/>
    </row>
    <row r="46" spans="1:34" ht="14.25" customHeight="1">
      <c r="A46" s="5030"/>
      <c r="B46" s="2419" t="s">
        <v>692</v>
      </c>
      <c r="C46" s="2420" t="s">
        <v>693</v>
      </c>
      <c r="D46" s="934"/>
      <c r="E46" s="778"/>
      <c r="F46" s="778"/>
      <c r="G46" s="778"/>
      <c r="H46" s="778"/>
      <c r="I46" s="778"/>
      <c r="J46" s="778"/>
      <c r="K46" s="778"/>
      <c r="L46" s="778"/>
      <c r="M46" s="778"/>
      <c r="N46" s="2437" t="s">
        <v>717</v>
      </c>
      <c r="O46" s="778"/>
      <c r="P46" s="778"/>
      <c r="Q46" s="778"/>
      <c r="R46" s="779"/>
      <c r="S46" s="779"/>
      <c r="T46" s="779"/>
      <c r="U46" s="779"/>
      <c r="V46" s="779"/>
      <c r="W46" s="779"/>
      <c r="X46" s="2437" t="s">
        <v>717</v>
      </c>
      <c r="Y46" s="5627" t="s">
        <v>112</v>
      </c>
      <c r="Z46" s="5628"/>
      <c r="AA46" s="5628"/>
      <c r="AB46" s="5628"/>
      <c r="AC46" s="5628"/>
      <c r="AD46" s="5628"/>
      <c r="AE46" s="5628"/>
      <c r="AF46" s="5628"/>
      <c r="AG46" s="5628"/>
      <c r="AH46" s="5629"/>
    </row>
    <row r="47" spans="1:34">
      <c r="A47" s="5030"/>
      <c r="B47" s="1977" t="s">
        <v>127</v>
      </c>
      <c r="C47" s="2242" t="s">
        <v>657</v>
      </c>
      <c r="D47" s="935"/>
      <c r="E47" s="779"/>
      <c r="F47" s="779"/>
      <c r="G47" s="779"/>
      <c r="H47" s="779"/>
      <c r="I47" s="779"/>
      <c r="J47" s="779"/>
      <c r="K47" s="2434" t="s">
        <v>717</v>
      </c>
      <c r="L47" s="779"/>
      <c r="M47" s="779"/>
      <c r="N47" s="779"/>
      <c r="O47" s="779"/>
      <c r="P47" s="779"/>
      <c r="Q47" s="779"/>
      <c r="R47" s="779"/>
      <c r="S47" s="779"/>
      <c r="T47" s="779"/>
      <c r="U47" s="779"/>
      <c r="V47" s="779"/>
      <c r="W47" s="779"/>
      <c r="X47" s="779"/>
      <c r="Y47" s="779"/>
      <c r="Z47" s="2465"/>
      <c r="AA47" s="3684" t="s">
        <v>251</v>
      </c>
      <c r="AB47" s="822"/>
      <c r="AC47" s="5598" t="s">
        <v>862</v>
      </c>
      <c r="AD47" s="5599"/>
      <c r="AE47" s="5599"/>
      <c r="AF47" s="5621"/>
      <c r="AG47" s="5621"/>
      <c r="AH47" s="5631"/>
    </row>
    <row r="48" spans="1:34">
      <c r="A48" s="5030"/>
      <c r="B48" s="2417" t="s">
        <v>554</v>
      </c>
      <c r="C48" s="2411" t="s">
        <v>555</v>
      </c>
      <c r="D48" s="2430" t="s">
        <v>717</v>
      </c>
      <c r="E48" s="779"/>
      <c r="F48" s="779"/>
      <c r="G48" s="779"/>
      <c r="H48" s="779"/>
      <c r="I48" s="779"/>
      <c r="J48" s="2434" t="s">
        <v>717</v>
      </c>
      <c r="K48" s="779"/>
      <c r="L48" s="779"/>
      <c r="M48" s="779"/>
      <c r="N48" s="779"/>
      <c r="O48" s="779"/>
      <c r="P48" s="779"/>
      <c r="Q48" s="779"/>
      <c r="R48" s="779"/>
      <c r="S48" s="779"/>
      <c r="T48" s="779"/>
      <c r="U48" s="2434" t="s">
        <v>717</v>
      </c>
      <c r="V48" s="779"/>
      <c r="W48" s="779"/>
      <c r="X48" s="779"/>
      <c r="Y48" s="2434" t="s">
        <v>717</v>
      </c>
      <c r="Z48" s="779"/>
      <c r="AA48" s="3684" t="s">
        <v>251</v>
      </c>
      <c r="AB48" s="5607" t="s">
        <v>861</v>
      </c>
      <c r="AC48" s="5608"/>
      <c r="AD48" s="5608"/>
      <c r="AE48" s="3657" t="s">
        <v>251</v>
      </c>
      <c r="AF48" s="2470"/>
      <c r="AG48" s="2470"/>
      <c r="AH48" s="2510"/>
    </row>
    <row r="49" spans="1:35">
      <c r="A49" s="5030"/>
      <c r="B49" s="2417" t="s">
        <v>129</v>
      </c>
      <c r="C49" s="2411" t="s">
        <v>474</v>
      </c>
      <c r="D49" s="4416" t="s">
        <v>325</v>
      </c>
      <c r="E49" s="4411"/>
      <c r="F49" s="4411"/>
      <c r="G49" s="4411"/>
      <c r="H49" s="4411"/>
      <c r="I49" s="4411"/>
      <c r="J49" s="4411"/>
      <c r="K49" s="4334"/>
      <c r="L49" s="779"/>
      <c r="M49" s="2434" t="s">
        <v>717</v>
      </c>
      <c r="N49" s="779"/>
      <c r="O49" s="779"/>
      <c r="P49" s="779"/>
      <c r="Q49" s="779"/>
      <c r="R49" s="779"/>
      <c r="S49" s="779"/>
      <c r="T49" s="2434" t="s">
        <v>717</v>
      </c>
      <c r="U49" s="779"/>
      <c r="V49" s="779"/>
      <c r="W49" s="779"/>
      <c r="X49" s="779"/>
      <c r="Y49" s="779"/>
      <c r="Z49" s="779"/>
      <c r="AA49" s="2434" t="s">
        <v>717</v>
      </c>
      <c r="AB49" s="779"/>
      <c r="AC49" s="779" t="s">
        <v>30</v>
      </c>
      <c r="AD49" s="779"/>
      <c r="AE49" s="779"/>
      <c r="AF49" s="778"/>
      <c r="AG49" s="778"/>
      <c r="AH49" s="805"/>
    </row>
    <row r="50" spans="1:35">
      <c r="A50" s="5030"/>
      <c r="B50" s="1972" t="s">
        <v>134</v>
      </c>
      <c r="C50" s="1945" t="s">
        <v>135</v>
      </c>
      <c r="D50" s="935"/>
      <c r="E50" s="779"/>
      <c r="F50" s="779"/>
      <c r="G50" s="779"/>
      <c r="H50" s="2434"/>
      <c r="I50" s="2434"/>
      <c r="J50" s="2434" t="s">
        <v>722</v>
      </c>
      <c r="K50" s="779"/>
      <c r="L50" s="779"/>
      <c r="M50" s="779"/>
      <c r="N50" s="779"/>
      <c r="O50" s="2434" t="s">
        <v>722</v>
      </c>
      <c r="P50" s="779"/>
      <c r="Q50" s="779"/>
      <c r="R50" s="5635" t="s">
        <v>591</v>
      </c>
      <c r="S50" s="5636"/>
      <c r="T50" s="5636"/>
      <c r="U50" s="5636"/>
      <c r="V50" s="5636"/>
      <c r="W50" s="5636"/>
      <c r="X50" s="5636"/>
      <c r="Y50" s="5636"/>
      <c r="Z50" s="5636"/>
      <c r="AA50" s="5636"/>
      <c r="AB50" s="5636"/>
      <c r="AC50" s="5636"/>
      <c r="AD50" s="5636"/>
      <c r="AE50" s="5636"/>
      <c r="AF50" s="5636"/>
      <c r="AG50" s="5636"/>
      <c r="AH50" s="5637"/>
    </row>
    <row r="51" spans="1:35">
      <c r="A51" s="5030"/>
      <c r="B51" s="2414" t="s">
        <v>333</v>
      </c>
      <c r="C51" s="2415" t="s">
        <v>334</v>
      </c>
      <c r="D51" s="2365"/>
      <c r="E51" s="2366"/>
      <c r="F51" s="2366"/>
      <c r="G51" s="2366"/>
      <c r="H51" s="2366"/>
      <c r="I51" s="2438"/>
      <c r="J51" s="2366"/>
      <c r="K51" s="2366"/>
      <c r="L51" s="2366"/>
      <c r="M51" s="2436" t="s">
        <v>722</v>
      </c>
      <c r="N51" s="2366"/>
      <c r="O51" s="2367"/>
      <c r="P51" s="2367"/>
      <c r="Q51" s="2436" t="s">
        <v>720</v>
      </c>
      <c r="R51" s="5635" t="s">
        <v>591</v>
      </c>
      <c r="S51" s="5636"/>
      <c r="T51" s="5636"/>
      <c r="U51" s="5636"/>
      <c r="V51" s="5636"/>
      <c r="W51" s="5636"/>
      <c r="X51" s="5636"/>
      <c r="Y51" s="5636"/>
      <c r="Z51" s="5636"/>
      <c r="AA51" s="5636"/>
      <c r="AB51" s="5636"/>
      <c r="AC51" s="5636"/>
      <c r="AD51" s="5636"/>
      <c r="AE51" s="5636"/>
      <c r="AF51" s="5636"/>
      <c r="AG51" s="5636"/>
      <c r="AH51" s="5637"/>
    </row>
    <row r="52" spans="1:35">
      <c r="A52" s="5029" t="s">
        <v>136</v>
      </c>
      <c r="B52" s="1962" t="s">
        <v>77</v>
      </c>
      <c r="C52" s="1951" t="s">
        <v>153</v>
      </c>
      <c r="D52" s="934"/>
      <c r="E52" s="778"/>
      <c r="F52" s="778"/>
      <c r="G52" s="778"/>
      <c r="H52" s="778"/>
      <c r="I52" s="2437"/>
      <c r="J52" s="778"/>
      <c r="K52" s="778"/>
      <c r="L52" s="778"/>
      <c r="M52" s="778"/>
      <c r="N52" s="778"/>
      <c r="O52" s="2437" t="s">
        <v>720</v>
      </c>
      <c r="P52" s="2437"/>
      <c r="Q52" s="778"/>
      <c r="R52" s="778"/>
      <c r="S52" s="778"/>
      <c r="T52" s="778"/>
      <c r="U52" s="778"/>
      <c r="V52" s="2325" t="s">
        <v>251</v>
      </c>
      <c r="W52" s="5632" t="s">
        <v>866</v>
      </c>
      <c r="X52" s="5633"/>
      <c r="Y52" s="5634"/>
      <c r="Z52" s="2325" t="s">
        <v>251</v>
      </c>
      <c r="AA52" s="778"/>
      <c r="AB52" s="778"/>
      <c r="AC52" s="778"/>
      <c r="AD52" s="778"/>
      <c r="AE52" s="2437" t="s">
        <v>720</v>
      </c>
      <c r="AF52" s="778"/>
      <c r="AG52" s="778"/>
      <c r="AH52" s="805"/>
      <c r="AI52" t="s">
        <v>30</v>
      </c>
    </row>
    <row r="53" spans="1:35" ht="15.75" customHeight="1">
      <c r="A53" s="5030"/>
      <c r="B53" s="1981" t="s">
        <v>142</v>
      </c>
      <c r="C53" s="1946" t="s">
        <v>143</v>
      </c>
      <c r="D53" s="2511"/>
      <c r="E53" s="780"/>
      <c r="F53" s="780"/>
      <c r="G53" s="780"/>
      <c r="H53" s="780"/>
      <c r="I53" s="780"/>
      <c r="J53" s="780"/>
      <c r="K53" s="780"/>
      <c r="L53" s="780"/>
      <c r="M53" s="2435" t="s">
        <v>720</v>
      </c>
      <c r="N53" s="780"/>
      <c r="O53" s="780"/>
      <c r="P53" s="780"/>
      <c r="Q53" s="780"/>
      <c r="R53" s="780"/>
      <c r="S53" s="780"/>
      <c r="T53" s="780"/>
      <c r="U53" s="780"/>
      <c r="V53" s="780"/>
      <c r="W53" s="2435" t="s">
        <v>722</v>
      </c>
      <c r="X53" s="780"/>
      <c r="Y53" s="780"/>
      <c r="Z53" s="780"/>
      <c r="AA53" s="780"/>
      <c r="AB53" s="780"/>
      <c r="AC53" s="780"/>
      <c r="AD53" s="780"/>
      <c r="AE53" s="780"/>
      <c r="AF53" s="780"/>
      <c r="AG53" s="780"/>
      <c r="AH53" s="806"/>
      <c r="AI53" s="921"/>
    </row>
    <row r="54" spans="1:35" ht="15.75" customHeight="1">
      <c r="A54" s="5031"/>
      <c r="B54" s="2421" t="s">
        <v>739</v>
      </c>
      <c r="C54" s="2523" t="s">
        <v>740</v>
      </c>
      <c r="D54" s="938"/>
      <c r="E54" s="780"/>
      <c r="F54" s="780"/>
      <c r="G54" s="780"/>
      <c r="H54" s="780"/>
      <c r="I54" s="780"/>
      <c r="J54" s="780"/>
      <c r="K54" s="780"/>
      <c r="L54" s="780"/>
      <c r="M54" s="780"/>
      <c r="N54" s="4423" t="s">
        <v>112</v>
      </c>
      <c r="O54" s="5310"/>
      <c r="P54" s="5310"/>
      <c r="Q54" s="5310"/>
      <c r="R54" s="5310"/>
      <c r="S54" s="5310"/>
      <c r="T54" s="5310"/>
      <c r="U54" s="5310"/>
      <c r="V54" s="5310"/>
      <c r="W54" s="4469"/>
      <c r="X54" s="780"/>
      <c r="Y54" s="780"/>
      <c r="Z54" s="780"/>
      <c r="AA54" s="780"/>
      <c r="AB54" s="780"/>
      <c r="AC54" s="780"/>
      <c r="AD54" s="780"/>
      <c r="AE54" s="780"/>
      <c r="AF54" s="4423" t="s">
        <v>867</v>
      </c>
      <c r="AG54" s="5310"/>
      <c r="AH54" s="5311"/>
    </row>
    <row r="55" spans="1:35" ht="15.75" customHeight="1">
      <c r="A55" s="5523" t="s">
        <v>144</v>
      </c>
      <c r="B55" s="2418" t="s">
        <v>145</v>
      </c>
      <c r="C55" s="2418" t="s">
        <v>618</v>
      </c>
      <c r="D55" s="5645" t="s">
        <v>438</v>
      </c>
      <c r="E55" s="4437"/>
      <c r="F55" s="4437"/>
      <c r="G55" s="4437"/>
      <c r="H55" s="4437"/>
      <c r="I55" s="4437"/>
      <c r="J55" s="4437"/>
      <c r="K55" s="4437"/>
      <c r="L55" s="4437"/>
      <c r="M55" s="4437"/>
      <c r="N55" s="4437"/>
      <c r="O55" s="4437"/>
      <c r="P55" s="4438"/>
      <c r="Q55" s="937"/>
      <c r="R55" s="937"/>
      <c r="S55" s="937"/>
      <c r="T55" s="937"/>
      <c r="U55" s="937"/>
      <c r="V55" s="937"/>
      <c r="W55" s="2433" t="s">
        <v>717</v>
      </c>
      <c r="X55" s="937"/>
      <c r="Y55" s="937"/>
      <c r="Z55" s="937"/>
      <c r="AA55" s="937"/>
      <c r="AB55" s="937"/>
      <c r="AC55" s="2433" t="s">
        <v>717</v>
      </c>
      <c r="AD55" s="937"/>
      <c r="AE55" s="937"/>
      <c r="AF55" s="937"/>
      <c r="AG55" s="2433" t="s">
        <v>717</v>
      </c>
      <c r="AH55" s="1333"/>
    </row>
    <row r="56" spans="1:35">
      <c r="A56" s="5500"/>
      <c r="B56" s="1943" t="s">
        <v>145</v>
      </c>
      <c r="C56" s="1943" t="s">
        <v>148</v>
      </c>
      <c r="D56" s="2430" t="s">
        <v>720</v>
      </c>
      <c r="E56" s="779"/>
      <c r="F56" s="779"/>
      <c r="G56" s="779"/>
      <c r="H56" s="780"/>
      <c r="I56" s="780"/>
      <c r="J56" s="2402" t="s">
        <v>868</v>
      </c>
      <c r="K56" s="2434"/>
      <c r="L56" s="780"/>
      <c r="M56" s="779"/>
      <c r="N56" s="779"/>
      <c r="O56" s="779"/>
      <c r="P56" s="779"/>
      <c r="Q56" s="779"/>
      <c r="R56" s="779"/>
      <c r="S56" s="779"/>
      <c r="T56" s="2434"/>
      <c r="U56" s="782"/>
      <c r="V56" s="2403" t="s">
        <v>853</v>
      </c>
      <c r="W56" s="2382" t="s">
        <v>854</v>
      </c>
      <c r="X56" s="779"/>
      <c r="Y56" s="779"/>
      <c r="Z56" s="2434" t="s">
        <v>722</v>
      </c>
      <c r="AA56" s="779"/>
      <c r="AB56" s="779"/>
      <c r="AC56" s="779"/>
      <c r="AD56" s="779"/>
      <c r="AE56" s="779"/>
      <c r="AF56" s="2435" t="s">
        <v>722</v>
      </c>
      <c r="AG56" s="779"/>
      <c r="AH56" s="804"/>
    </row>
    <row r="57" spans="1:35">
      <c r="A57" s="5500"/>
      <c r="B57" s="1943" t="s">
        <v>149</v>
      </c>
      <c r="C57" s="1943" t="s">
        <v>150</v>
      </c>
      <c r="D57" s="4416" t="s">
        <v>482</v>
      </c>
      <c r="E57" s="4411"/>
      <c r="F57" s="4411"/>
      <c r="G57" s="4411"/>
      <c r="H57" s="4411"/>
      <c r="I57" s="4411"/>
      <c r="J57" s="4411"/>
      <c r="K57" s="4411"/>
      <c r="L57" s="4411"/>
      <c r="M57" s="4411"/>
      <c r="N57" s="4411"/>
      <c r="O57" s="4411"/>
      <c r="P57" s="4411"/>
      <c r="Q57" s="4411"/>
      <c r="R57" s="4411"/>
      <c r="S57" s="4411"/>
      <c r="T57" s="4334"/>
      <c r="U57" s="779"/>
      <c r="V57" s="779"/>
      <c r="W57" s="779"/>
      <c r="X57" s="779"/>
      <c r="Y57" s="2435" t="s">
        <v>722</v>
      </c>
      <c r="Z57" s="779"/>
      <c r="AA57" s="779"/>
      <c r="AB57" s="779"/>
      <c r="AC57" s="2435" t="s">
        <v>722</v>
      </c>
      <c r="AD57" s="779"/>
      <c r="AE57" s="779"/>
      <c r="AF57" s="779"/>
      <c r="AG57" s="779"/>
      <c r="AH57" s="2444" t="s">
        <v>722</v>
      </c>
    </row>
    <row r="58" spans="1:35">
      <c r="A58" s="5501"/>
      <c r="B58" s="1944" t="s">
        <v>149</v>
      </c>
      <c r="C58" s="1944" t="s">
        <v>151</v>
      </c>
      <c r="D58" s="938"/>
      <c r="E58" s="780"/>
      <c r="F58" s="2435" t="s">
        <v>722</v>
      </c>
      <c r="G58" s="2435"/>
      <c r="H58" s="780"/>
      <c r="I58" s="780"/>
      <c r="J58" s="780"/>
      <c r="K58" s="780"/>
      <c r="L58" s="780"/>
      <c r="M58" s="780"/>
      <c r="N58" s="780"/>
      <c r="O58" s="780"/>
      <c r="P58" s="2435" t="s">
        <v>722</v>
      </c>
      <c r="Q58" s="780"/>
      <c r="R58" s="780"/>
      <c r="S58" s="780"/>
      <c r="T58" s="780"/>
      <c r="U58" s="780"/>
      <c r="V58" s="780"/>
      <c r="W58" s="780"/>
      <c r="X58" s="780"/>
      <c r="Y58" s="780"/>
      <c r="Z58" s="780"/>
      <c r="AA58" s="2435" t="s">
        <v>722</v>
      </c>
      <c r="AB58" s="780"/>
      <c r="AC58" s="780"/>
      <c r="AD58" s="780"/>
      <c r="AE58" s="780"/>
      <c r="AF58" s="780"/>
      <c r="AG58" s="780"/>
      <c r="AH58" s="806"/>
    </row>
    <row r="59" spans="1:35">
      <c r="A59" s="5029" t="s">
        <v>869</v>
      </c>
      <c r="B59" s="2005" t="s">
        <v>392</v>
      </c>
      <c r="C59" s="2243" t="s">
        <v>78</v>
      </c>
      <c r="D59" s="1499"/>
      <c r="E59" s="937"/>
      <c r="F59" s="937"/>
      <c r="G59" s="937"/>
      <c r="H59" s="937"/>
      <c r="I59" s="937"/>
      <c r="J59" s="2402" t="s">
        <v>868</v>
      </c>
      <c r="K59" s="937"/>
      <c r="L59" s="937"/>
      <c r="M59" s="937"/>
      <c r="N59" s="5638" t="s">
        <v>870</v>
      </c>
      <c r="O59" s="5639"/>
      <c r="P59" s="5639"/>
      <c r="Q59" s="5639"/>
      <c r="R59" s="5640"/>
      <c r="S59" s="937"/>
      <c r="T59" s="937"/>
      <c r="U59" s="782"/>
      <c r="V59" s="2403" t="s">
        <v>853</v>
      </c>
      <c r="W59" s="2404" t="s">
        <v>871</v>
      </c>
      <c r="X59" s="2406" t="s">
        <v>872</v>
      </c>
      <c r="Y59" s="937"/>
      <c r="Z59" s="937"/>
      <c r="AA59" s="937"/>
      <c r="AB59" s="4683" t="s">
        <v>873</v>
      </c>
      <c r="AC59" s="4684"/>
      <c r="AD59" s="4684"/>
      <c r="AE59" s="4685"/>
      <c r="AF59" s="937"/>
      <c r="AG59" s="2238"/>
      <c r="AH59" s="2239"/>
    </row>
    <row r="60" spans="1:35">
      <c r="A60" s="5030"/>
      <c r="B60" s="2230" t="s">
        <v>95</v>
      </c>
      <c r="C60" s="1957" t="s">
        <v>620</v>
      </c>
      <c r="D60" s="4416" t="s">
        <v>874</v>
      </c>
      <c r="E60" s="4411"/>
      <c r="F60" s="4411"/>
      <c r="G60" s="4411"/>
      <c r="H60" s="4411"/>
      <c r="I60" s="4411"/>
      <c r="J60" s="4411"/>
      <c r="K60" s="4334"/>
      <c r="L60" s="779"/>
      <c r="M60" s="824"/>
      <c r="N60" s="779"/>
      <c r="O60" s="779"/>
      <c r="P60" s="2434" t="s">
        <v>717</v>
      </c>
      <c r="Q60" s="779"/>
      <c r="R60" s="380"/>
      <c r="S60" s="779"/>
      <c r="T60" s="779"/>
      <c r="U60" s="782"/>
      <c r="V60" s="2403" t="s">
        <v>853</v>
      </c>
      <c r="W60" s="2401" t="s">
        <v>854</v>
      </c>
      <c r="X60" s="2406" t="s">
        <v>872</v>
      </c>
      <c r="Y60" s="779"/>
      <c r="Z60" s="779"/>
      <c r="AA60" s="779"/>
      <c r="AB60" s="937"/>
      <c r="AC60" s="937"/>
      <c r="AD60" s="937"/>
      <c r="AE60" s="937"/>
      <c r="AF60" s="937"/>
      <c r="AG60" s="2238"/>
      <c r="AH60" s="2239"/>
    </row>
    <row r="61" spans="1:35">
      <c r="A61" s="5030"/>
      <c r="B61" s="2235" t="s">
        <v>127</v>
      </c>
      <c r="C61" s="590" t="s">
        <v>128</v>
      </c>
      <c r="D61" s="935"/>
      <c r="E61" s="2431" t="s">
        <v>722</v>
      </c>
      <c r="F61" s="2"/>
      <c r="G61" s="2"/>
      <c r="H61" s="779"/>
      <c r="I61" s="779"/>
      <c r="J61" s="2398" t="s">
        <v>868</v>
      </c>
      <c r="K61" s="2431" t="s">
        <v>722</v>
      </c>
      <c r="L61" s="779"/>
      <c r="M61" s="2"/>
      <c r="N61" s="2434"/>
      <c r="O61" s="2434"/>
      <c r="P61" s="2434" t="s">
        <v>720</v>
      </c>
      <c r="Q61" s="779"/>
      <c r="R61" s="5641" t="s">
        <v>30</v>
      </c>
      <c r="S61" s="5641"/>
      <c r="T61" s="5641"/>
      <c r="U61" s="5641"/>
      <c r="V61" s="5641"/>
      <c r="W61" s="5641"/>
      <c r="X61" s="5641"/>
      <c r="Y61" s="5641"/>
      <c r="Z61" s="5641"/>
      <c r="AA61" s="5641"/>
      <c r="AB61" s="5641"/>
      <c r="AC61" s="5641"/>
      <c r="AD61" s="5641"/>
      <c r="AE61" s="5641"/>
      <c r="AF61" s="5641"/>
      <c r="AG61" s="5641"/>
      <c r="AH61" s="5642"/>
    </row>
    <row r="62" spans="1:35">
      <c r="A62" s="5030"/>
      <c r="B62" s="2235" t="s">
        <v>90</v>
      </c>
      <c r="C62" s="590" t="s">
        <v>660</v>
      </c>
      <c r="D62" s="2235"/>
      <c r="E62" s="2"/>
      <c r="F62" s="2"/>
      <c r="G62" s="2"/>
      <c r="H62" s="2"/>
      <c r="I62" s="779"/>
      <c r="J62" s="2398" t="s">
        <v>868</v>
      </c>
      <c r="K62" s="779"/>
      <c r="L62" s="779"/>
      <c r="M62" s="2"/>
      <c r="N62" s="779"/>
      <c r="O62" s="779"/>
      <c r="P62" s="779"/>
      <c r="Q62" s="2434" t="s">
        <v>717</v>
      </c>
      <c r="R62" s="2"/>
      <c r="S62" s="779"/>
      <c r="T62" s="779"/>
      <c r="U62" s="5643" t="s">
        <v>251</v>
      </c>
      <c r="V62" s="5644"/>
      <c r="W62" s="5624" t="s">
        <v>875</v>
      </c>
      <c r="X62" s="5625"/>
      <c r="Y62" s="5626"/>
      <c r="Z62" s="5643" t="s">
        <v>251</v>
      </c>
      <c r="AA62" s="5644"/>
      <c r="AB62" s="2434" t="s">
        <v>717</v>
      </c>
      <c r="AC62" s="2"/>
      <c r="AD62" s="2"/>
      <c r="AE62" s="2"/>
      <c r="AF62" s="2"/>
      <c r="AG62" s="2"/>
      <c r="AH62" s="696"/>
    </row>
    <row r="63" spans="1:35">
      <c r="A63" s="5030"/>
      <c r="B63" s="2413" t="s">
        <v>561</v>
      </c>
      <c r="C63" s="2524" t="s">
        <v>396</v>
      </c>
      <c r="D63" s="935"/>
      <c r="E63" s="779"/>
      <c r="F63" s="779"/>
      <c r="G63" s="779"/>
      <c r="H63" s="779"/>
      <c r="I63" s="2434" t="s">
        <v>720</v>
      </c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2471" t="s">
        <v>854</v>
      </c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804"/>
    </row>
    <row r="64" spans="1:35">
      <c r="A64" s="5030"/>
      <c r="B64" s="2230" t="s">
        <v>95</v>
      </c>
      <c r="C64" s="1957" t="s">
        <v>303</v>
      </c>
      <c r="D64" s="935"/>
      <c r="E64" s="779"/>
      <c r="F64" s="779"/>
      <c r="G64" s="779"/>
      <c r="H64" s="779"/>
      <c r="I64" s="779"/>
      <c r="J64" s="779"/>
      <c r="K64" s="779"/>
      <c r="L64" s="779"/>
      <c r="M64" s="779"/>
      <c r="N64" s="2434"/>
      <c r="O64" s="779"/>
      <c r="P64" s="779"/>
      <c r="Q64" s="779"/>
      <c r="R64" s="779"/>
      <c r="S64" s="779"/>
      <c r="T64" s="2434" t="s">
        <v>720</v>
      </c>
      <c r="U64" s="779"/>
      <c r="V64" s="847"/>
      <c r="W64" s="779"/>
      <c r="X64" s="822"/>
      <c r="Y64" s="3682" t="s">
        <v>251</v>
      </c>
      <c r="Z64" s="5646" t="s">
        <v>755</v>
      </c>
      <c r="AA64" s="5647"/>
      <c r="AB64" s="5648"/>
      <c r="AC64" s="3682" t="s">
        <v>251</v>
      </c>
      <c r="AD64" s="779"/>
      <c r="AE64" s="779"/>
      <c r="AF64" s="2434" t="s">
        <v>720</v>
      </c>
      <c r="AG64" s="779"/>
      <c r="AH64" s="804"/>
    </row>
    <row r="65" spans="1:34">
      <c r="A65" s="5031"/>
      <c r="B65" s="2386" t="s">
        <v>155</v>
      </c>
      <c r="C65" s="2393" t="s">
        <v>532</v>
      </c>
      <c r="D65" s="2512"/>
      <c r="E65" s="2487" t="s">
        <v>251</v>
      </c>
      <c r="F65" s="782"/>
      <c r="G65" s="782"/>
      <c r="H65" s="782"/>
      <c r="I65" s="782"/>
      <c r="J65" s="782"/>
      <c r="K65" s="782"/>
      <c r="L65" s="782"/>
      <c r="M65" s="782"/>
      <c r="N65" s="782"/>
      <c r="O65" s="782"/>
      <c r="P65" s="782"/>
      <c r="Q65" s="782"/>
      <c r="R65" s="782"/>
      <c r="S65" s="782"/>
      <c r="T65" s="782"/>
      <c r="U65" s="782"/>
      <c r="V65" s="782"/>
      <c r="W65" s="823"/>
      <c r="X65" s="848"/>
      <c r="Y65" s="321"/>
      <c r="Z65" s="321"/>
      <c r="AA65" s="321"/>
      <c r="AB65" s="321"/>
      <c r="AC65" s="321"/>
      <c r="AD65" s="1404"/>
      <c r="AE65" s="782"/>
      <c r="AF65" s="2443"/>
      <c r="AG65" s="321"/>
      <c r="AH65" s="322"/>
    </row>
    <row r="68" spans="1:34">
      <c r="D68" s="5630" t="s">
        <v>876</v>
      </c>
      <c r="E68" s="5630"/>
      <c r="F68" s="5630"/>
      <c r="G68" s="5630"/>
    </row>
  </sheetData>
  <mergeCells count="69">
    <mergeCell ref="AF54:AH54"/>
    <mergeCell ref="D68:G68"/>
    <mergeCell ref="AC47:AH47"/>
    <mergeCell ref="W52:Y52"/>
    <mergeCell ref="R50:AH50"/>
    <mergeCell ref="AB59:AE59"/>
    <mergeCell ref="N59:R59"/>
    <mergeCell ref="R61:AH61"/>
    <mergeCell ref="R51:AH51"/>
    <mergeCell ref="D60:K60"/>
    <mergeCell ref="U62:V62"/>
    <mergeCell ref="D55:P55"/>
    <mergeCell ref="Z64:AB64"/>
    <mergeCell ref="Z62:AA62"/>
    <mergeCell ref="AB48:AD48"/>
    <mergeCell ref="N54:W54"/>
    <mergeCell ref="W62:Y62"/>
    <mergeCell ref="A16:C16"/>
    <mergeCell ref="A7:C7"/>
    <mergeCell ref="A14:C14"/>
    <mergeCell ref="A15:C15"/>
    <mergeCell ref="A10:C10"/>
    <mergeCell ref="A11:C11"/>
    <mergeCell ref="A12:C12"/>
    <mergeCell ref="A59:A65"/>
    <mergeCell ref="D57:T57"/>
    <mergeCell ref="A52:A54"/>
    <mergeCell ref="A22:C22"/>
    <mergeCell ref="A55:A58"/>
    <mergeCell ref="A27:A29"/>
    <mergeCell ref="A9:C9"/>
    <mergeCell ref="Y46:AH46"/>
    <mergeCell ref="AC44:AG44"/>
    <mergeCell ref="T40:V40"/>
    <mergeCell ref="N33:AH33"/>
    <mergeCell ref="J31:O31"/>
    <mergeCell ref="Z36:AC36"/>
    <mergeCell ref="AB37:AD37"/>
    <mergeCell ref="AB42:AF42"/>
    <mergeCell ref="L40:S40"/>
    <mergeCell ref="W40:AH40"/>
    <mergeCell ref="W35:AH35"/>
    <mergeCell ref="AG42:AH42"/>
    <mergeCell ref="AC38:AH38"/>
    <mergeCell ref="AB41:AE41"/>
    <mergeCell ref="Z23:AG23"/>
    <mergeCell ref="D1:AH1"/>
    <mergeCell ref="A2:C2"/>
    <mergeCell ref="A3:C3"/>
    <mergeCell ref="A4:C4"/>
    <mergeCell ref="AF4:AH4"/>
    <mergeCell ref="AB4:AE4"/>
    <mergeCell ref="A1:C1"/>
    <mergeCell ref="Y5:AE5"/>
    <mergeCell ref="A5:C5"/>
    <mergeCell ref="AF7:AH7"/>
    <mergeCell ref="A6:C6"/>
    <mergeCell ref="A13:C13"/>
    <mergeCell ref="A19:C19"/>
    <mergeCell ref="A20:C20"/>
    <mergeCell ref="A21:C21"/>
    <mergeCell ref="A36:A51"/>
    <mergeCell ref="D49:K49"/>
    <mergeCell ref="A30:A35"/>
    <mergeCell ref="L5:R5"/>
    <mergeCell ref="A17:C17"/>
    <mergeCell ref="A18:C18"/>
    <mergeCell ref="D26:G26"/>
    <mergeCell ref="A8:C8"/>
  </mergeCells>
  <pageMargins left="0.7" right="0.7" top="0.75" bottom="0.75" header="0.3" footer="0.3"/>
  <pageSetup scale="3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A319-AF08-48C1-9790-ECE3C28B0C8E}">
  <sheetPr>
    <pageSetUpPr fitToPage="1"/>
  </sheetPr>
  <dimension ref="A1:AJ77"/>
  <sheetViews>
    <sheetView showGridLines="0" zoomScale="70" zoomScaleNormal="70" workbookViewId="0">
      <pane xSplit="5" ySplit="26" topLeftCell="F27" activePane="bottomRight" state="frozen"/>
      <selection pane="bottomRight" activeCell="F27" sqref="F27:G27"/>
      <selection pane="bottomLeft"/>
      <selection pane="topRight"/>
    </sheetView>
  </sheetViews>
  <sheetFormatPr defaultRowHeight="15"/>
  <cols>
    <col min="1" max="1" width="10.5703125" customWidth="1"/>
    <col min="3" max="3" width="11.5703125" bestFit="1" customWidth="1"/>
    <col min="11" max="11" width="10.85546875" customWidth="1"/>
  </cols>
  <sheetData>
    <row r="1" spans="1:33">
      <c r="A1" s="5065" t="s">
        <v>29</v>
      </c>
      <c r="B1" s="5066"/>
      <c r="C1" s="5066"/>
      <c r="D1" s="5430" t="s">
        <v>877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3"/>
      <c r="AG1" s="5074"/>
    </row>
    <row r="2" spans="1:33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5070" t="s">
        <v>32</v>
      </c>
      <c r="B3" s="4378"/>
      <c r="C3" s="4378"/>
      <c r="D3" s="3703" t="s">
        <v>37</v>
      </c>
      <c r="E3" s="3703" t="s">
        <v>33</v>
      </c>
      <c r="F3" s="3703" t="s">
        <v>34</v>
      </c>
      <c r="G3" s="3703" t="s">
        <v>33</v>
      </c>
      <c r="H3" s="3703" t="s">
        <v>35</v>
      </c>
      <c r="I3" s="19" t="s">
        <v>36</v>
      </c>
      <c r="J3" s="19" t="s">
        <v>36</v>
      </c>
      <c r="K3" s="3703" t="s">
        <v>37</v>
      </c>
      <c r="L3" s="3703" t="s">
        <v>33</v>
      </c>
      <c r="M3" s="3703" t="s">
        <v>34</v>
      </c>
      <c r="N3" s="3703" t="s">
        <v>33</v>
      </c>
      <c r="O3" s="3703" t="s">
        <v>35</v>
      </c>
      <c r="P3" s="19" t="s">
        <v>36</v>
      </c>
      <c r="Q3" s="19" t="s">
        <v>36</v>
      </c>
      <c r="R3" s="3703" t="s">
        <v>37</v>
      </c>
      <c r="S3" s="3703" t="s">
        <v>33</v>
      </c>
      <c r="T3" s="3703" t="s">
        <v>34</v>
      </c>
      <c r="U3" s="40" t="s">
        <v>33</v>
      </c>
      <c r="V3" s="3703" t="s">
        <v>35</v>
      </c>
      <c r="W3" s="19" t="s">
        <v>36</v>
      </c>
      <c r="X3" s="19" t="s">
        <v>36</v>
      </c>
      <c r="Y3" s="3703" t="s">
        <v>37</v>
      </c>
      <c r="Z3" s="41" t="s">
        <v>33</v>
      </c>
      <c r="AA3" s="41" t="s">
        <v>34</v>
      </c>
      <c r="AB3" s="41" t="s">
        <v>33</v>
      </c>
      <c r="AC3" s="3703" t="s">
        <v>35</v>
      </c>
      <c r="AD3" s="19" t="s">
        <v>36</v>
      </c>
      <c r="AE3" s="19" t="s">
        <v>36</v>
      </c>
      <c r="AF3" s="3703" t="s">
        <v>37</v>
      </c>
      <c r="AG3" s="41" t="s">
        <v>33</v>
      </c>
    </row>
    <row r="4" spans="1:33" ht="15.75">
      <c r="A4" s="5285" t="s">
        <v>38</v>
      </c>
      <c r="B4" s="4527"/>
      <c r="C4" s="4527"/>
      <c r="D4" s="5734" t="s">
        <v>878</v>
      </c>
      <c r="E4" s="5246"/>
      <c r="F4" s="5246"/>
      <c r="G4" s="5246"/>
      <c r="H4" s="5247"/>
      <c r="I4" s="800"/>
      <c r="J4" s="800"/>
      <c r="K4" s="800"/>
      <c r="L4" s="800"/>
      <c r="M4" s="800"/>
      <c r="N4" s="425"/>
      <c r="O4" s="425"/>
      <c r="P4" s="425"/>
      <c r="Q4" s="973"/>
      <c r="R4" s="973"/>
      <c r="S4" s="973"/>
      <c r="T4" s="800"/>
      <c r="U4" s="973"/>
      <c r="V4" s="973"/>
      <c r="W4" s="973"/>
      <c r="X4" s="973"/>
      <c r="Y4" s="973"/>
      <c r="Z4" s="800"/>
      <c r="AA4" s="982"/>
      <c r="AB4" s="982"/>
      <c r="AC4" s="851"/>
      <c r="AD4" s="851"/>
      <c r="AE4" s="851"/>
      <c r="AF4" s="851"/>
      <c r="AG4" s="801"/>
    </row>
    <row r="5" spans="1:33" s="567" customFormat="1">
      <c r="A5" s="4061" t="s">
        <v>165</v>
      </c>
      <c r="B5" s="4062"/>
      <c r="C5" s="4062"/>
      <c r="D5" s="861"/>
      <c r="E5" s="380"/>
      <c r="F5" s="380"/>
      <c r="G5" s="380"/>
      <c r="H5" s="380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537"/>
      <c r="Z5" s="537"/>
      <c r="AA5" s="537"/>
      <c r="AB5" s="380"/>
      <c r="AC5" s="380"/>
      <c r="AD5" s="380"/>
      <c r="AE5" s="380"/>
      <c r="AF5" s="380"/>
      <c r="AG5" s="803"/>
    </row>
    <row r="6" spans="1:33">
      <c r="A6" s="4265" t="s">
        <v>407</v>
      </c>
      <c r="B6" s="4266"/>
      <c r="C6" s="4266"/>
      <c r="D6" s="861"/>
      <c r="E6" s="380"/>
      <c r="F6" s="380"/>
      <c r="G6" s="380"/>
      <c r="H6" s="380"/>
      <c r="I6" s="537"/>
      <c r="J6" s="537"/>
      <c r="K6" s="380"/>
      <c r="L6" s="380"/>
      <c r="M6" s="380"/>
      <c r="N6" s="537"/>
      <c r="O6" s="939"/>
      <c r="P6" s="939"/>
      <c r="Q6" s="939"/>
      <c r="R6" s="939"/>
      <c r="S6" s="852"/>
      <c r="T6" s="852"/>
      <c r="U6" s="852"/>
      <c r="V6" s="852"/>
      <c r="W6" s="852"/>
      <c r="X6" s="852"/>
      <c r="Y6" s="852"/>
      <c r="Z6" s="852"/>
      <c r="AA6" s="852"/>
      <c r="AB6" s="939"/>
      <c r="AC6" s="939"/>
      <c r="AD6" s="939"/>
      <c r="AE6" s="939"/>
      <c r="AF6" s="939"/>
      <c r="AG6" s="1718"/>
    </row>
    <row r="7" spans="1:33">
      <c r="A7" s="4533" t="s">
        <v>262</v>
      </c>
      <c r="B7" s="4533"/>
      <c r="C7" s="4533"/>
      <c r="D7" s="861"/>
      <c r="E7" s="380"/>
      <c r="F7" s="380"/>
      <c r="G7" s="380"/>
      <c r="H7" s="380"/>
      <c r="I7" s="779"/>
      <c r="J7" s="537"/>
      <c r="K7" s="537"/>
      <c r="L7" s="939"/>
      <c r="M7" s="939"/>
      <c r="N7" s="2212"/>
      <c r="O7" s="5581" t="s">
        <v>406</v>
      </c>
      <c r="P7" s="5582"/>
      <c r="Q7" s="5582"/>
      <c r="R7" s="5582"/>
      <c r="S7" s="5582"/>
      <c r="T7" s="5582"/>
      <c r="U7" s="5582"/>
      <c r="V7" s="5582"/>
      <c r="W7" s="5582"/>
      <c r="X7" s="5582"/>
      <c r="Y7" s="5582"/>
      <c r="Z7" s="5582"/>
      <c r="AA7" s="5582"/>
      <c r="AB7" s="5582"/>
      <c r="AC7" s="5582"/>
      <c r="AD7" s="5582"/>
      <c r="AE7" s="5582"/>
      <c r="AF7" s="5582"/>
      <c r="AG7" s="5583"/>
    </row>
    <row r="8" spans="1:33">
      <c r="A8" s="5289" t="s">
        <v>702</v>
      </c>
      <c r="B8" s="5290"/>
      <c r="C8" s="5291"/>
      <c r="D8" s="861"/>
      <c r="E8" s="380"/>
      <c r="F8" s="380"/>
      <c r="G8" s="380"/>
      <c r="H8" s="380"/>
      <c r="I8" s="779"/>
      <c r="J8" s="537"/>
      <c r="K8" s="933"/>
      <c r="L8" s="537"/>
      <c r="M8" s="537"/>
      <c r="N8" s="537"/>
      <c r="O8" s="799"/>
      <c r="P8" s="941"/>
      <c r="Q8" s="799"/>
      <c r="R8" s="799"/>
      <c r="S8" s="799"/>
      <c r="T8" s="536"/>
      <c r="U8" s="536"/>
      <c r="V8" s="536"/>
      <c r="W8" s="536"/>
      <c r="X8" s="536"/>
      <c r="Y8" s="536"/>
      <c r="Z8" s="799"/>
      <c r="AA8" s="799"/>
      <c r="AB8" s="799"/>
      <c r="AC8" s="799"/>
      <c r="AD8" s="799"/>
      <c r="AE8" s="799"/>
      <c r="AF8" s="799"/>
      <c r="AG8" s="802"/>
    </row>
    <row r="9" spans="1:33">
      <c r="A9" s="4391" t="s">
        <v>225</v>
      </c>
      <c r="B9" s="5368"/>
      <c r="C9" s="5716"/>
      <c r="D9" s="963"/>
      <c r="E9" s="537"/>
      <c r="F9" s="537"/>
      <c r="G9" s="380"/>
      <c r="H9" s="380"/>
      <c r="I9" s="537"/>
      <c r="J9" s="537"/>
      <c r="K9" s="380"/>
      <c r="L9" s="536"/>
      <c r="M9" s="536"/>
      <c r="N9" s="536"/>
      <c r="O9" s="536"/>
      <c r="P9" s="380"/>
      <c r="Q9" s="380"/>
      <c r="R9" s="380"/>
      <c r="S9" s="537"/>
      <c r="T9" s="537"/>
      <c r="U9" s="537"/>
      <c r="V9" s="537"/>
      <c r="W9" s="537"/>
      <c r="X9" s="537"/>
      <c r="Y9" s="537"/>
      <c r="Z9" s="537"/>
      <c r="AA9" s="380"/>
      <c r="AB9" s="779"/>
      <c r="AC9" s="537"/>
      <c r="AD9" s="537"/>
      <c r="AE9" s="537"/>
      <c r="AF9" s="537"/>
      <c r="AG9" s="964"/>
    </row>
    <row r="10" spans="1:33" ht="15" customHeight="1">
      <c r="A10" s="4381" t="s">
        <v>272</v>
      </c>
      <c r="B10" s="4382"/>
      <c r="C10" s="4382"/>
      <c r="D10" s="963"/>
      <c r="E10" s="537"/>
      <c r="F10" s="537"/>
      <c r="G10" s="537"/>
      <c r="H10" s="537"/>
      <c r="I10" s="537"/>
      <c r="J10" s="537"/>
      <c r="K10" s="537"/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380"/>
      <c r="AB10" s="779"/>
      <c r="AC10" s="537"/>
      <c r="AD10" s="537"/>
      <c r="AE10" s="537"/>
      <c r="AF10" s="537"/>
      <c r="AG10" s="964"/>
    </row>
    <row r="11" spans="1:33" ht="15" customHeight="1">
      <c r="A11" s="4380" t="s">
        <v>265</v>
      </c>
      <c r="B11" s="4532"/>
      <c r="C11" s="4532"/>
      <c r="D11" s="999"/>
      <c r="E11" s="946"/>
      <c r="F11" s="537"/>
      <c r="G11" s="380"/>
      <c r="H11" s="380"/>
      <c r="I11" s="537"/>
      <c r="J11" s="537"/>
      <c r="K11" s="537"/>
      <c r="L11" s="537"/>
      <c r="M11" s="537"/>
      <c r="N11" s="537"/>
      <c r="O11" s="537"/>
      <c r="P11" s="537"/>
      <c r="Q11" s="537"/>
      <c r="R11" s="537"/>
      <c r="S11" s="537"/>
      <c r="T11" s="537"/>
      <c r="U11" s="537"/>
      <c r="V11" s="537"/>
      <c r="W11" s="537"/>
      <c r="X11" s="537"/>
      <c r="Y11" s="537"/>
      <c r="Z11" s="537"/>
      <c r="AA11" s="537"/>
      <c r="AB11" s="537"/>
      <c r="AC11" s="537"/>
      <c r="AD11" s="537"/>
      <c r="AE11" s="537"/>
      <c r="AF11" s="537"/>
      <c r="AG11" s="964"/>
    </row>
    <row r="12" spans="1:33" ht="15.75">
      <c r="A12" s="5286" t="s">
        <v>60</v>
      </c>
      <c r="B12" s="5735"/>
      <c r="C12" s="5735"/>
      <c r="D12" s="935"/>
      <c r="E12" s="779"/>
      <c r="F12" s="779"/>
      <c r="G12" s="779"/>
      <c r="H12" s="779"/>
      <c r="I12" s="779"/>
      <c r="J12" s="779"/>
      <c r="K12" s="779"/>
      <c r="L12" s="779"/>
      <c r="M12" s="779"/>
      <c r="N12" s="779"/>
      <c r="O12" s="779"/>
      <c r="P12" s="779"/>
      <c r="Q12" s="779"/>
      <c r="R12" s="779"/>
      <c r="S12" s="779"/>
      <c r="T12" s="779"/>
      <c r="U12" s="779"/>
      <c r="V12" s="779"/>
      <c r="W12" s="779"/>
      <c r="X12" s="779"/>
      <c r="Y12" s="779"/>
      <c r="Z12" s="779"/>
      <c r="AA12" s="779"/>
      <c r="AB12" s="779"/>
      <c r="AC12" s="380"/>
      <c r="AD12" s="380"/>
      <c r="AE12" s="779"/>
      <c r="AF12" s="779"/>
      <c r="AG12" s="804"/>
    </row>
    <row r="13" spans="1:33">
      <c r="A13" s="5287" t="s">
        <v>63</v>
      </c>
      <c r="B13" s="4313"/>
      <c r="C13" s="4487"/>
      <c r="D13" s="963"/>
      <c r="E13" s="380"/>
      <c r="F13" s="380"/>
      <c r="G13" s="537"/>
      <c r="H13" s="537"/>
      <c r="I13" s="537"/>
      <c r="J13" s="537"/>
      <c r="K13" s="2561" t="s">
        <v>879</v>
      </c>
      <c r="L13" s="380"/>
      <c r="M13" s="944"/>
      <c r="N13" s="779"/>
      <c r="O13" s="779"/>
      <c r="P13" s="537"/>
      <c r="Q13" s="537"/>
      <c r="R13" s="537"/>
      <c r="S13" s="537"/>
      <c r="T13" s="537"/>
      <c r="U13" s="537"/>
      <c r="V13" s="537"/>
      <c r="W13" s="537"/>
      <c r="X13" s="537"/>
      <c r="Y13" s="537"/>
      <c r="Z13" s="779"/>
      <c r="AA13" s="779"/>
      <c r="AB13" s="943"/>
      <c r="AC13" s="537"/>
      <c r="AD13" s="537"/>
      <c r="AE13" s="537"/>
      <c r="AF13" s="537"/>
      <c r="AG13" s="964"/>
    </row>
    <row r="14" spans="1:33" ht="15.75" customHeight="1">
      <c r="A14" s="5288" t="s">
        <v>54</v>
      </c>
      <c r="B14" s="4535"/>
      <c r="C14" s="4535"/>
      <c r="D14" s="935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537"/>
      <c r="Q14" s="537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537"/>
      <c r="AE14" s="537"/>
      <c r="AF14" s="537"/>
      <c r="AG14" s="964"/>
    </row>
    <row r="15" spans="1:33">
      <c r="A15" s="5033" t="s">
        <v>365</v>
      </c>
      <c r="B15" s="4360"/>
      <c r="C15" s="4360"/>
      <c r="D15" s="963"/>
      <c r="E15" s="537"/>
      <c r="F15" s="537"/>
      <c r="G15" s="537"/>
      <c r="H15" s="537"/>
      <c r="I15" s="537"/>
      <c r="J15" s="537"/>
      <c r="K15" s="537"/>
      <c r="L15" s="537"/>
      <c r="M15" s="537"/>
      <c r="N15" s="537"/>
      <c r="O15" s="537"/>
      <c r="P15" s="537"/>
      <c r="Q15" s="537"/>
      <c r="R15" s="537"/>
      <c r="S15" s="537"/>
      <c r="T15" s="537"/>
      <c r="U15" s="537"/>
      <c r="V15" s="945"/>
      <c r="W15" s="537"/>
      <c r="X15" s="537"/>
      <c r="Y15" s="537"/>
      <c r="Z15" s="5732" t="s">
        <v>880</v>
      </c>
      <c r="AA15" s="5733"/>
      <c r="AB15" s="5733"/>
      <c r="AC15" s="5534"/>
      <c r="AD15" s="537"/>
      <c r="AE15" s="537"/>
      <c r="AF15" s="5676" t="s">
        <v>881</v>
      </c>
      <c r="AG15" s="5677"/>
    </row>
    <row r="16" spans="1:33">
      <c r="A16" s="5033" t="s">
        <v>365</v>
      </c>
      <c r="B16" s="4360"/>
      <c r="C16" s="4360"/>
      <c r="D16" s="963"/>
      <c r="E16" s="537"/>
      <c r="F16" s="537"/>
      <c r="G16" s="537"/>
      <c r="H16" s="537"/>
      <c r="I16" s="537"/>
      <c r="J16" s="537"/>
      <c r="K16" s="537"/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945"/>
      <c r="W16" s="537"/>
      <c r="X16" s="537"/>
      <c r="Y16" s="537"/>
      <c r="Z16" s="5732" t="s">
        <v>882</v>
      </c>
      <c r="AA16" s="5733"/>
      <c r="AB16" s="5733"/>
      <c r="AC16" s="5733"/>
      <c r="AD16" s="5733"/>
      <c r="AE16" s="5534"/>
      <c r="AF16" s="5678"/>
      <c r="AG16" s="5679"/>
    </row>
    <row r="17" spans="1:33">
      <c r="A17" s="5041" t="s">
        <v>705</v>
      </c>
      <c r="B17" s="4763"/>
      <c r="C17" s="4764"/>
      <c r="D17" s="963"/>
      <c r="E17" s="537"/>
      <c r="F17" s="537"/>
      <c r="G17" s="537"/>
      <c r="H17" s="779"/>
      <c r="I17" s="779"/>
      <c r="J17" s="779"/>
      <c r="K17" s="779"/>
      <c r="L17" s="779"/>
      <c r="M17" s="779"/>
      <c r="N17" s="779"/>
      <c r="O17" s="779"/>
      <c r="P17" s="779"/>
      <c r="Q17" s="779"/>
      <c r="R17" s="779"/>
      <c r="S17" s="779"/>
      <c r="T17" s="750"/>
      <c r="U17" s="779"/>
      <c r="V17" s="779"/>
      <c r="W17" s="779"/>
      <c r="X17" s="537"/>
      <c r="Y17" s="537"/>
      <c r="Z17" s="537"/>
      <c r="AA17" s="537"/>
      <c r="AB17" s="537"/>
      <c r="AC17" s="537"/>
      <c r="AD17" s="537"/>
      <c r="AE17" s="537"/>
      <c r="AF17" s="537"/>
      <c r="AG17" s="964"/>
    </row>
    <row r="18" spans="1:33">
      <c r="A18" s="5761" t="s">
        <v>755</v>
      </c>
      <c r="B18" s="5762"/>
      <c r="C18" s="5763"/>
      <c r="D18" s="963"/>
      <c r="E18" s="537"/>
      <c r="F18" s="537"/>
      <c r="G18" s="537"/>
      <c r="H18" s="779"/>
      <c r="I18" s="779"/>
      <c r="J18" s="779"/>
      <c r="K18" s="779"/>
      <c r="L18" s="779"/>
      <c r="M18" s="779"/>
      <c r="N18" s="779"/>
      <c r="O18" s="779"/>
      <c r="P18" s="779"/>
      <c r="Q18" s="779"/>
      <c r="R18" s="779"/>
      <c r="S18" s="2223"/>
      <c r="T18" s="2224"/>
      <c r="U18" s="779"/>
      <c r="V18" s="779"/>
      <c r="W18" s="779"/>
      <c r="X18" s="537"/>
      <c r="Y18" s="537"/>
      <c r="Z18" s="537"/>
      <c r="AA18" s="537"/>
      <c r="AB18" s="537"/>
      <c r="AC18" s="537"/>
      <c r="AD18" s="537"/>
      <c r="AE18" s="537"/>
      <c r="AF18" s="537"/>
      <c r="AG18" s="964"/>
    </row>
    <row r="19" spans="1:33" ht="15.75">
      <c r="A19" s="5759" t="s">
        <v>411</v>
      </c>
      <c r="B19" s="5760"/>
      <c r="C19" s="5760"/>
      <c r="D19" s="963"/>
      <c r="E19" s="537"/>
      <c r="F19" s="4354" t="s">
        <v>364</v>
      </c>
      <c r="G19" s="4355"/>
      <c r="H19" s="732"/>
      <c r="I19" s="537"/>
      <c r="J19" s="537"/>
      <c r="K19" s="537"/>
      <c r="L19" s="537"/>
      <c r="M19" s="380"/>
      <c r="N19" s="380"/>
      <c r="O19" s="537"/>
      <c r="P19" s="537"/>
      <c r="Q19" s="537"/>
      <c r="R19" s="537"/>
      <c r="S19" s="537"/>
      <c r="T19" s="537"/>
      <c r="U19" s="537"/>
      <c r="V19" s="537"/>
      <c r="W19" s="537"/>
      <c r="X19" s="537"/>
      <c r="Y19" s="537"/>
      <c r="Z19" s="537"/>
      <c r="AA19" s="537"/>
      <c r="AB19" s="537"/>
      <c r="AC19" s="537"/>
      <c r="AD19" s="537"/>
      <c r="AE19" s="537"/>
      <c r="AF19" s="537"/>
      <c r="AG19" s="964"/>
    </row>
    <row r="20" spans="1:33">
      <c r="A20" s="4405" t="s">
        <v>540</v>
      </c>
      <c r="B20" s="4529"/>
      <c r="C20" s="4530"/>
      <c r="D20" s="5736" t="s">
        <v>27</v>
      </c>
      <c r="E20" s="5737"/>
      <c r="F20" s="5737"/>
      <c r="G20" s="5737"/>
      <c r="H20" s="5737"/>
      <c r="I20" s="5737"/>
      <c r="J20" s="5737"/>
      <c r="K20" s="5737"/>
      <c r="L20" s="5738"/>
      <c r="M20" s="537"/>
      <c r="N20" s="537"/>
      <c r="O20" s="537"/>
      <c r="P20" s="537"/>
      <c r="Q20" s="537"/>
      <c r="R20" s="4406" t="s">
        <v>883</v>
      </c>
      <c r="S20" s="5699"/>
      <c r="T20" s="5699"/>
      <c r="U20" s="5699"/>
      <c r="V20" s="5699"/>
      <c r="W20" s="5699"/>
      <c r="X20" s="5699"/>
      <c r="Y20" s="5699"/>
      <c r="Z20" s="5699"/>
      <c r="AA20" s="5699"/>
      <c r="AB20" s="5724"/>
      <c r="AC20" s="4406" t="s">
        <v>884</v>
      </c>
      <c r="AD20" s="5699"/>
      <c r="AE20" s="5699"/>
      <c r="AF20" s="5699"/>
      <c r="AG20" s="5700"/>
    </row>
    <row r="21" spans="1:33">
      <c r="A21" s="4399" t="s">
        <v>541</v>
      </c>
      <c r="B21" s="4316"/>
      <c r="C21" s="4531"/>
      <c r="D21" s="4400" t="s">
        <v>885</v>
      </c>
      <c r="E21" s="4762"/>
      <c r="F21" s="4762"/>
      <c r="G21" s="4762"/>
      <c r="H21" s="4771"/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7"/>
      <c r="V21" s="537"/>
      <c r="W21" s="537"/>
      <c r="X21" s="537"/>
      <c r="Y21" s="537"/>
      <c r="Z21" s="537"/>
      <c r="AA21" s="537"/>
      <c r="AB21" s="537"/>
      <c r="AC21" s="537"/>
      <c r="AD21" s="537"/>
      <c r="AE21" s="537"/>
      <c r="AF21" s="537"/>
      <c r="AG21" s="991"/>
    </row>
    <row r="22" spans="1:33">
      <c r="A22" s="4408" t="s">
        <v>322</v>
      </c>
      <c r="B22" s="4536"/>
      <c r="C22" s="4536"/>
      <c r="D22" s="1711"/>
      <c r="E22" s="939"/>
      <c r="F22" s="939"/>
      <c r="G22" s="939"/>
      <c r="H22" s="939"/>
      <c r="I22" s="939"/>
      <c r="J22" s="939"/>
      <c r="K22" s="939"/>
      <c r="L22" s="939"/>
      <c r="M22" s="939"/>
      <c r="N22" s="939"/>
      <c r="O22" s="939"/>
      <c r="P22" s="939"/>
      <c r="Q22" s="939"/>
      <c r="R22" s="939"/>
      <c r="S22" s="939"/>
      <c r="T22" s="939"/>
      <c r="U22" s="939"/>
      <c r="V22" s="939"/>
      <c r="W22" s="939"/>
      <c r="X22" s="939"/>
      <c r="Y22" s="939"/>
      <c r="Z22" s="939"/>
      <c r="AA22" s="939"/>
      <c r="AB22" s="939"/>
      <c r="AC22" s="939"/>
      <c r="AD22" s="939"/>
      <c r="AE22" s="939"/>
      <c r="AF22" s="939"/>
      <c r="AG22" s="1712"/>
    </row>
    <row r="23" spans="1:33">
      <c r="A23" s="4828" t="s">
        <v>64</v>
      </c>
      <c r="B23" s="4574"/>
      <c r="C23" s="4767"/>
      <c r="D23" s="939"/>
      <c r="E23" s="939"/>
      <c r="F23" s="939"/>
      <c r="G23" s="939"/>
      <c r="H23" s="939"/>
      <c r="I23" s="939"/>
      <c r="J23" s="939"/>
      <c r="K23" s="939"/>
      <c r="L23" s="939"/>
      <c r="M23" s="939"/>
      <c r="N23" s="939"/>
      <c r="O23" s="939"/>
      <c r="P23" s="939"/>
      <c r="Q23" s="939"/>
      <c r="R23" s="939"/>
      <c r="S23" s="939"/>
      <c r="T23" s="939"/>
      <c r="U23" s="939"/>
      <c r="V23" s="939"/>
      <c r="W23" s="939"/>
      <c r="X23" s="939"/>
      <c r="Y23" s="939"/>
      <c r="Z23" s="939"/>
      <c r="AA23" s="939"/>
      <c r="AB23" s="939"/>
      <c r="AC23" s="939"/>
      <c r="AD23" s="939"/>
      <c r="AE23" s="939"/>
      <c r="AF23" s="939"/>
      <c r="AG23" s="1712"/>
    </row>
    <row r="24" spans="1:33">
      <c r="A24" s="5718" t="s">
        <v>886</v>
      </c>
      <c r="B24" s="5719"/>
      <c r="C24" s="5720"/>
      <c r="D24" s="939"/>
      <c r="E24" s="939"/>
      <c r="F24" s="939"/>
      <c r="G24" s="939"/>
      <c r="H24" s="939"/>
      <c r="I24" s="939"/>
      <c r="J24" s="939"/>
      <c r="K24" s="939"/>
      <c r="L24" s="939"/>
      <c r="M24" s="939"/>
      <c r="N24" s="939"/>
      <c r="O24" s="939"/>
      <c r="P24" s="939"/>
      <c r="Q24" s="939"/>
      <c r="R24" s="939"/>
      <c r="S24" s="939"/>
      <c r="T24" s="939"/>
      <c r="U24" s="939"/>
      <c r="V24" s="939"/>
      <c r="W24" s="939"/>
      <c r="X24" s="939"/>
      <c r="Y24" s="939"/>
      <c r="Z24" s="939"/>
      <c r="AA24" s="939"/>
      <c r="AB24" s="939"/>
      <c r="AC24" s="939"/>
      <c r="AD24" s="939"/>
      <c r="AE24" s="939"/>
      <c r="AF24" s="5730" t="s">
        <v>887</v>
      </c>
      <c r="AG24" s="5731"/>
    </row>
    <row r="25" spans="1:33">
      <c r="A25" s="5725" t="s">
        <v>888</v>
      </c>
      <c r="B25" s="5726"/>
      <c r="C25" s="5726"/>
      <c r="D25" s="537"/>
      <c r="E25" s="537"/>
      <c r="F25" s="537"/>
      <c r="G25" s="537"/>
      <c r="H25" s="537"/>
      <c r="I25" s="537"/>
      <c r="J25" s="537"/>
      <c r="K25" s="4488" t="s">
        <v>888</v>
      </c>
      <c r="L25" s="5721"/>
      <c r="M25" s="5721"/>
      <c r="N25" s="5721"/>
      <c r="O25" s="5722"/>
      <c r="P25" s="537"/>
      <c r="Q25" s="537"/>
      <c r="R25" s="537"/>
      <c r="S25" s="537"/>
      <c r="T25" s="537"/>
      <c r="U25" s="537"/>
      <c r="V25" s="537"/>
      <c r="W25" s="537"/>
      <c r="X25" s="537"/>
      <c r="Y25" s="537"/>
      <c r="Z25" s="537"/>
      <c r="AA25" s="537"/>
      <c r="AB25" s="537"/>
      <c r="AC25" s="537"/>
      <c r="AD25" s="537"/>
      <c r="AE25" s="537"/>
      <c r="AF25" s="939"/>
      <c r="AG25" s="1712"/>
    </row>
    <row r="26" spans="1:33" ht="16.5">
      <c r="A26" s="5764" t="s">
        <v>889</v>
      </c>
      <c r="B26" s="5765"/>
      <c r="C26" s="5766"/>
      <c r="D26" s="1764"/>
      <c r="E26" s="1765"/>
      <c r="F26" s="1765"/>
      <c r="G26" s="1765"/>
      <c r="H26" s="1765"/>
      <c r="I26" s="1765"/>
      <c r="J26" s="1765"/>
      <c r="K26" s="1765"/>
      <c r="L26" s="1765"/>
      <c r="M26" s="1765"/>
      <c r="N26" s="1765"/>
      <c r="O26" s="1765"/>
      <c r="P26" s="2216"/>
      <c r="Q26" s="2216"/>
      <c r="R26" s="1765"/>
      <c r="S26" s="1765"/>
      <c r="T26" s="1765"/>
      <c r="U26" s="1765"/>
      <c r="V26" s="1765"/>
      <c r="W26" s="2214"/>
      <c r="X26" s="2216"/>
      <c r="Y26" s="5745" t="s">
        <v>889</v>
      </c>
      <c r="Z26" s="5745"/>
      <c r="AA26" s="5745"/>
      <c r="AB26" s="5745"/>
      <c r="AC26" s="5745"/>
      <c r="AD26" s="5745"/>
      <c r="AE26" s="5745"/>
      <c r="AF26" s="5745"/>
      <c r="AG26" s="5745"/>
    </row>
    <row r="27" spans="1:33" ht="16.5">
      <c r="A27" s="2010" t="s">
        <v>66</v>
      </c>
      <c r="B27" s="1960" t="s">
        <v>67</v>
      </c>
      <c r="C27" s="1960" t="s">
        <v>74</v>
      </c>
      <c r="D27" s="1713"/>
      <c r="E27" s="3671" t="s">
        <v>251</v>
      </c>
      <c r="F27" s="5665" t="s">
        <v>364</v>
      </c>
      <c r="G27" s="5665"/>
      <c r="H27" s="3671" t="s">
        <v>251</v>
      </c>
      <c r="I27" s="461"/>
      <c r="J27" s="1714" t="s">
        <v>890</v>
      </c>
      <c r="K27" s="1715"/>
      <c r="L27" s="1714"/>
      <c r="M27" s="961"/>
      <c r="N27" s="425"/>
      <c r="O27" s="425"/>
      <c r="P27" s="961"/>
      <c r="Q27" s="3671" t="s">
        <v>251</v>
      </c>
      <c r="R27" s="5723" t="s">
        <v>891</v>
      </c>
      <c r="S27" s="5723"/>
      <c r="T27" s="5723"/>
      <c r="U27" s="5723"/>
      <c r="V27" s="5723"/>
      <c r="W27" s="3671" t="s">
        <v>251</v>
      </c>
      <c r="X27" s="961"/>
      <c r="Y27" s="961"/>
      <c r="Z27" s="961"/>
      <c r="AA27" s="2612" t="s">
        <v>251</v>
      </c>
      <c r="AB27" s="5756" t="s">
        <v>892</v>
      </c>
      <c r="AC27" s="5756"/>
      <c r="AD27" s="5756"/>
      <c r="AE27" s="5756"/>
      <c r="AF27" s="5756"/>
      <c r="AG27" s="5757"/>
    </row>
    <row r="28" spans="1:33" ht="16.5">
      <c r="A28" s="1966" t="s">
        <v>73</v>
      </c>
      <c r="B28" s="1943" t="s">
        <v>67</v>
      </c>
      <c r="C28" s="1943" t="s">
        <v>458</v>
      </c>
      <c r="D28" s="988"/>
      <c r="E28" s="3685"/>
      <c r="F28" s="3685"/>
      <c r="G28" s="3685"/>
      <c r="H28" s="3685"/>
      <c r="I28" s="537"/>
      <c r="J28" s="3628" t="s">
        <v>251</v>
      </c>
      <c r="K28" s="4475" t="s">
        <v>893</v>
      </c>
      <c r="L28" s="5768"/>
      <c r="M28" s="5768"/>
      <c r="N28" s="5768"/>
      <c r="O28" s="5768"/>
      <c r="P28" s="3628" t="s">
        <v>251</v>
      </c>
      <c r="Q28" s="537"/>
      <c r="R28" s="537"/>
      <c r="S28" s="374"/>
      <c r="T28" s="374"/>
      <c r="U28" s="537"/>
      <c r="V28" s="537"/>
      <c r="W28" s="537"/>
      <c r="X28" s="3628" t="s">
        <v>251</v>
      </c>
      <c r="Y28" s="5727" t="s">
        <v>894</v>
      </c>
      <c r="Z28" s="5727"/>
      <c r="AA28" s="2611" t="s">
        <v>251</v>
      </c>
      <c r="AB28" s="5728" t="s">
        <v>895</v>
      </c>
      <c r="AC28" s="5728"/>
      <c r="AD28" s="5728"/>
      <c r="AE28" s="5728"/>
      <c r="AF28" s="5728"/>
      <c r="AG28" s="5729"/>
    </row>
    <row r="29" spans="1:33" s="1704" customFormat="1" ht="15.75" customHeight="1">
      <c r="A29" s="1967" t="s">
        <v>599</v>
      </c>
      <c r="B29" s="1961" t="s">
        <v>543</v>
      </c>
      <c r="C29" s="1961" t="s">
        <v>544</v>
      </c>
      <c r="D29" s="1645"/>
      <c r="E29" s="1646"/>
      <c r="F29" s="1646"/>
      <c r="G29" s="1646"/>
      <c r="H29" s="1646"/>
      <c r="I29" s="1646"/>
      <c r="J29" s="969"/>
      <c r="K29" s="2613"/>
      <c r="L29" s="969"/>
      <c r="M29" s="966"/>
      <c r="N29" s="1646"/>
      <c r="O29" s="1646"/>
      <c r="P29" s="1646"/>
      <c r="Q29" s="1646"/>
      <c r="R29" s="1646"/>
      <c r="S29" s="1646"/>
      <c r="T29" s="1646"/>
      <c r="U29" s="1646"/>
      <c r="V29" s="1646"/>
      <c r="W29" s="1646"/>
      <c r="X29" s="1646"/>
      <c r="Y29" s="1646"/>
      <c r="Z29" s="1646"/>
      <c r="AA29" s="1646"/>
      <c r="AB29" s="1646"/>
      <c r="AC29" s="1646"/>
      <c r="AD29" s="1646"/>
      <c r="AE29" s="1646"/>
      <c r="AF29" s="1646"/>
      <c r="AG29" s="322"/>
    </row>
    <row r="30" spans="1:33" s="1704" customFormat="1" ht="15.75" customHeight="1">
      <c r="A30" s="3645" t="s">
        <v>84</v>
      </c>
      <c r="B30" s="2267" t="s">
        <v>85</v>
      </c>
      <c r="C30" s="1977" t="s">
        <v>86</v>
      </c>
      <c r="D30" s="2624"/>
      <c r="E30" s="3681" t="s">
        <v>251</v>
      </c>
      <c r="F30" s="5717" t="s">
        <v>364</v>
      </c>
      <c r="G30" s="5717"/>
      <c r="H30" s="4853" t="s">
        <v>896</v>
      </c>
      <c r="I30" s="5064"/>
      <c r="J30" s="3681" t="s">
        <v>251</v>
      </c>
      <c r="K30" s="1650"/>
      <c r="L30" s="1650"/>
      <c r="M30" s="1650"/>
      <c r="N30" s="1650"/>
      <c r="O30" s="1650"/>
      <c r="P30" s="1650"/>
      <c r="Q30" s="1650"/>
      <c r="R30" s="1650"/>
      <c r="S30" s="1650"/>
      <c r="T30" s="1650"/>
      <c r="U30" s="1650"/>
      <c r="V30" s="1650"/>
      <c r="W30" s="1650"/>
      <c r="X30" s="1650"/>
      <c r="Y30" s="1650"/>
      <c r="Z30" s="2625"/>
      <c r="AA30" s="2626"/>
      <c r="AB30" s="2626"/>
      <c r="AC30" s="2626"/>
      <c r="AD30" s="2626"/>
      <c r="AE30" s="2626"/>
      <c r="AF30" s="5758" t="s">
        <v>897</v>
      </c>
      <c r="AG30" s="5619"/>
    </row>
    <row r="31" spans="1:33" ht="16.5">
      <c r="A31" s="5029" t="s">
        <v>92</v>
      </c>
      <c r="B31" s="2607" t="s">
        <v>95</v>
      </c>
      <c r="C31" s="2622" t="s">
        <v>96</v>
      </c>
      <c r="D31" s="2615"/>
      <c r="E31" s="2281" t="s">
        <v>720</v>
      </c>
      <c r="F31" s="2014"/>
      <c r="G31" s="2014"/>
      <c r="H31" s="2014"/>
      <c r="I31" s="2014"/>
      <c r="J31" s="2014"/>
      <c r="K31" s="2014"/>
      <c r="L31" s="2283" t="s">
        <v>722</v>
      </c>
      <c r="M31" s="1715"/>
      <c r="N31" s="1715"/>
      <c r="O31" s="2467"/>
      <c r="P31" s="5739" t="s">
        <v>898</v>
      </c>
      <c r="Q31" s="5740"/>
      <c r="R31" s="5740"/>
      <c r="S31" s="5740"/>
      <c r="T31" s="5740"/>
      <c r="U31" s="5740"/>
      <c r="V31" s="5740"/>
      <c r="W31" s="5740"/>
      <c r="X31" s="5741"/>
      <c r="Y31" s="461"/>
      <c r="Z31" s="2616" t="s">
        <v>251</v>
      </c>
      <c r="AA31" s="5710" t="s">
        <v>899</v>
      </c>
      <c r="AB31" s="5711"/>
      <c r="AC31" s="5753" t="s">
        <v>892</v>
      </c>
      <c r="AD31" s="5754"/>
      <c r="AE31" s="5754"/>
      <c r="AF31" s="5754"/>
      <c r="AG31" s="5755"/>
    </row>
    <row r="32" spans="1:33" ht="16.5">
      <c r="A32" s="5030"/>
      <c r="B32" s="2608" t="s">
        <v>326</v>
      </c>
      <c r="C32" s="2526" t="s">
        <v>327</v>
      </c>
      <c r="D32" s="2617"/>
      <c r="E32" s="2207"/>
      <c r="F32" s="1074"/>
      <c r="G32" s="1074"/>
      <c r="H32" s="2272"/>
      <c r="I32" s="2272" t="s">
        <v>720</v>
      </c>
      <c r="J32" s="1074"/>
      <c r="K32" s="1074"/>
      <c r="L32" s="1074"/>
      <c r="M32" s="2494"/>
      <c r="N32" s="2496" t="s">
        <v>722</v>
      </c>
      <c r="O32" s="2497"/>
      <c r="P32" s="901"/>
      <c r="Q32" s="2496" t="s">
        <v>722</v>
      </c>
      <c r="R32" s="2498"/>
      <c r="S32" s="2496"/>
      <c r="T32" s="2496"/>
      <c r="U32" s="1765"/>
      <c r="V32" s="2496"/>
      <c r="W32" s="1765"/>
      <c r="X32" s="2216"/>
      <c r="Y32" s="323"/>
      <c r="Z32" s="2614" t="s">
        <v>251</v>
      </c>
      <c r="AA32" s="5712" t="s">
        <v>899</v>
      </c>
      <c r="AB32" s="5713"/>
      <c r="AC32" s="5683" t="s">
        <v>892</v>
      </c>
      <c r="AD32" s="5684"/>
      <c r="AE32" s="5684"/>
      <c r="AF32" s="5684"/>
      <c r="AG32" s="5682"/>
    </row>
    <row r="33" spans="1:33">
      <c r="A33" s="5030"/>
      <c r="B33" s="2609" t="s">
        <v>606</v>
      </c>
      <c r="C33" s="2623" t="s">
        <v>98</v>
      </c>
      <c r="D33" s="965"/>
      <c r="E33" s="2606" t="s">
        <v>251</v>
      </c>
      <c r="F33" s="5746" t="s">
        <v>364</v>
      </c>
      <c r="G33" s="5746"/>
      <c r="H33" s="2606" t="s">
        <v>251</v>
      </c>
      <c r="I33" s="4423" t="s">
        <v>900</v>
      </c>
      <c r="J33" s="5332"/>
      <c r="K33" s="5332"/>
      <c r="L33" s="5332"/>
      <c r="M33" s="5333"/>
      <c r="N33" s="966"/>
      <c r="O33" s="966"/>
      <c r="P33" s="2618" t="s">
        <v>720</v>
      </c>
      <c r="Q33" s="966"/>
      <c r="R33" s="966"/>
      <c r="S33" s="966"/>
      <c r="T33" s="966"/>
      <c r="U33" s="966"/>
      <c r="V33" s="2636" t="s">
        <v>251</v>
      </c>
      <c r="W33" s="5656" t="s">
        <v>901</v>
      </c>
      <c r="X33" s="5656"/>
      <c r="Y33" s="5656"/>
      <c r="Z33" s="5656"/>
      <c r="AA33" s="5656"/>
      <c r="AB33" s="2619" t="s">
        <v>251</v>
      </c>
      <c r="AC33" s="2620"/>
      <c r="AD33" s="2252" t="s">
        <v>720</v>
      </c>
      <c r="AE33" s="995"/>
      <c r="AF33" s="966"/>
      <c r="AG33" s="2621"/>
    </row>
    <row r="34" spans="1:33" ht="15.75">
      <c r="A34" s="5742" t="s">
        <v>99</v>
      </c>
      <c r="B34" s="1948" t="s">
        <v>100</v>
      </c>
      <c r="C34" s="1969" t="s">
        <v>101</v>
      </c>
      <c r="D34" s="970"/>
      <c r="E34" s="1765"/>
      <c r="F34" s="1765"/>
      <c r="G34" s="1765"/>
      <c r="H34" s="1765"/>
      <c r="I34" s="1765"/>
      <c r="J34" s="1765"/>
      <c r="K34" s="1765"/>
      <c r="L34" s="2660" t="s">
        <v>251</v>
      </c>
      <c r="M34" s="3672" t="s">
        <v>902</v>
      </c>
      <c r="N34" s="5701" t="s">
        <v>903</v>
      </c>
      <c r="O34" s="5701"/>
      <c r="P34" s="5702" t="s">
        <v>902</v>
      </c>
      <c r="Q34" s="5703"/>
      <c r="R34" s="5750" t="s">
        <v>891</v>
      </c>
      <c r="S34" s="5751"/>
      <c r="T34" s="5751"/>
      <c r="U34" s="5751"/>
      <c r="V34" s="5752"/>
      <c r="W34" s="3681" t="s">
        <v>251</v>
      </c>
      <c r="X34" s="1765"/>
      <c r="Y34" s="1765"/>
      <c r="Z34" s="1765"/>
      <c r="AA34" s="1765"/>
      <c r="AB34" s="1765"/>
      <c r="AC34" s="1765"/>
      <c r="AD34" s="1765"/>
      <c r="AE34" s="1765"/>
      <c r="AF34" s="799"/>
      <c r="AG34" s="994"/>
    </row>
    <row r="35" spans="1:33" ht="15.75">
      <c r="A35" s="5403"/>
      <c r="B35" s="1948" t="s">
        <v>100</v>
      </c>
      <c r="C35" s="1969" t="s">
        <v>725</v>
      </c>
      <c r="D35" s="2555"/>
      <c r="E35" s="2250"/>
      <c r="F35" s="2250"/>
      <c r="G35" s="2250"/>
      <c r="H35" s="2250"/>
      <c r="I35" s="2250"/>
      <c r="J35" s="2250"/>
      <c r="K35" s="2250"/>
      <c r="L35" s="3099"/>
      <c r="M35" s="2553"/>
      <c r="N35" s="2554"/>
      <c r="O35" s="2554"/>
      <c r="P35" s="2547"/>
      <c r="Q35" s="2547"/>
      <c r="R35" s="2548"/>
      <c r="S35" s="2548"/>
      <c r="T35" s="2548"/>
      <c r="U35" s="2548"/>
      <c r="V35" s="2548"/>
      <c r="W35" s="1268"/>
      <c r="X35" s="362"/>
      <c r="Y35" s="362"/>
      <c r="Z35" s="362"/>
      <c r="AA35" s="362"/>
      <c r="AB35" s="362"/>
      <c r="AC35" s="362"/>
      <c r="AD35" s="362"/>
      <c r="AE35" s="362"/>
      <c r="AF35" s="941"/>
      <c r="AG35" s="994"/>
    </row>
    <row r="36" spans="1:33">
      <c r="A36" s="5403"/>
      <c r="B36" s="1945" t="s">
        <v>77</v>
      </c>
      <c r="C36" s="1939" t="s">
        <v>245</v>
      </c>
      <c r="D36" s="970"/>
      <c r="E36" s="2563" t="s">
        <v>251</v>
      </c>
      <c r="F36" s="5767" t="s">
        <v>364</v>
      </c>
      <c r="G36" s="5767"/>
      <c r="H36" s="2563" t="s">
        <v>251</v>
      </c>
      <c r="I36" s="5747" t="s">
        <v>904</v>
      </c>
      <c r="J36" s="5748"/>
      <c r="K36" s="5749"/>
      <c r="L36" s="2549"/>
      <c r="M36" s="2549"/>
      <c r="N36" s="795"/>
      <c r="O36" s="796"/>
      <c r="P36" s="795"/>
      <c r="Q36" s="799"/>
      <c r="R36" s="5743" t="s">
        <v>905</v>
      </c>
      <c r="S36" s="5323"/>
      <c r="T36" s="5323"/>
      <c r="U36" s="5323"/>
      <c r="V36" s="5323"/>
      <c r="W36" s="5744"/>
      <c r="X36" s="4550" t="s">
        <v>906</v>
      </c>
      <c r="Y36" s="4551"/>
      <c r="Z36" s="2550"/>
      <c r="AA36" s="2550"/>
      <c r="AB36" s="2550"/>
      <c r="AC36" s="2551"/>
      <c r="AD36" s="2552"/>
      <c r="AE36" s="2552"/>
      <c r="AF36" s="2250"/>
      <c r="AG36" s="2251"/>
    </row>
    <row r="37" spans="1:33" ht="15.75" customHeight="1">
      <c r="A37" s="5403"/>
      <c r="B37" s="2460" t="s">
        <v>95</v>
      </c>
      <c r="C37" s="2521" t="s">
        <v>726</v>
      </c>
      <c r="D37" s="935"/>
      <c r="E37" s="1631" t="s">
        <v>717</v>
      </c>
      <c r="F37" s="779"/>
      <c r="G37" s="779"/>
      <c r="H37" s="3628" t="s">
        <v>251</v>
      </c>
      <c r="I37" s="4563" t="s">
        <v>907</v>
      </c>
      <c r="J37" s="4566"/>
      <c r="K37" s="4566"/>
      <c r="L37" s="4566"/>
      <c r="M37" s="4566"/>
      <c r="N37" s="4566"/>
      <c r="O37" s="4566"/>
      <c r="P37" s="4566"/>
      <c r="Q37" s="4566"/>
      <c r="R37" s="4566"/>
      <c r="S37" s="4566"/>
      <c r="T37" s="4566"/>
      <c r="U37" s="4566"/>
      <c r="V37" s="4566"/>
      <c r="W37" s="4566"/>
      <c r="X37" s="4566"/>
      <c r="Y37" s="4566"/>
      <c r="Z37" s="4566"/>
      <c r="AA37" s="4566"/>
      <c r="AB37" s="4566"/>
      <c r="AC37" s="4566"/>
      <c r="AD37" s="4566"/>
      <c r="AE37" s="4567"/>
      <c r="AF37" s="3628" t="s">
        <v>251</v>
      </c>
      <c r="AG37" s="804"/>
    </row>
    <row r="38" spans="1:33" ht="16.5">
      <c r="A38" s="5403"/>
      <c r="B38" s="1945" t="s">
        <v>95</v>
      </c>
      <c r="C38" s="1939" t="s">
        <v>548</v>
      </c>
      <c r="D38" s="2556" t="s">
        <v>251</v>
      </c>
      <c r="E38" s="779"/>
      <c r="F38" s="779"/>
      <c r="G38" s="779"/>
      <c r="H38" s="779"/>
      <c r="I38" s="537"/>
      <c r="J38" s="537"/>
      <c r="K38" s="1459"/>
      <c r="L38" s="537"/>
      <c r="M38" s="537"/>
      <c r="N38" s="1459" t="s">
        <v>720</v>
      </c>
      <c r="O38" s="920"/>
      <c r="P38" s="799"/>
      <c r="Q38" s="1459" t="s">
        <v>720</v>
      </c>
      <c r="R38" s="799"/>
      <c r="S38" s="799"/>
      <c r="T38" s="537"/>
      <c r="U38" s="537"/>
      <c r="V38" s="537"/>
      <c r="W38" s="537"/>
      <c r="X38" s="537"/>
      <c r="Y38" s="2215" t="s">
        <v>251</v>
      </c>
      <c r="Z38" s="5680" t="s">
        <v>899</v>
      </c>
      <c r="AA38" s="5681"/>
      <c r="AB38" s="5713"/>
      <c r="AC38" s="5680" t="s">
        <v>892</v>
      </c>
      <c r="AD38" s="5681"/>
      <c r="AE38" s="5681"/>
      <c r="AF38" s="5681"/>
      <c r="AG38" s="5682"/>
    </row>
    <row r="39" spans="1:33" ht="16.5">
      <c r="A39" s="5403"/>
      <c r="B39" s="1945" t="s">
        <v>106</v>
      </c>
      <c r="C39" s="1939" t="s">
        <v>107</v>
      </c>
      <c r="D39" s="963"/>
      <c r="E39" s="537"/>
      <c r="F39" s="1459" t="s">
        <v>720</v>
      </c>
      <c r="G39" s="537"/>
      <c r="H39" s="537"/>
      <c r="I39" s="537"/>
      <c r="J39" s="3628" t="s">
        <v>251</v>
      </c>
      <c r="K39" s="4724" t="s">
        <v>908</v>
      </c>
      <c r="L39" s="4725"/>
      <c r="M39" s="4725"/>
      <c r="N39" s="4725"/>
      <c r="O39" s="4726"/>
      <c r="P39" s="3628" t="s">
        <v>251</v>
      </c>
      <c r="Q39" s="537"/>
      <c r="R39" s="537"/>
      <c r="S39" s="537"/>
      <c r="T39" s="537" t="s">
        <v>324</v>
      </c>
      <c r="U39" s="1459" t="s">
        <v>720</v>
      </c>
      <c r="V39" s="537"/>
      <c r="W39" s="537"/>
      <c r="X39" s="537"/>
      <c r="Y39" s="2215" t="s">
        <v>251</v>
      </c>
      <c r="Z39" s="5680" t="s">
        <v>899</v>
      </c>
      <c r="AA39" s="5681"/>
      <c r="AB39" s="5713"/>
      <c r="AC39" s="5680" t="s">
        <v>892</v>
      </c>
      <c r="AD39" s="5681"/>
      <c r="AE39" s="5681"/>
      <c r="AF39" s="5681"/>
      <c r="AG39" s="5682"/>
    </row>
    <row r="40" spans="1:33" ht="16.5">
      <c r="A40" s="5525"/>
      <c r="B40" s="1946" t="s">
        <v>108</v>
      </c>
      <c r="C40" s="1949" t="s">
        <v>109</v>
      </c>
      <c r="D40" s="5693" t="s">
        <v>909</v>
      </c>
      <c r="E40" s="4418"/>
      <c r="F40" s="2015"/>
      <c r="G40" s="939"/>
      <c r="H40" s="1465"/>
      <c r="I40" s="1465" t="s">
        <v>722</v>
      </c>
      <c r="J40" s="939"/>
      <c r="K40" s="939"/>
      <c r="L40" s="939"/>
      <c r="M40" s="1465"/>
      <c r="N40" s="797"/>
      <c r="O40" s="797"/>
      <c r="P40" s="797"/>
      <c r="Q40" s="1465"/>
      <c r="R40" s="1465" t="s">
        <v>720</v>
      </c>
      <c r="S40" s="939"/>
      <c r="T40" s="1465" t="s">
        <v>720</v>
      </c>
      <c r="U40" s="939"/>
      <c r="V40" s="1465" t="s">
        <v>722</v>
      </c>
      <c r="W40" s="939"/>
      <c r="X40" s="939"/>
      <c r="Y40" s="2581" t="s">
        <v>251</v>
      </c>
      <c r="Z40" s="5683" t="s">
        <v>899</v>
      </c>
      <c r="AA40" s="5684"/>
      <c r="AB40" s="5685"/>
      <c r="AC40" s="5683" t="s">
        <v>892</v>
      </c>
      <c r="AD40" s="5684"/>
      <c r="AE40" s="5684"/>
      <c r="AF40" s="5684"/>
      <c r="AG40" s="5707"/>
    </row>
    <row r="41" spans="1:33">
      <c r="A41" s="5030" t="s">
        <v>110</v>
      </c>
      <c r="B41" s="1937" t="s">
        <v>283</v>
      </c>
      <c r="C41" s="1937" t="s">
        <v>201</v>
      </c>
      <c r="D41" s="1499"/>
      <c r="E41" s="937"/>
      <c r="F41" s="937"/>
      <c r="G41" s="937"/>
      <c r="H41" s="2584" t="s">
        <v>720</v>
      </c>
      <c r="I41" s="937"/>
      <c r="J41" s="937"/>
      <c r="K41" s="937"/>
      <c r="L41" s="937"/>
      <c r="M41" s="937"/>
      <c r="N41" s="937"/>
      <c r="O41" s="937"/>
      <c r="P41" s="937"/>
      <c r="Q41" s="937"/>
      <c r="R41" s="937"/>
      <c r="S41" s="2584" t="s">
        <v>720</v>
      </c>
      <c r="T41" s="937"/>
      <c r="U41" s="937"/>
      <c r="V41" s="4436" t="s">
        <v>112</v>
      </c>
      <c r="W41" s="4502"/>
      <c r="X41" s="4503"/>
      <c r="Y41" s="937"/>
      <c r="Z41" s="2584" t="s">
        <v>720</v>
      </c>
      <c r="AA41" s="937"/>
      <c r="AB41" s="937"/>
      <c r="AC41" s="937"/>
      <c r="AD41" s="937"/>
      <c r="AE41" s="937"/>
      <c r="AF41" s="937"/>
      <c r="AG41" s="3608" t="s">
        <v>112</v>
      </c>
    </row>
    <row r="42" spans="1:33">
      <c r="A42" s="5030"/>
      <c r="B42" s="1969" t="s">
        <v>283</v>
      </c>
      <c r="C42" s="2267" t="s">
        <v>610</v>
      </c>
      <c r="D42" s="2585"/>
      <c r="E42" s="779"/>
      <c r="F42" s="779"/>
      <c r="G42" s="779"/>
      <c r="H42" s="779"/>
      <c r="I42" s="779"/>
      <c r="J42" s="779"/>
      <c r="K42" s="779"/>
      <c r="L42" s="779"/>
      <c r="M42" s="779"/>
      <c r="N42" s="779"/>
      <c r="O42" s="779"/>
      <c r="P42" s="779"/>
      <c r="Q42" s="779"/>
      <c r="R42" s="779"/>
      <c r="S42" s="779"/>
      <c r="T42" s="779"/>
      <c r="U42" s="779"/>
      <c r="V42" s="779"/>
      <c r="W42" s="779"/>
      <c r="X42" s="779"/>
      <c r="Y42" s="779"/>
      <c r="Z42" s="779"/>
      <c r="AA42" s="1631" t="s">
        <v>717</v>
      </c>
      <c r="AB42" s="779"/>
      <c r="AC42" s="779"/>
      <c r="AD42" s="779"/>
      <c r="AE42" s="779"/>
      <c r="AF42" s="5669" t="s">
        <v>910</v>
      </c>
      <c r="AG42" s="5658"/>
    </row>
    <row r="43" spans="1:33">
      <c r="A43" s="5030"/>
      <c r="B43" s="1969" t="s">
        <v>95</v>
      </c>
      <c r="C43" s="2526" t="s">
        <v>249</v>
      </c>
      <c r="D43" s="5696" t="s">
        <v>450</v>
      </c>
      <c r="E43" s="5697"/>
      <c r="F43" s="5697"/>
      <c r="G43" s="3628" t="s">
        <v>251</v>
      </c>
      <c r="H43" s="779"/>
      <c r="I43" s="779"/>
      <c r="J43" s="1459" t="s">
        <v>720</v>
      </c>
      <c r="K43" s="779"/>
      <c r="L43" s="779"/>
      <c r="M43" s="779"/>
      <c r="N43" s="779"/>
      <c r="O43" s="779"/>
      <c r="P43" s="779"/>
      <c r="Q43" s="1459"/>
      <c r="R43" s="779"/>
      <c r="S43" s="779"/>
      <c r="T43" s="779"/>
      <c r="U43" s="779"/>
      <c r="V43" s="4475" t="s">
        <v>158</v>
      </c>
      <c r="W43" s="4475"/>
      <c r="X43" s="4475"/>
      <c r="Y43" s="4475"/>
      <c r="Z43" s="4475"/>
      <c r="AA43" s="4475"/>
      <c r="AB43" s="4475"/>
      <c r="AC43" s="4475"/>
      <c r="AD43" s="4475"/>
      <c r="AE43" s="4475"/>
      <c r="AF43" s="4475"/>
      <c r="AG43" s="4506"/>
    </row>
    <row r="44" spans="1:33">
      <c r="A44" s="5030"/>
      <c r="B44" s="1939" t="s">
        <v>113</v>
      </c>
      <c r="C44" s="1939" t="s">
        <v>116</v>
      </c>
      <c r="D44" s="935"/>
      <c r="E44" s="779"/>
      <c r="F44" s="779"/>
      <c r="G44" s="1459" t="s">
        <v>720</v>
      </c>
      <c r="H44" s="779"/>
      <c r="I44" s="779"/>
      <c r="J44" s="779"/>
      <c r="K44" s="779"/>
      <c r="L44" s="779"/>
      <c r="M44" s="779"/>
      <c r="N44" s="779"/>
      <c r="O44" s="779"/>
      <c r="P44" s="779"/>
      <c r="Q44" s="779"/>
      <c r="R44" s="779"/>
      <c r="S44" s="779"/>
      <c r="T44" s="779"/>
      <c r="U44" s="779"/>
      <c r="V44" s="1631"/>
      <c r="W44" s="779"/>
      <c r="X44" s="779"/>
      <c r="Y44" s="779"/>
      <c r="Z44" s="1631" t="s">
        <v>722</v>
      </c>
      <c r="AA44" s="1631"/>
      <c r="AB44" s="779"/>
      <c r="AC44" s="779"/>
      <c r="AD44" s="779"/>
      <c r="AE44" s="779"/>
      <c r="AF44" s="1631" t="s">
        <v>722</v>
      </c>
      <c r="AG44" s="804"/>
    </row>
    <row r="45" spans="1:33">
      <c r="A45" s="5030"/>
      <c r="B45" s="1939" t="s">
        <v>118</v>
      </c>
      <c r="C45" s="1939" t="s">
        <v>119</v>
      </c>
      <c r="D45" s="5686" t="s">
        <v>911</v>
      </c>
      <c r="E45" s="5687"/>
      <c r="F45" s="5687"/>
      <c r="G45" s="5687"/>
      <c r="H45" s="779"/>
      <c r="I45" s="779"/>
      <c r="J45" s="779"/>
      <c r="K45" s="779"/>
      <c r="L45" s="779"/>
      <c r="M45" s="779"/>
      <c r="N45" s="779"/>
      <c r="O45" s="5694" t="s">
        <v>650</v>
      </c>
      <c r="P45" s="5694"/>
      <c r="Q45" s="5694"/>
      <c r="R45" s="5694"/>
      <c r="S45" s="5694"/>
      <c r="T45" s="5694"/>
      <c r="U45" s="5694"/>
      <c r="V45" s="5694"/>
      <c r="W45" s="5694"/>
      <c r="X45" s="5694"/>
      <c r="Y45" s="5694"/>
      <c r="Z45" s="5694"/>
      <c r="AA45" s="1631" t="s">
        <v>720</v>
      </c>
      <c r="AB45" s="5694" t="s">
        <v>650</v>
      </c>
      <c r="AC45" s="5694"/>
      <c r="AD45" s="5694"/>
      <c r="AE45" s="5694"/>
      <c r="AF45" s="5694"/>
      <c r="AG45" s="5695"/>
    </row>
    <row r="46" spans="1:33">
      <c r="A46" s="5030"/>
      <c r="B46" s="1939" t="s">
        <v>500</v>
      </c>
      <c r="C46" s="1939" t="s">
        <v>126</v>
      </c>
      <c r="D46" s="2586" t="s">
        <v>722</v>
      </c>
      <c r="E46" s="2287"/>
      <c r="F46" s="2287"/>
      <c r="G46" s="2287"/>
      <c r="H46" s="2287"/>
      <c r="I46" s="2287"/>
      <c r="J46" s="2287"/>
      <c r="K46" s="2287"/>
      <c r="L46" s="779"/>
      <c r="M46" s="779"/>
      <c r="N46" s="779"/>
      <c r="O46" s="779"/>
      <c r="P46" s="779"/>
      <c r="Q46" s="779"/>
      <c r="R46" s="779"/>
      <c r="S46" s="779"/>
      <c r="T46" s="779"/>
      <c r="U46" s="779"/>
      <c r="V46" s="779"/>
      <c r="W46" s="1631" t="s">
        <v>722</v>
      </c>
      <c r="X46" s="779"/>
      <c r="Y46" s="4475" t="s">
        <v>112</v>
      </c>
      <c r="Z46" s="5270"/>
      <c r="AA46" s="779"/>
      <c r="AB46" s="1631" t="s">
        <v>720</v>
      </c>
      <c r="AC46" s="779"/>
      <c r="AD46" s="779"/>
      <c r="AE46" s="779"/>
      <c r="AF46" s="779"/>
      <c r="AG46" s="804"/>
    </row>
    <row r="47" spans="1:33">
      <c r="A47" s="5030"/>
      <c r="B47" s="1949" t="s">
        <v>120</v>
      </c>
      <c r="C47" s="1949" t="s">
        <v>121</v>
      </c>
      <c r="D47" s="4514" t="s">
        <v>112</v>
      </c>
      <c r="E47" s="4475"/>
      <c r="F47" s="4475"/>
      <c r="G47" s="4475"/>
      <c r="H47" s="4475"/>
      <c r="I47" s="3628" t="s">
        <v>251</v>
      </c>
      <c r="J47" s="5698" t="s">
        <v>112</v>
      </c>
      <c r="K47" s="5698"/>
      <c r="L47" s="5698"/>
      <c r="M47" s="779"/>
      <c r="N47" s="779"/>
      <c r="O47" s="1631" t="s">
        <v>722</v>
      </c>
      <c r="P47" s="779"/>
      <c r="Q47" s="779"/>
      <c r="R47" s="779"/>
      <c r="S47" s="779"/>
      <c r="T47" s="779"/>
      <c r="U47" s="779"/>
      <c r="V47" s="779"/>
      <c r="W47" s="779"/>
      <c r="X47" s="1631" t="s">
        <v>722</v>
      </c>
      <c r="Y47" s="779"/>
      <c r="Z47" s="779"/>
      <c r="AA47" s="779"/>
      <c r="AB47" s="779"/>
      <c r="AC47" s="1631" t="s">
        <v>722</v>
      </c>
      <c r="AD47" s="779"/>
      <c r="AE47" s="779"/>
      <c r="AF47" s="1631" t="s">
        <v>720</v>
      </c>
      <c r="AG47" s="804"/>
    </row>
    <row r="48" spans="1:33">
      <c r="A48" s="5030"/>
      <c r="B48" s="1943" t="s">
        <v>122</v>
      </c>
      <c r="C48" s="1943" t="s">
        <v>123</v>
      </c>
      <c r="D48" s="5686" t="s">
        <v>912</v>
      </c>
      <c r="E48" s="5687"/>
      <c r="F48" s="5687"/>
      <c r="G48" s="5688" t="s">
        <v>158</v>
      </c>
      <c r="H48" s="5688"/>
      <c r="I48" s="5688"/>
      <c r="J48" s="5688"/>
      <c r="K48" s="5688"/>
      <c r="L48" s="1459"/>
      <c r="M48" s="2628"/>
      <c r="N48" s="2628"/>
      <c r="O48" s="3702"/>
      <c r="P48" s="3702"/>
      <c r="Q48" s="3702"/>
      <c r="R48" s="779"/>
      <c r="S48" s="779"/>
      <c r="T48" s="779"/>
      <c r="U48" s="779"/>
      <c r="V48" s="779"/>
      <c r="W48" s="1631" t="s">
        <v>720</v>
      </c>
      <c r="X48" s="779"/>
      <c r="Y48" s="779"/>
      <c r="Z48" s="779"/>
      <c r="AA48" s="1631" t="s">
        <v>722</v>
      </c>
      <c r="AB48" s="779"/>
      <c r="AC48" s="1631"/>
      <c r="AD48" s="779"/>
      <c r="AE48" s="779"/>
      <c r="AF48" s="779"/>
      <c r="AG48" s="2587" t="s">
        <v>722</v>
      </c>
    </row>
    <row r="49" spans="1:36">
      <c r="A49" s="5030"/>
      <c r="B49" s="1943" t="s">
        <v>122</v>
      </c>
      <c r="C49" s="1943" t="s">
        <v>553</v>
      </c>
      <c r="D49" s="5690" t="s">
        <v>112</v>
      </c>
      <c r="E49" s="5691"/>
      <c r="F49" s="5691"/>
      <c r="G49" s="5691"/>
      <c r="H49" s="5691"/>
      <c r="I49" s="5691"/>
      <c r="J49" s="5691"/>
      <c r="K49" s="2628"/>
      <c r="L49" s="2628"/>
      <c r="M49" s="2628"/>
      <c r="N49" s="2628"/>
      <c r="O49" s="3702"/>
      <c r="P49" s="3702"/>
      <c r="Q49" s="3702"/>
      <c r="R49" s="779"/>
      <c r="S49" s="779"/>
      <c r="T49" s="779"/>
      <c r="U49" s="779"/>
      <c r="V49" s="779"/>
      <c r="W49" s="779"/>
      <c r="X49" s="779"/>
      <c r="Y49" s="1631" t="s">
        <v>717</v>
      </c>
      <c r="Z49" s="1631"/>
      <c r="AA49" s="779"/>
      <c r="AB49" s="779"/>
      <c r="AC49" s="779"/>
      <c r="AD49" s="779"/>
      <c r="AE49" s="779"/>
      <c r="AF49" s="779"/>
      <c r="AG49" s="2587" t="s">
        <v>717</v>
      </c>
    </row>
    <row r="50" spans="1:36">
      <c r="A50" s="5030"/>
      <c r="B50" s="1943" t="s">
        <v>124</v>
      </c>
      <c r="C50" s="1943" t="s">
        <v>125</v>
      </c>
      <c r="D50" s="935"/>
      <c r="E50" s="779"/>
      <c r="F50" s="779"/>
      <c r="G50" s="1631" t="s">
        <v>722</v>
      </c>
      <c r="H50" s="779"/>
      <c r="I50" s="779"/>
      <c r="J50" s="779"/>
      <c r="K50" s="779"/>
      <c r="L50" s="1459" t="s">
        <v>720</v>
      </c>
      <c r="M50" s="779"/>
      <c r="N50" s="779"/>
      <c r="O50" s="5689" t="s">
        <v>913</v>
      </c>
      <c r="P50" s="5689"/>
      <c r="Q50" s="5689"/>
      <c r="R50" s="5689"/>
      <c r="S50" s="5689"/>
      <c r="T50" s="5689"/>
      <c r="U50" s="5689"/>
      <c r="V50" s="5689"/>
      <c r="W50" s="5689"/>
      <c r="X50" s="5689"/>
      <c r="Y50" s="5689"/>
      <c r="Z50" s="5689"/>
      <c r="AA50" s="5689"/>
      <c r="AB50" s="5689"/>
      <c r="AC50" s="5689"/>
      <c r="AD50" s="5689"/>
      <c r="AE50" s="5689"/>
      <c r="AF50" s="5689"/>
      <c r="AG50" s="2588" t="s">
        <v>112</v>
      </c>
    </row>
    <row r="51" spans="1:36">
      <c r="A51" s="5030"/>
      <c r="B51" s="1943" t="s">
        <v>293</v>
      </c>
      <c r="C51" s="1943" t="s">
        <v>733</v>
      </c>
      <c r="D51" s="935"/>
      <c r="E51" s="779"/>
      <c r="F51" s="779"/>
      <c r="G51" s="779"/>
      <c r="H51" s="779"/>
      <c r="I51" s="779"/>
      <c r="J51" s="779"/>
      <c r="K51" s="779"/>
      <c r="L51" s="779"/>
      <c r="M51" s="779"/>
      <c r="N51" s="779"/>
      <c r="O51" s="779"/>
      <c r="P51" s="779"/>
      <c r="Q51" s="779"/>
      <c r="R51" s="779"/>
      <c r="S51" s="779"/>
      <c r="T51" s="779"/>
      <c r="U51" s="779"/>
      <c r="V51" s="779"/>
      <c r="W51" s="779"/>
      <c r="X51" s="779"/>
      <c r="Y51" s="779"/>
      <c r="Z51" s="779"/>
      <c r="AA51" s="779"/>
      <c r="AB51" s="779"/>
      <c r="AC51" s="779"/>
      <c r="AD51" s="779"/>
      <c r="AE51" s="779"/>
      <c r="AF51" s="779"/>
      <c r="AG51" s="804"/>
    </row>
    <row r="52" spans="1:36">
      <c r="A52" s="5030"/>
      <c r="B52" s="1943" t="s">
        <v>692</v>
      </c>
      <c r="C52" s="1943" t="s">
        <v>693</v>
      </c>
      <c r="D52" s="5690" t="s">
        <v>112</v>
      </c>
      <c r="E52" s="5691"/>
      <c r="F52" s="5691"/>
      <c r="G52" s="5691"/>
      <c r="H52" s="5691"/>
      <c r="I52" s="5691"/>
      <c r="J52" s="5691"/>
      <c r="K52" s="5691"/>
      <c r="L52" s="5691"/>
      <c r="M52" s="5691"/>
      <c r="N52" s="5691"/>
      <c r="O52" s="5691"/>
      <c r="P52" s="779"/>
      <c r="Q52" s="779"/>
      <c r="R52" s="779"/>
      <c r="S52" s="779"/>
      <c r="T52" s="779"/>
      <c r="U52" s="779"/>
      <c r="V52" s="779"/>
      <c r="W52" s="779"/>
      <c r="X52" s="779"/>
      <c r="Y52" s="779"/>
      <c r="Z52" s="779"/>
      <c r="AA52" s="779"/>
      <c r="AB52" s="1631" t="s">
        <v>717</v>
      </c>
      <c r="AC52" s="779"/>
      <c r="AD52" s="779"/>
      <c r="AE52" s="779"/>
      <c r="AF52" s="779"/>
      <c r="AG52" s="804"/>
    </row>
    <row r="53" spans="1:36">
      <c r="A53" s="5030"/>
      <c r="B53" s="2267" t="s">
        <v>127</v>
      </c>
      <c r="C53" s="2267" t="s">
        <v>657</v>
      </c>
      <c r="D53" s="5696" t="s">
        <v>450</v>
      </c>
      <c r="E53" s="5697"/>
      <c r="F53" s="5697"/>
      <c r="G53" s="3628" t="s">
        <v>251</v>
      </c>
      <c r="H53" s="1631" t="s">
        <v>717</v>
      </c>
      <c r="I53" s="779"/>
      <c r="J53" s="779"/>
      <c r="K53" s="779"/>
      <c r="L53" s="779"/>
      <c r="M53" s="779"/>
      <c r="N53" s="779"/>
      <c r="O53" s="779"/>
      <c r="P53" s="779"/>
      <c r="Q53" s="779"/>
      <c r="R53" s="779"/>
      <c r="S53" s="779"/>
      <c r="T53" s="779"/>
      <c r="U53" s="1631" t="s">
        <v>717</v>
      </c>
      <c r="V53" s="779"/>
      <c r="W53" s="779"/>
      <c r="X53" s="779"/>
      <c r="Y53" s="779"/>
      <c r="Z53" s="779"/>
      <c r="AA53" s="779"/>
      <c r="AB53" s="779"/>
      <c r="AC53" s="779"/>
      <c r="AD53" s="779"/>
      <c r="AE53" s="779"/>
      <c r="AF53" s="779"/>
      <c r="AG53" s="804"/>
    </row>
    <row r="54" spans="1:36">
      <c r="A54" s="5030"/>
      <c r="B54" s="1939" t="s">
        <v>554</v>
      </c>
      <c r="C54" s="1939" t="s">
        <v>555</v>
      </c>
      <c r="D54" s="2585"/>
      <c r="E54" s="779"/>
      <c r="F54" s="779"/>
      <c r="G54" s="779"/>
      <c r="H54" s="779"/>
      <c r="I54" s="779"/>
      <c r="J54" s="779"/>
      <c r="K54" s="1631" t="s">
        <v>717</v>
      </c>
      <c r="L54" s="779"/>
      <c r="M54" s="779"/>
      <c r="N54" s="779"/>
      <c r="O54" s="779"/>
      <c r="P54" s="779"/>
      <c r="Q54" s="779"/>
      <c r="R54" s="779"/>
      <c r="S54" s="779"/>
      <c r="T54" s="779"/>
      <c r="U54" s="779"/>
      <c r="V54" s="779"/>
      <c r="W54" s="779"/>
      <c r="X54" s="779"/>
      <c r="Y54" s="4475" t="s">
        <v>557</v>
      </c>
      <c r="Z54" s="5270"/>
      <c r="AA54" s="5270"/>
      <c r="AB54" s="779"/>
      <c r="AC54" s="1631" t="s">
        <v>717</v>
      </c>
      <c r="AD54" s="779"/>
      <c r="AE54" s="779"/>
      <c r="AF54" s="779"/>
      <c r="AG54" s="804"/>
    </row>
    <row r="55" spans="1:36">
      <c r="A55" s="5030"/>
      <c r="B55" s="1939" t="s">
        <v>129</v>
      </c>
      <c r="C55" s="1939" t="s">
        <v>474</v>
      </c>
      <c r="D55" s="935"/>
      <c r="E55" s="779"/>
      <c r="F55" s="779"/>
      <c r="G55" s="779"/>
      <c r="H55" s="779"/>
      <c r="I55" s="779"/>
      <c r="J55" s="1631" t="s">
        <v>717</v>
      </c>
      <c r="K55" s="779"/>
      <c r="L55" s="779"/>
      <c r="M55" s="779"/>
      <c r="N55" s="1631" t="s">
        <v>717</v>
      </c>
      <c r="O55" s="5689" t="s">
        <v>913</v>
      </c>
      <c r="P55" s="5689"/>
      <c r="Q55" s="5689"/>
      <c r="R55" s="5689"/>
      <c r="S55" s="5689"/>
      <c r="T55" s="5689"/>
      <c r="U55" s="5689"/>
      <c r="V55" s="5689"/>
      <c r="W55" s="5689"/>
      <c r="X55" s="5689"/>
      <c r="Y55" s="5689"/>
      <c r="Z55" s="5689"/>
      <c r="AA55" s="5689"/>
      <c r="AB55" s="5689"/>
      <c r="AC55" s="5689"/>
      <c r="AD55" s="5689"/>
      <c r="AE55" s="5689"/>
      <c r="AF55" s="5689"/>
      <c r="AG55" s="5692"/>
    </row>
    <row r="56" spans="1:36">
      <c r="A56" s="5030"/>
      <c r="B56" s="1939" t="s">
        <v>134</v>
      </c>
      <c r="C56" s="1939" t="s">
        <v>135</v>
      </c>
      <c r="D56" s="5686" t="s">
        <v>912</v>
      </c>
      <c r="E56" s="5687"/>
      <c r="F56" s="5687"/>
      <c r="G56" s="5687"/>
      <c r="H56" s="779"/>
      <c r="I56" s="779"/>
      <c r="J56" s="779"/>
      <c r="K56" s="1631" t="s">
        <v>722</v>
      </c>
      <c r="L56" s="1631"/>
      <c r="M56" s="779"/>
      <c r="N56" s="1631"/>
      <c r="O56" s="779"/>
      <c r="P56" s="779"/>
      <c r="Q56" s="779"/>
      <c r="R56" s="779"/>
      <c r="S56" s="779"/>
      <c r="T56" s="779"/>
      <c r="U56" s="1631" t="s">
        <v>722</v>
      </c>
      <c r="V56" s="779"/>
      <c r="W56" s="779"/>
      <c r="X56" s="779"/>
      <c r="Y56" s="1631"/>
      <c r="Z56" s="779"/>
      <c r="AA56" s="779"/>
      <c r="AB56" s="1631" t="s">
        <v>722</v>
      </c>
      <c r="AC56" s="779"/>
      <c r="AD56" s="779"/>
      <c r="AE56" s="779"/>
      <c r="AF56" s="779"/>
      <c r="AG56" s="804"/>
    </row>
    <row r="57" spans="1:36">
      <c r="A57" s="5031"/>
      <c r="B57" s="2268" t="s">
        <v>333</v>
      </c>
      <c r="C57" s="2268" t="s">
        <v>334</v>
      </c>
      <c r="D57" s="5714" t="s">
        <v>912</v>
      </c>
      <c r="E57" s="5715"/>
      <c r="F57" s="5715"/>
      <c r="G57" s="5715"/>
      <c r="H57" s="2629"/>
      <c r="I57" s="2252"/>
      <c r="J57" s="2629"/>
      <c r="K57" s="2629"/>
      <c r="L57" s="2629"/>
      <c r="M57" s="2629"/>
      <c r="N57" s="2629"/>
      <c r="O57" s="3679"/>
      <c r="P57" s="3679"/>
      <c r="Q57" s="3679"/>
      <c r="R57" s="2252" t="s">
        <v>722</v>
      </c>
      <c r="S57" s="782"/>
      <c r="T57" s="782"/>
      <c r="U57" s="782"/>
      <c r="V57" s="782"/>
      <c r="W57" s="782"/>
      <c r="X57" s="782"/>
      <c r="Y57" s="2252" t="s">
        <v>722</v>
      </c>
      <c r="Z57" s="782"/>
      <c r="AA57" s="782"/>
      <c r="AB57" s="2252"/>
      <c r="AC57" s="782"/>
      <c r="AD57" s="782"/>
      <c r="AE57" s="2252" t="s">
        <v>720</v>
      </c>
      <c r="AF57" s="782"/>
      <c r="AG57" s="2589"/>
    </row>
    <row r="58" spans="1:36" ht="16.5">
      <c r="A58" s="5403" t="s">
        <v>136</v>
      </c>
      <c r="B58" s="2269" t="s">
        <v>77</v>
      </c>
      <c r="C58" s="2269" t="s">
        <v>153</v>
      </c>
      <c r="D58" s="2537" t="s">
        <v>720</v>
      </c>
      <c r="E58" s="799"/>
      <c r="F58" s="799"/>
      <c r="G58" s="799"/>
      <c r="H58" s="799"/>
      <c r="I58" s="799"/>
      <c r="J58" s="971"/>
      <c r="K58" s="1074"/>
      <c r="L58" s="1074"/>
      <c r="M58" s="1074"/>
      <c r="N58" s="1074"/>
      <c r="O58" s="2537" t="s">
        <v>720</v>
      </c>
      <c r="P58" s="1074"/>
      <c r="Q58" s="1074"/>
      <c r="R58" s="1074"/>
      <c r="S58" s="2582"/>
      <c r="T58" s="1765"/>
      <c r="U58" s="1765"/>
      <c r="V58" s="2537" t="s">
        <v>720</v>
      </c>
      <c r="W58" s="1765"/>
      <c r="X58" s="1765"/>
      <c r="Y58" s="2583" t="s">
        <v>251</v>
      </c>
      <c r="Z58" s="5704" t="s">
        <v>899</v>
      </c>
      <c r="AA58" s="5705"/>
      <c r="AB58" s="5708"/>
      <c r="AC58" s="5704" t="s">
        <v>892</v>
      </c>
      <c r="AD58" s="5705"/>
      <c r="AE58" s="5705"/>
      <c r="AF58" s="5705"/>
      <c r="AG58" s="5706"/>
    </row>
    <row r="59" spans="1:36" ht="15.75">
      <c r="A59" s="5403"/>
      <c r="B59" s="1964" t="s">
        <v>142</v>
      </c>
      <c r="C59" s="1963" t="s">
        <v>143</v>
      </c>
      <c r="D59" s="2214"/>
      <c r="E59" s="1765"/>
      <c r="F59" s="1765"/>
      <c r="G59" s="1765"/>
      <c r="H59" s="1465" t="s">
        <v>722</v>
      </c>
      <c r="I59" s="1765"/>
      <c r="J59" s="2294"/>
      <c r="K59" s="1631" t="s">
        <v>720</v>
      </c>
      <c r="L59" s="901"/>
      <c r="M59" s="901"/>
      <c r="N59" s="1631"/>
      <c r="O59" s="901"/>
      <c r="P59" s="901"/>
      <c r="Q59" s="2501"/>
      <c r="R59" s="1459"/>
      <c r="S59" s="2208"/>
      <c r="T59" s="1459"/>
      <c r="U59" s="537"/>
      <c r="V59" s="537"/>
      <c r="W59" s="537"/>
      <c r="X59" s="942"/>
      <c r="Y59" s="779"/>
      <c r="Z59" s="779"/>
      <c r="AA59" s="779"/>
      <c r="AB59" s="779"/>
      <c r="AC59" s="779"/>
      <c r="AD59" s="779"/>
      <c r="AE59" s="779"/>
      <c r="AF59" s="779"/>
      <c r="AG59" s="804"/>
    </row>
    <row r="60" spans="1:36" ht="16.5">
      <c r="A60" s="5525"/>
      <c r="B60" s="1964" t="s">
        <v>739</v>
      </c>
      <c r="C60" s="1963" t="s">
        <v>740</v>
      </c>
      <c r="D60" s="2472" t="s">
        <v>867</v>
      </c>
      <c r="E60" s="375"/>
      <c r="F60" s="2270" t="s">
        <v>717</v>
      </c>
      <c r="G60" s="939"/>
      <c r="H60" s="939"/>
      <c r="I60" s="939"/>
      <c r="J60" s="939"/>
      <c r="K60" s="1765"/>
      <c r="L60" s="2270" t="s">
        <v>717</v>
      </c>
      <c r="M60" s="1765"/>
      <c r="N60" s="1765"/>
      <c r="O60" s="1765"/>
      <c r="P60" s="1765"/>
      <c r="Q60" s="1765"/>
      <c r="R60" s="1765"/>
      <c r="S60" s="1765"/>
      <c r="T60" s="1765"/>
      <c r="U60" s="1765"/>
      <c r="V60" s="1765"/>
      <c r="W60" s="2216"/>
      <c r="X60" s="939"/>
      <c r="Y60" s="2581" t="s">
        <v>251</v>
      </c>
      <c r="Z60" s="5683" t="s">
        <v>899</v>
      </c>
      <c r="AA60" s="5684"/>
      <c r="AB60" s="5685"/>
      <c r="AC60" s="5683" t="s">
        <v>892</v>
      </c>
      <c r="AD60" s="5684"/>
      <c r="AE60" s="5684"/>
      <c r="AF60" s="5684"/>
      <c r="AG60" s="5707"/>
    </row>
    <row r="61" spans="1:36">
      <c r="A61" s="5029" t="s">
        <v>144</v>
      </c>
      <c r="B61" s="1989" t="s">
        <v>145</v>
      </c>
      <c r="C61" s="1951" t="s">
        <v>618</v>
      </c>
      <c r="D61" s="1713"/>
      <c r="E61" s="1202"/>
      <c r="F61" s="1202"/>
      <c r="G61" s="1202"/>
      <c r="H61" s="1202"/>
      <c r="I61" s="961"/>
      <c r="J61" s="3671" t="s">
        <v>251</v>
      </c>
      <c r="K61" s="5659" t="s">
        <v>914</v>
      </c>
      <c r="L61" s="5660"/>
      <c r="M61" s="5660"/>
      <c r="N61" s="5660"/>
      <c r="O61" s="5660"/>
      <c r="P61" s="3671" t="s">
        <v>251</v>
      </c>
      <c r="Q61" s="961"/>
      <c r="R61" s="2591"/>
      <c r="S61" s="961"/>
      <c r="T61" s="961"/>
      <c r="U61" s="961"/>
      <c r="V61" s="2591" t="s">
        <v>717</v>
      </c>
      <c r="W61" s="961"/>
      <c r="X61" s="961"/>
      <c r="Y61" s="961"/>
      <c r="Z61" s="961"/>
      <c r="AA61" s="961"/>
      <c r="AB61" s="961"/>
      <c r="AC61" s="961"/>
      <c r="AD61" s="2591" t="s">
        <v>717</v>
      </c>
      <c r="AE61" s="961"/>
      <c r="AF61" s="961"/>
      <c r="AG61" s="962"/>
      <c r="AJ61" t="s">
        <v>30</v>
      </c>
    </row>
    <row r="62" spans="1:36">
      <c r="A62" s="5030"/>
      <c r="B62" s="2196" t="s">
        <v>145</v>
      </c>
      <c r="C62" s="1953" t="s">
        <v>148</v>
      </c>
      <c r="D62" s="975"/>
      <c r="E62" s="3628" t="s">
        <v>251</v>
      </c>
      <c r="F62" s="4312" t="s">
        <v>364</v>
      </c>
      <c r="G62" s="4312"/>
      <c r="H62" s="3628" t="s">
        <v>251</v>
      </c>
      <c r="I62" s="537"/>
      <c r="J62" s="1631" t="s">
        <v>722</v>
      </c>
      <c r="K62" s="537"/>
      <c r="L62" s="901"/>
      <c r="M62" s="901"/>
      <c r="N62" s="537"/>
      <c r="O62" s="537"/>
      <c r="P62" s="537"/>
      <c r="Q62" s="537"/>
      <c r="R62" s="537"/>
      <c r="S62" s="2500" t="s">
        <v>722</v>
      </c>
      <c r="T62" s="537"/>
      <c r="U62" s="537"/>
      <c r="V62" s="3628" t="s">
        <v>251</v>
      </c>
      <c r="W62" s="5652" t="s">
        <v>901</v>
      </c>
      <c r="X62" s="5652"/>
      <c r="Y62" s="5652"/>
      <c r="Z62" s="5652"/>
      <c r="AA62" s="5652"/>
      <c r="AB62" s="3628" t="s">
        <v>251</v>
      </c>
      <c r="AC62" s="2492"/>
      <c r="AD62" s="2492"/>
      <c r="AE62" s="3628" t="s">
        <v>251</v>
      </c>
      <c r="AF62" s="5669" t="s">
        <v>887</v>
      </c>
      <c r="AG62" s="5658"/>
    </row>
    <row r="63" spans="1:36" ht="15.75">
      <c r="A63" s="5030"/>
      <c r="B63" s="2196" t="s">
        <v>149</v>
      </c>
      <c r="C63" s="1953" t="s">
        <v>150</v>
      </c>
      <c r="D63" s="963"/>
      <c r="E63" s="537"/>
      <c r="F63" s="1631"/>
      <c r="G63" s="537"/>
      <c r="H63" s="537"/>
      <c r="I63" s="537"/>
      <c r="J63" s="511"/>
      <c r="K63" s="901"/>
      <c r="L63" s="1631"/>
      <c r="M63" s="901"/>
      <c r="N63" s="901"/>
      <c r="O63" s="901"/>
      <c r="P63" s="901"/>
      <c r="Q63" s="901"/>
      <c r="R63" s="901"/>
      <c r="S63" s="511"/>
      <c r="T63" s="537"/>
      <c r="U63" s="537"/>
      <c r="V63" s="537"/>
      <c r="W63" s="537"/>
      <c r="X63" s="537"/>
      <c r="Y63" s="537"/>
      <c r="Z63" s="537"/>
      <c r="AA63" s="537"/>
      <c r="AB63" s="537"/>
      <c r="AC63" s="537"/>
      <c r="AD63" s="537"/>
      <c r="AE63" s="537"/>
      <c r="AF63" s="537"/>
      <c r="AG63" s="964"/>
    </row>
    <row r="64" spans="1:36" ht="15.75" customHeight="1">
      <c r="A64" s="5030"/>
      <c r="B64" s="2227" t="s">
        <v>149</v>
      </c>
      <c r="C64" s="2347" t="s">
        <v>151</v>
      </c>
      <c r="D64" s="1711"/>
      <c r="E64" s="2597" t="s">
        <v>722</v>
      </c>
      <c r="F64" s="2597" t="s">
        <v>722</v>
      </c>
      <c r="G64" s="939"/>
      <c r="H64" s="939"/>
      <c r="I64" s="939"/>
      <c r="J64" s="3682" t="s">
        <v>251</v>
      </c>
      <c r="K64" s="5661" t="s">
        <v>914</v>
      </c>
      <c r="L64" s="5662"/>
      <c r="M64" s="5662"/>
      <c r="N64" s="5662"/>
      <c r="O64" s="5662"/>
      <c r="P64" s="5666" t="s">
        <v>915</v>
      </c>
      <c r="Q64" s="5666"/>
      <c r="R64" s="5666"/>
      <c r="S64" s="5666"/>
      <c r="T64" s="5666"/>
      <c r="U64" s="5666"/>
      <c r="V64" s="5666"/>
      <c r="W64" s="5666"/>
      <c r="X64" s="5666"/>
      <c r="Y64" s="5666"/>
      <c r="Z64" s="5666"/>
      <c r="AA64" s="5666"/>
      <c r="AB64" s="5666"/>
      <c r="AC64" s="5666"/>
      <c r="AD64" s="3682" t="s">
        <v>251</v>
      </c>
      <c r="AE64" s="2270" t="s">
        <v>722</v>
      </c>
      <c r="AF64" s="939"/>
      <c r="AG64" s="2244"/>
    </row>
    <row r="65" spans="1:33">
      <c r="A65" s="5451" t="s">
        <v>13</v>
      </c>
      <c r="B65" s="1989" t="s">
        <v>100</v>
      </c>
      <c r="C65" s="2213" t="s">
        <v>78</v>
      </c>
      <c r="D65" s="1713"/>
      <c r="E65" s="3671" t="s">
        <v>251</v>
      </c>
      <c r="F65" s="5665" t="s">
        <v>364</v>
      </c>
      <c r="G65" s="5665"/>
      <c r="H65" s="3671" t="s">
        <v>251</v>
      </c>
      <c r="I65" s="961"/>
      <c r="J65" s="3671" t="s">
        <v>251</v>
      </c>
      <c r="K65" s="2245" t="s">
        <v>879</v>
      </c>
      <c r="L65" s="2592" t="s">
        <v>251</v>
      </c>
      <c r="M65" s="425"/>
      <c r="N65" s="1715"/>
      <c r="O65" s="1715"/>
      <c r="P65" s="961"/>
      <c r="Q65" s="961"/>
      <c r="R65" s="961"/>
      <c r="S65" s="961"/>
      <c r="T65" s="961"/>
      <c r="U65" s="961"/>
      <c r="V65" s="3691" t="s">
        <v>251</v>
      </c>
      <c r="W65" s="5709" t="s">
        <v>882</v>
      </c>
      <c r="X65" s="5709"/>
      <c r="Y65" s="5709"/>
      <c r="Z65" s="5709"/>
      <c r="AA65" s="5709"/>
      <c r="AB65" s="5709"/>
      <c r="AC65" s="2593" t="s">
        <v>251</v>
      </c>
      <c r="AD65" s="2594"/>
      <c r="AE65" s="3671" t="s">
        <v>251</v>
      </c>
      <c r="AF65" s="5663" t="s">
        <v>887</v>
      </c>
      <c r="AG65" s="5664"/>
    </row>
    <row r="66" spans="1:33" ht="15.75">
      <c r="A66" s="5452"/>
      <c r="B66" s="2196" t="s">
        <v>95</v>
      </c>
      <c r="C66" s="1953" t="s">
        <v>620</v>
      </c>
      <c r="D66" s="1914" t="s">
        <v>717</v>
      </c>
      <c r="E66" s="3628" t="s">
        <v>251</v>
      </c>
      <c r="F66" s="4312" t="s">
        <v>364</v>
      </c>
      <c r="G66" s="4312"/>
      <c r="H66" s="3628" t="s">
        <v>251</v>
      </c>
      <c r="I66" s="537"/>
      <c r="J66" s="3628" t="s">
        <v>251</v>
      </c>
      <c r="K66" s="1403" t="s">
        <v>879</v>
      </c>
      <c r="L66" s="2457" t="s">
        <v>251</v>
      </c>
      <c r="M66" s="374"/>
      <c r="N66" s="5673" t="s">
        <v>461</v>
      </c>
      <c r="O66" s="5674"/>
      <c r="P66" s="5674"/>
      <c r="Q66" s="5674"/>
      <c r="R66" s="5675"/>
      <c r="S66" s="1459" t="s">
        <v>717</v>
      </c>
      <c r="T66" s="380"/>
      <c r="U66" s="380"/>
      <c r="V66" s="3659" t="s">
        <v>251</v>
      </c>
      <c r="W66" s="5652" t="s">
        <v>882</v>
      </c>
      <c r="X66" s="5652"/>
      <c r="Y66" s="5652"/>
      <c r="Z66" s="5652"/>
      <c r="AA66" s="5652"/>
      <c r="AB66" s="5652"/>
      <c r="AC66" s="3660" t="s">
        <v>251</v>
      </c>
      <c r="AD66" s="2502"/>
      <c r="AE66" s="2502"/>
      <c r="AF66" s="2502"/>
      <c r="AG66" s="2503"/>
    </row>
    <row r="67" spans="1:33">
      <c r="A67" s="5452"/>
      <c r="B67" s="2246" t="s">
        <v>127</v>
      </c>
      <c r="C67" s="2610" t="s">
        <v>128</v>
      </c>
      <c r="D67" s="963"/>
      <c r="E67" s="3628" t="s">
        <v>251</v>
      </c>
      <c r="F67" s="4312" t="s">
        <v>364</v>
      </c>
      <c r="G67" s="4312"/>
      <c r="H67" s="3628" t="s">
        <v>251</v>
      </c>
      <c r="I67" s="537"/>
      <c r="J67" s="537"/>
      <c r="K67" s="1403" t="s">
        <v>916</v>
      </c>
      <c r="L67" s="537"/>
      <c r="M67" s="2496" t="s">
        <v>722</v>
      </c>
      <c r="N67" s="2494"/>
      <c r="O67" s="2"/>
      <c r="P67" s="2"/>
      <c r="Q67" s="2"/>
      <c r="R67" s="2"/>
      <c r="S67" s="537"/>
      <c r="T67" s="2248" t="s">
        <v>722</v>
      </c>
      <c r="U67" s="2"/>
      <c r="V67" s="3659" t="s">
        <v>251</v>
      </c>
      <c r="W67" s="5652" t="s">
        <v>882</v>
      </c>
      <c r="X67" s="5652"/>
      <c r="Y67" s="5652"/>
      <c r="Z67" s="5652"/>
      <c r="AA67" s="5652"/>
      <c r="AB67" s="5652"/>
      <c r="AC67" s="3660" t="s">
        <v>251</v>
      </c>
      <c r="AD67" s="2453"/>
      <c r="AE67" s="3628" t="s">
        <v>251</v>
      </c>
      <c r="AF67" s="5667" t="s">
        <v>887</v>
      </c>
      <c r="AG67" s="5668"/>
    </row>
    <row r="68" spans="1:33">
      <c r="A68" s="5452"/>
      <c r="B68" s="2246" t="s">
        <v>90</v>
      </c>
      <c r="C68" s="2610" t="s">
        <v>660</v>
      </c>
      <c r="D68" s="2235"/>
      <c r="E68" s="3628" t="s">
        <v>251</v>
      </c>
      <c r="F68" s="4312" t="s">
        <v>364</v>
      </c>
      <c r="G68" s="4312"/>
      <c r="H68" s="3628" t="s">
        <v>251</v>
      </c>
      <c r="I68" s="537"/>
      <c r="J68" s="3628" t="s">
        <v>251</v>
      </c>
      <c r="K68" s="1403" t="s">
        <v>879</v>
      </c>
      <c r="L68" s="2457" t="s">
        <v>251</v>
      </c>
      <c r="M68" s="374"/>
      <c r="N68" s="2"/>
      <c r="O68" s="2"/>
      <c r="P68" s="2"/>
      <c r="Q68" s="2"/>
      <c r="R68" s="1459" t="s">
        <v>717</v>
      </c>
      <c r="S68" s="2"/>
      <c r="T68" s="2"/>
      <c r="U68" s="2"/>
      <c r="V68" s="2"/>
      <c r="W68" s="776"/>
      <c r="X68" s="776"/>
      <c r="Y68" s="776"/>
      <c r="Z68" s="2284" t="s">
        <v>717</v>
      </c>
      <c r="AA68" s="776"/>
      <c r="AB68" s="5653" t="s">
        <v>917</v>
      </c>
      <c r="AC68" s="5654"/>
      <c r="AD68" s="5655"/>
      <c r="AE68" s="3628" t="s">
        <v>251</v>
      </c>
      <c r="AF68" s="5657" t="s">
        <v>887</v>
      </c>
      <c r="AG68" s="5658"/>
    </row>
    <row r="69" spans="1:33" ht="15" customHeight="1">
      <c r="A69" s="5452"/>
      <c r="B69" s="2196" t="s">
        <v>81</v>
      </c>
      <c r="C69" s="1953" t="s">
        <v>396</v>
      </c>
      <c r="D69" s="988"/>
      <c r="E69" s="3628" t="s">
        <v>251</v>
      </c>
      <c r="F69" s="4312" t="s">
        <v>364</v>
      </c>
      <c r="G69" s="4312"/>
      <c r="H69" s="3628" t="s">
        <v>251</v>
      </c>
      <c r="I69" s="537"/>
      <c r="J69" s="537"/>
      <c r="K69" s="2504" t="s">
        <v>918</v>
      </c>
      <c r="L69" s="537"/>
      <c r="M69" s="374"/>
      <c r="N69" s="374"/>
      <c r="O69" s="537"/>
      <c r="P69" s="374"/>
      <c r="Q69" s="374"/>
      <c r="R69" s="2496"/>
      <c r="S69" s="537"/>
      <c r="T69" s="2496" t="s">
        <v>720</v>
      </c>
      <c r="U69" s="537"/>
      <c r="V69" s="3628" t="s">
        <v>251</v>
      </c>
      <c r="W69" s="5649" t="s">
        <v>882</v>
      </c>
      <c r="X69" s="5650"/>
      <c r="Y69" s="5650"/>
      <c r="Z69" s="5650"/>
      <c r="AA69" s="5650"/>
      <c r="AB69" s="5651"/>
      <c r="AC69" s="3659" t="s">
        <v>251</v>
      </c>
      <c r="AD69" s="2453"/>
      <c r="AE69" s="3702"/>
      <c r="AF69" s="3628" t="s">
        <v>251</v>
      </c>
      <c r="AG69" s="2562" t="s">
        <v>919</v>
      </c>
    </row>
    <row r="70" spans="1:33">
      <c r="A70" s="5452"/>
      <c r="B70" s="2196" t="s">
        <v>95</v>
      </c>
      <c r="C70" s="1953" t="s">
        <v>303</v>
      </c>
      <c r="D70" s="963"/>
      <c r="E70" s="537"/>
      <c r="F70" s="537"/>
      <c r="G70" s="537"/>
      <c r="H70" s="374"/>
      <c r="I70" s="939"/>
      <c r="J70" s="537"/>
      <c r="K70" s="537"/>
      <c r="L70" s="537"/>
      <c r="M70" s="374"/>
      <c r="N70" s="374"/>
      <c r="O70" s="374"/>
      <c r="P70" s="2496" t="s">
        <v>722</v>
      </c>
      <c r="Q70" s="537"/>
      <c r="R70" s="537"/>
      <c r="S70" s="933"/>
      <c r="T70" s="2533"/>
      <c r="U70" s="942"/>
      <c r="V70" s="537"/>
      <c r="W70" s="537"/>
      <c r="X70" s="537"/>
      <c r="Y70" s="933"/>
      <c r="Z70" s="2533"/>
      <c r="AA70" s="942"/>
      <c r="AB70" s="537"/>
      <c r="AC70" s="537"/>
      <c r="AD70" s="537"/>
      <c r="AE70" s="1459"/>
      <c r="AF70" s="1459"/>
      <c r="AG70" s="1603" t="s">
        <v>720</v>
      </c>
    </row>
    <row r="71" spans="1:33" ht="15.75">
      <c r="A71" s="5453"/>
      <c r="B71" s="2197" t="s">
        <v>155</v>
      </c>
      <c r="C71" s="2347" t="s">
        <v>532</v>
      </c>
      <c r="D71" s="965"/>
      <c r="E71" s="2564" t="s">
        <v>251</v>
      </c>
      <c r="F71" s="5670" t="s">
        <v>755</v>
      </c>
      <c r="G71" s="5671"/>
      <c r="H71" s="5672"/>
      <c r="I71" s="2564" t="s">
        <v>251</v>
      </c>
      <c r="J71" s="966"/>
      <c r="K71" s="321"/>
      <c r="L71" s="966"/>
      <c r="M71" s="2499" t="s">
        <v>720</v>
      </c>
      <c r="N71" s="989"/>
      <c r="O71" s="989"/>
      <c r="P71" s="966"/>
      <c r="Q71" s="966"/>
      <c r="R71" s="2499"/>
      <c r="S71" s="2449"/>
      <c r="T71" s="2534"/>
      <c r="U71" s="995"/>
      <c r="V71" s="966"/>
      <c r="W71" s="966"/>
      <c r="X71" s="2499" t="s">
        <v>720</v>
      </c>
      <c r="Y71" s="966"/>
      <c r="Z71" s="966"/>
      <c r="AA71" s="966"/>
      <c r="AB71" s="966"/>
      <c r="AC71" s="2499" t="s">
        <v>720</v>
      </c>
      <c r="AD71" s="2499"/>
      <c r="AE71" s="966"/>
      <c r="AF71" s="2499"/>
      <c r="AG71" s="2595"/>
    </row>
    <row r="72" spans="1:33">
      <c r="G72" s="916"/>
    </row>
    <row r="77" spans="1:33">
      <c r="I77" s="917"/>
    </row>
  </sheetData>
  <mergeCells count="124">
    <mergeCell ref="A12:C12"/>
    <mergeCell ref="A21:C21"/>
    <mergeCell ref="D20:L20"/>
    <mergeCell ref="D21:H21"/>
    <mergeCell ref="P31:X31"/>
    <mergeCell ref="A34:A40"/>
    <mergeCell ref="AC40:AG40"/>
    <mergeCell ref="R36:W36"/>
    <mergeCell ref="X36:Y36"/>
    <mergeCell ref="Y26:AG26"/>
    <mergeCell ref="F33:G33"/>
    <mergeCell ref="Z38:AB38"/>
    <mergeCell ref="I36:K36"/>
    <mergeCell ref="R34:V34"/>
    <mergeCell ref="AC31:AG31"/>
    <mergeCell ref="AC32:AG32"/>
    <mergeCell ref="AB27:AG27"/>
    <mergeCell ref="AF30:AG30"/>
    <mergeCell ref="A19:C19"/>
    <mergeCell ref="A18:C18"/>
    <mergeCell ref="A26:C26"/>
    <mergeCell ref="Z15:AC15"/>
    <mergeCell ref="F36:G36"/>
    <mergeCell ref="K28:O28"/>
    <mergeCell ref="D1:AG1"/>
    <mergeCell ref="A5:C5"/>
    <mergeCell ref="A1:C1"/>
    <mergeCell ref="A2:C2"/>
    <mergeCell ref="A3:C3"/>
    <mergeCell ref="A4:C4"/>
    <mergeCell ref="D4:H4"/>
    <mergeCell ref="A6:C6"/>
    <mergeCell ref="A8:C8"/>
    <mergeCell ref="A7:C7"/>
    <mergeCell ref="O7:AG7"/>
    <mergeCell ref="A9:C9"/>
    <mergeCell ref="F30:G30"/>
    <mergeCell ref="A24:C24"/>
    <mergeCell ref="A23:C23"/>
    <mergeCell ref="K25:O25"/>
    <mergeCell ref="R27:V27"/>
    <mergeCell ref="F27:G27"/>
    <mergeCell ref="A13:C13"/>
    <mergeCell ref="A16:C16"/>
    <mergeCell ref="H30:I30"/>
    <mergeCell ref="R20:AB20"/>
    <mergeCell ref="A17:C17"/>
    <mergeCell ref="A25:C25"/>
    <mergeCell ref="A22:C22"/>
    <mergeCell ref="F19:G19"/>
    <mergeCell ref="Y28:Z28"/>
    <mergeCell ref="A20:C20"/>
    <mergeCell ref="AB28:AG28"/>
    <mergeCell ref="AF24:AG24"/>
    <mergeCell ref="A10:C10"/>
    <mergeCell ref="Z16:AE16"/>
    <mergeCell ref="A14:C14"/>
    <mergeCell ref="A15:C15"/>
    <mergeCell ref="A11:C11"/>
    <mergeCell ref="A31:A33"/>
    <mergeCell ref="I33:M33"/>
    <mergeCell ref="AA31:AB31"/>
    <mergeCell ref="AA32:AB32"/>
    <mergeCell ref="A41:A57"/>
    <mergeCell ref="K39:O39"/>
    <mergeCell ref="D56:G56"/>
    <mergeCell ref="D57:G57"/>
    <mergeCell ref="Z39:AB39"/>
    <mergeCell ref="D45:G45"/>
    <mergeCell ref="AC58:AG58"/>
    <mergeCell ref="AC60:AG60"/>
    <mergeCell ref="Z60:AB60"/>
    <mergeCell ref="Y46:Z46"/>
    <mergeCell ref="Z58:AB58"/>
    <mergeCell ref="AF42:AG42"/>
    <mergeCell ref="V43:AG43"/>
    <mergeCell ref="W65:AB65"/>
    <mergeCell ref="Y54:AA54"/>
    <mergeCell ref="AF15:AG16"/>
    <mergeCell ref="AC39:AG39"/>
    <mergeCell ref="AC38:AG38"/>
    <mergeCell ref="Z40:AB40"/>
    <mergeCell ref="D48:F48"/>
    <mergeCell ref="G48:K48"/>
    <mergeCell ref="O50:AF50"/>
    <mergeCell ref="D49:J49"/>
    <mergeCell ref="O55:AG55"/>
    <mergeCell ref="D40:E40"/>
    <mergeCell ref="O45:Z45"/>
    <mergeCell ref="AB45:AG45"/>
    <mergeCell ref="D43:F43"/>
    <mergeCell ref="J47:L47"/>
    <mergeCell ref="D52:O52"/>
    <mergeCell ref="V41:X41"/>
    <mergeCell ref="AC20:AG20"/>
    <mergeCell ref="D53:F53"/>
    <mergeCell ref="D47:H47"/>
    <mergeCell ref="N34:O34"/>
    <mergeCell ref="P34:Q34"/>
    <mergeCell ref="I37:AE37"/>
    <mergeCell ref="W69:AB69"/>
    <mergeCell ref="W66:AB66"/>
    <mergeCell ref="W67:AB67"/>
    <mergeCell ref="AB68:AD68"/>
    <mergeCell ref="W62:AA62"/>
    <mergeCell ref="W33:AA33"/>
    <mergeCell ref="A65:A71"/>
    <mergeCell ref="AF68:AG68"/>
    <mergeCell ref="A61:A64"/>
    <mergeCell ref="K61:O61"/>
    <mergeCell ref="K64:O64"/>
    <mergeCell ref="F67:G67"/>
    <mergeCell ref="F68:G68"/>
    <mergeCell ref="F66:G66"/>
    <mergeCell ref="AF65:AG65"/>
    <mergeCell ref="F65:G65"/>
    <mergeCell ref="P64:AC64"/>
    <mergeCell ref="F69:G69"/>
    <mergeCell ref="AF67:AG67"/>
    <mergeCell ref="F62:G62"/>
    <mergeCell ref="AF62:AG62"/>
    <mergeCell ref="F71:H71"/>
    <mergeCell ref="N66:R66"/>
    <mergeCell ref="A58:A60"/>
  </mergeCells>
  <printOptions horizontalCentered="1" verticalCentered="1"/>
  <pageMargins left="0.25" right="0.25" top="0.75" bottom="0.75" header="0.3" footer="0.3"/>
  <pageSetup fitToHeight="0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3BA6-B8C9-4FED-A159-F4CD4AA60435}">
  <sheetPr>
    <pageSetUpPr fitToPage="1"/>
  </sheetPr>
  <dimension ref="A1:AI68"/>
  <sheetViews>
    <sheetView zoomScale="71" zoomScaleNormal="71" workbookViewId="0">
      <pane xSplit="3" ySplit="23" topLeftCell="D24" activePane="bottomRight" state="frozen"/>
      <selection pane="bottomRight" activeCell="D24" sqref="D24:F24"/>
      <selection pane="bottomLeft"/>
      <selection pane="topRight"/>
    </sheetView>
  </sheetViews>
  <sheetFormatPr defaultRowHeight="15"/>
  <cols>
    <col min="3" max="3" width="11.5703125" bestFit="1" customWidth="1"/>
    <col min="25" max="25" width="9.42578125" bestFit="1" customWidth="1"/>
    <col min="32" max="32" width="9.42578125" bestFit="1" customWidth="1"/>
  </cols>
  <sheetData>
    <row r="1" spans="1:35">
      <c r="A1" s="4375" t="s">
        <v>29</v>
      </c>
      <c r="B1" s="4375"/>
      <c r="C1" s="4375"/>
      <c r="D1" s="4376" t="s">
        <v>920</v>
      </c>
      <c r="E1" s="4376"/>
      <c r="F1" s="4376"/>
      <c r="G1" s="4376"/>
      <c r="H1" s="4376"/>
      <c r="I1" s="4376"/>
      <c r="J1" s="4376"/>
      <c r="K1" s="4376"/>
      <c r="L1" s="4376"/>
      <c r="M1" s="4376"/>
      <c r="N1" s="4376"/>
      <c r="O1" s="4376"/>
      <c r="P1" s="4376"/>
      <c r="Q1" s="4376"/>
      <c r="R1" s="4376"/>
      <c r="S1" s="4376"/>
      <c r="T1" s="4376"/>
      <c r="U1" s="4376"/>
      <c r="V1" s="4376"/>
      <c r="W1" s="4376"/>
      <c r="X1" s="4376"/>
      <c r="Y1" s="4376"/>
      <c r="Z1" s="4376"/>
      <c r="AA1" s="4376"/>
      <c r="AB1" s="4376"/>
      <c r="AC1" s="4376"/>
      <c r="AD1" s="4376"/>
      <c r="AE1" s="4376"/>
      <c r="AF1" s="4376"/>
      <c r="AG1" s="4376"/>
      <c r="AH1" s="4376"/>
    </row>
    <row r="2" spans="1:35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5">
      <c r="A3" s="4378" t="s">
        <v>32</v>
      </c>
      <c r="B3" s="4378"/>
      <c r="C3" s="4378"/>
      <c r="D3" s="3703" t="s">
        <v>34</v>
      </c>
      <c r="E3" s="3703" t="s">
        <v>33</v>
      </c>
      <c r="F3" s="3703" t="s">
        <v>35</v>
      </c>
      <c r="G3" s="19" t="s">
        <v>36</v>
      </c>
      <c r="H3" s="19" t="s">
        <v>36</v>
      </c>
      <c r="I3" s="3703" t="s">
        <v>37</v>
      </c>
      <c r="J3" s="3703" t="s">
        <v>33</v>
      </c>
      <c r="K3" s="3703" t="s">
        <v>34</v>
      </c>
      <c r="L3" s="40" t="s">
        <v>33</v>
      </c>
      <c r="M3" s="3703" t="s">
        <v>35</v>
      </c>
      <c r="N3" s="19" t="s">
        <v>36</v>
      </c>
      <c r="O3" s="19" t="s">
        <v>36</v>
      </c>
      <c r="P3" s="3703" t="s">
        <v>37</v>
      </c>
      <c r="Q3" s="41" t="s">
        <v>33</v>
      </c>
      <c r="R3" s="41" t="s">
        <v>34</v>
      </c>
      <c r="S3" s="41" t="s">
        <v>33</v>
      </c>
      <c r="T3" s="41" t="s">
        <v>35</v>
      </c>
      <c r="U3" s="19" t="s">
        <v>36</v>
      </c>
      <c r="V3" s="19" t="s">
        <v>36</v>
      </c>
      <c r="W3" s="3703" t="s">
        <v>37</v>
      </c>
      <c r="X3" s="41" t="s">
        <v>33</v>
      </c>
      <c r="Y3" s="41" t="s">
        <v>34</v>
      </c>
      <c r="Z3" s="41" t="s">
        <v>33</v>
      </c>
      <c r="AA3" s="41" t="s">
        <v>35</v>
      </c>
      <c r="AB3" s="19" t="s">
        <v>36</v>
      </c>
      <c r="AC3" s="19" t="s">
        <v>36</v>
      </c>
      <c r="AD3" s="19" t="s">
        <v>37</v>
      </c>
      <c r="AE3" s="19" t="s">
        <v>33</v>
      </c>
      <c r="AF3" s="41" t="s">
        <v>34</v>
      </c>
      <c r="AG3" s="41" t="s">
        <v>33</v>
      </c>
      <c r="AH3" s="41" t="s">
        <v>35</v>
      </c>
    </row>
    <row r="4" spans="1:35" ht="15.75">
      <c r="A4" s="4249" t="s">
        <v>38</v>
      </c>
      <c r="B4" s="4249"/>
      <c r="C4" s="4249"/>
      <c r="D4" s="981"/>
      <c r="E4" s="973"/>
      <c r="F4" s="800"/>
      <c r="G4" s="800"/>
      <c r="H4" s="800"/>
      <c r="I4" s="800"/>
      <c r="J4" s="851"/>
      <c r="K4" s="851"/>
      <c r="L4" s="851"/>
      <c r="M4" s="800"/>
      <c r="N4" s="425"/>
      <c r="O4" s="425"/>
      <c r="P4" s="425"/>
      <c r="Q4" s="973"/>
      <c r="R4" s="973"/>
      <c r="S4" s="973"/>
      <c r="T4" s="800"/>
      <c r="U4" s="973"/>
      <c r="V4" s="973"/>
      <c r="W4" s="973"/>
      <c r="X4" s="973"/>
      <c r="Y4" s="973"/>
      <c r="Z4" s="800"/>
      <c r="AA4" s="982"/>
      <c r="AB4" s="5782" t="s">
        <v>921</v>
      </c>
      <c r="AC4" s="5782"/>
      <c r="AD4" s="5782"/>
      <c r="AE4" s="5782"/>
      <c r="AF4" s="800"/>
      <c r="AG4" s="800"/>
      <c r="AH4" s="983"/>
    </row>
    <row r="5" spans="1:35">
      <c r="A5" s="4061" t="s">
        <v>165</v>
      </c>
      <c r="B5" s="4061"/>
      <c r="C5" s="4061"/>
      <c r="D5" s="861"/>
      <c r="E5" s="380"/>
      <c r="F5" s="537"/>
      <c r="G5" s="537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380"/>
      <c r="Z5" s="380"/>
      <c r="AA5" s="380"/>
      <c r="AB5" s="380"/>
      <c r="AC5" s="380"/>
      <c r="AD5" s="380"/>
      <c r="AE5" s="380"/>
      <c r="AF5" s="380"/>
      <c r="AG5" s="380"/>
      <c r="AH5" s="985"/>
    </row>
    <row r="6" spans="1:35">
      <c r="A6" s="4265" t="s">
        <v>407</v>
      </c>
      <c r="B6" s="4265"/>
      <c r="C6" s="4265"/>
      <c r="D6" s="861"/>
      <c r="E6" s="380"/>
      <c r="F6" s="537"/>
      <c r="G6" s="537"/>
      <c r="H6" s="537"/>
      <c r="I6" s="537"/>
      <c r="J6" s="537"/>
      <c r="K6" s="537"/>
      <c r="L6" s="537"/>
      <c r="M6" s="537"/>
      <c r="N6" s="537"/>
      <c r="O6" s="537"/>
      <c r="P6" s="537"/>
      <c r="Q6" s="537"/>
      <c r="R6" s="537"/>
      <c r="S6" s="537"/>
      <c r="T6" s="537"/>
      <c r="U6" s="537"/>
      <c r="V6" s="537"/>
      <c r="W6" s="537"/>
      <c r="X6" s="537"/>
      <c r="Y6" s="380"/>
      <c r="Z6" s="380"/>
      <c r="AA6" s="380"/>
      <c r="AB6" s="380"/>
      <c r="AC6" s="380"/>
      <c r="AD6" s="380"/>
      <c r="AE6" s="380"/>
      <c r="AF6" s="380"/>
      <c r="AG6" s="380"/>
      <c r="AH6" s="985"/>
    </row>
    <row r="7" spans="1:35">
      <c r="A7" s="5791" t="s">
        <v>262</v>
      </c>
      <c r="B7" s="5791"/>
      <c r="C7" s="5791"/>
      <c r="D7" s="5788" t="s">
        <v>406</v>
      </c>
      <c r="E7" s="5788"/>
      <c r="F7" s="5785" t="s">
        <v>774</v>
      </c>
      <c r="G7" s="5785"/>
      <c r="H7" s="5785"/>
      <c r="I7" s="5785"/>
      <c r="J7" s="5785"/>
      <c r="K7" s="5785"/>
      <c r="L7" s="5785"/>
      <c r="M7" s="5785"/>
      <c r="N7" s="779"/>
      <c r="O7" s="779"/>
      <c r="P7" s="779"/>
      <c r="Q7" s="779"/>
      <c r="R7" s="779"/>
      <c r="S7" s="779"/>
      <c r="T7" s="779"/>
      <c r="U7" s="380"/>
      <c r="V7" s="380"/>
      <c r="W7" s="380"/>
      <c r="X7" s="380"/>
      <c r="Y7" s="380"/>
      <c r="Z7" s="380"/>
      <c r="AA7" s="380"/>
      <c r="AB7" s="779"/>
      <c r="AC7" s="380"/>
      <c r="AD7" s="380"/>
      <c r="AE7" s="380"/>
      <c r="AF7" s="380"/>
      <c r="AG7" s="380"/>
      <c r="AH7" s="985"/>
    </row>
    <row r="8" spans="1:35">
      <c r="A8" s="5790" t="s">
        <v>702</v>
      </c>
      <c r="B8" s="5790"/>
      <c r="C8" s="5790"/>
      <c r="D8" s="963"/>
      <c r="E8" s="537"/>
      <c r="F8" s="537"/>
      <c r="G8" s="537"/>
      <c r="H8" s="537"/>
      <c r="I8" s="537"/>
      <c r="J8" s="537"/>
      <c r="K8" s="537"/>
      <c r="L8" s="2627"/>
      <c r="M8" s="374"/>
      <c r="N8" s="374"/>
      <c r="O8" s="374"/>
      <c r="P8" s="374"/>
      <c r="Q8" s="779"/>
      <c r="R8" s="779"/>
      <c r="S8" s="779"/>
      <c r="T8" s="779"/>
      <c r="U8" s="779"/>
      <c r="V8" s="779"/>
      <c r="W8" s="847"/>
      <c r="X8" s="822"/>
      <c r="Y8" s="779"/>
      <c r="Z8" s="779"/>
      <c r="AA8" s="779"/>
      <c r="AB8" s="779"/>
      <c r="AC8" s="779"/>
      <c r="AD8" s="779"/>
      <c r="AE8" s="779"/>
      <c r="AF8" s="779"/>
      <c r="AG8" s="779"/>
      <c r="AH8" s="986"/>
    </row>
    <row r="9" spans="1:35">
      <c r="A9" s="5787" t="s">
        <v>922</v>
      </c>
      <c r="B9" s="5787"/>
      <c r="C9" s="5787"/>
      <c r="D9" s="861"/>
      <c r="E9" s="380"/>
      <c r="F9" s="380"/>
      <c r="G9" s="779"/>
      <c r="H9" s="779"/>
      <c r="I9" s="779"/>
      <c r="J9" s="779"/>
      <c r="K9" s="779"/>
      <c r="L9" s="779"/>
      <c r="M9" s="779"/>
      <c r="N9" s="380"/>
      <c r="O9" s="380"/>
      <c r="P9" s="779"/>
      <c r="Q9" s="779"/>
      <c r="R9" s="779"/>
      <c r="S9" s="779"/>
      <c r="T9" s="779"/>
      <c r="U9" s="779"/>
      <c r="V9" s="779"/>
      <c r="W9" s="847"/>
      <c r="X9" s="822"/>
      <c r="Y9" s="779"/>
      <c r="Z9" s="5251" t="s">
        <v>923</v>
      </c>
      <c r="AA9" s="5251"/>
      <c r="AB9" s="779"/>
      <c r="AC9" s="380"/>
      <c r="AD9" s="380"/>
      <c r="AE9" s="779"/>
      <c r="AF9" s="779"/>
      <c r="AG9" s="779"/>
      <c r="AH9" s="986"/>
    </row>
    <row r="10" spans="1:35">
      <c r="A10" s="4381" t="s">
        <v>272</v>
      </c>
      <c r="B10" s="4381"/>
      <c r="C10" s="4381"/>
      <c r="D10" s="935"/>
      <c r="E10" s="779"/>
      <c r="F10" s="779"/>
      <c r="G10" s="779"/>
      <c r="H10" s="779"/>
      <c r="I10" s="779"/>
      <c r="J10" s="779"/>
      <c r="K10" s="779"/>
      <c r="L10" s="779"/>
      <c r="M10" s="779"/>
      <c r="N10" s="380" t="s">
        <v>924</v>
      </c>
      <c r="O10" s="380"/>
      <c r="P10" s="779"/>
      <c r="Q10" s="5667" t="s">
        <v>925</v>
      </c>
      <c r="R10" s="5667"/>
      <c r="S10" s="779"/>
      <c r="T10" s="779"/>
      <c r="U10" s="779"/>
      <c r="V10" s="750"/>
      <c r="W10" s="779"/>
      <c r="X10" s="779"/>
      <c r="Y10" s="779"/>
      <c r="Z10" s="779"/>
      <c r="AA10" s="779"/>
      <c r="AB10" s="779"/>
      <c r="AC10" s="380"/>
      <c r="AD10" s="380"/>
      <c r="AE10" s="779"/>
      <c r="AF10" s="779"/>
      <c r="AG10" s="779"/>
      <c r="AH10" s="986"/>
    </row>
    <row r="11" spans="1:35">
      <c r="A11" s="4380" t="s">
        <v>265</v>
      </c>
      <c r="B11" s="4380"/>
      <c r="C11" s="4380"/>
      <c r="D11" s="935"/>
      <c r="E11" s="779"/>
      <c r="F11" s="779"/>
      <c r="G11" s="779"/>
      <c r="H11" s="779"/>
      <c r="I11" s="779"/>
      <c r="J11" s="779"/>
      <c r="K11" s="779"/>
      <c r="L11" s="779"/>
      <c r="M11" s="779"/>
      <c r="N11" s="750"/>
      <c r="O11" s="779"/>
      <c r="P11" s="779"/>
      <c r="Q11" s="779"/>
      <c r="R11" s="779"/>
      <c r="S11" s="779"/>
      <c r="T11" s="779"/>
      <c r="U11" s="779"/>
      <c r="V11" s="750"/>
      <c r="W11" s="779"/>
      <c r="X11" s="779"/>
      <c r="Y11" s="779"/>
      <c r="Z11" s="779"/>
      <c r="AA11" s="779"/>
      <c r="AB11" s="779"/>
      <c r="AC11" s="380"/>
      <c r="AD11" s="380"/>
      <c r="AE11" s="779"/>
      <c r="AF11" s="779"/>
      <c r="AG11" s="779"/>
      <c r="AH11" s="986"/>
    </row>
    <row r="12" spans="1:35" ht="15.75">
      <c r="A12" s="4833" t="s">
        <v>60</v>
      </c>
      <c r="B12" s="4833"/>
      <c r="C12" s="4833"/>
      <c r="D12" s="987"/>
      <c r="E12" s="732"/>
      <c r="F12" s="732"/>
      <c r="G12" s="732"/>
      <c r="H12" s="732"/>
      <c r="I12" s="779"/>
      <c r="J12" s="779"/>
      <c r="K12" s="986"/>
      <c r="L12" s="732"/>
      <c r="M12" s="779"/>
      <c r="N12" s="779"/>
      <c r="O12" s="779"/>
      <c r="P12" s="779"/>
      <c r="Q12" s="779"/>
      <c r="R12" s="779"/>
      <c r="S12" s="779"/>
      <c r="T12" s="779"/>
      <c r="U12" s="779"/>
      <c r="V12" s="779"/>
      <c r="W12" s="779"/>
      <c r="X12" s="779"/>
      <c r="Y12" s="779"/>
      <c r="Z12" s="779"/>
      <c r="AA12" s="779"/>
      <c r="AB12" s="779"/>
      <c r="AC12" s="380"/>
      <c r="AD12" s="380"/>
      <c r="AE12" s="779"/>
      <c r="AF12" s="779"/>
      <c r="AG12" s="779"/>
      <c r="AH12" s="986"/>
    </row>
    <row r="13" spans="1:35" ht="15.75">
      <c r="A13" s="4835" t="s">
        <v>315</v>
      </c>
      <c r="B13" s="4835"/>
      <c r="C13" s="4835"/>
      <c r="D13" s="935"/>
      <c r="E13" s="301"/>
      <c r="F13" s="301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380"/>
      <c r="AD13" s="374"/>
      <c r="AE13" s="374"/>
      <c r="AF13" s="779"/>
      <c r="AG13" s="779"/>
      <c r="AH13" s="986"/>
    </row>
    <row r="14" spans="1:35">
      <c r="A14" s="4623" t="s">
        <v>63</v>
      </c>
      <c r="B14" s="4623"/>
      <c r="C14" s="4623"/>
      <c r="D14" s="935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779"/>
      <c r="AB14" s="779"/>
      <c r="AC14" s="380"/>
      <c r="AD14" s="380"/>
      <c r="AE14" s="779"/>
      <c r="AF14" s="779"/>
      <c r="AG14" s="779"/>
      <c r="AH14" s="986"/>
    </row>
    <row r="15" spans="1:35">
      <c r="A15" s="4765" t="s">
        <v>54</v>
      </c>
      <c r="B15" s="4765"/>
      <c r="C15" s="4765"/>
      <c r="D15" s="935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5789" t="s">
        <v>54</v>
      </c>
      <c r="Q15" s="5789"/>
      <c r="R15" s="5789"/>
      <c r="S15" s="5789"/>
      <c r="T15" s="5789"/>
      <c r="U15" s="5789"/>
      <c r="V15" s="5789"/>
      <c r="W15" s="5789"/>
      <c r="X15" s="779"/>
      <c r="Y15" s="779"/>
      <c r="Z15" s="779"/>
      <c r="AA15" s="779"/>
      <c r="AB15" s="779"/>
      <c r="AC15" s="380"/>
      <c r="AD15" s="380"/>
      <c r="AE15" s="779"/>
      <c r="AF15" s="779"/>
      <c r="AG15" s="779"/>
      <c r="AH15" s="986"/>
    </row>
    <row r="16" spans="1:35">
      <c r="A16" s="4360" t="s">
        <v>365</v>
      </c>
      <c r="B16" s="4360"/>
      <c r="C16" s="4360"/>
      <c r="D16" s="1492" t="s">
        <v>926</v>
      </c>
      <c r="E16" s="779"/>
      <c r="F16" s="779"/>
      <c r="G16" s="779"/>
      <c r="H16" s="779"/>
      <c r="I16" s="779"/>
      <c r="J16" s="779"/>
      <c r="K16" s="779"/>
      <c r="L16" s="779"/>
      <c r="M16" s="779"/>
      <c r="N16" s="779"/>
      <c r="O16" s="779"/>
      <c r="P16" s="779"/>
      <c r="Q16" s="779"/>
      <c r="R16" s="779"/>
      <c r="S16" s="779"/>
      <c r="T16" s="750"/>
      <c r="U16" s="779"/>
      <c r="V16" s="779"/>
      <c r="W16" s="779"/>
      <c r="X16" s="794"/>
      <c r="Y16" s="779"/>
      <c r="Z16" s="779"/>
      <c r="AA16" s="779"/>
      <c r="AB16" s="779"/>
      <c r="AC16" s="779"/>
      <c r="AD16" s="779"/>
      <c r="AE16" s="779"/>
      <c r="AF16" s="779"/>
      <c r="AG16" s="779"/>
      <c r="AH16" s="804"/>
      <c r="AI16" s="921"/>
    </row>
    <row r="17" spans="1:34">
      <c r="A17" s="4361" t="s">
        <v>366</v>
      </c>
      <c r="B17" s="4361"/>
      <c r="C17" s="4361"/>
      <c r="D17" s="935"/>
      <c r="E17" s="779"/>
      <c r="F17" s="374"/>
      <c r="G17" s="374"/>
      <c r="H17" s="779"/>
      <c r="I17" s="779"/>
      <c r="J17" s="779"/>
      <c r="K17" s="779"/>
      <c r="L17" s="779"/>
      <c r="M17" s="779"/>
      <c r="N17" s="380"/>
      <c r="O17" s="380"/>
      <c r="P17" s="374"/>
      <c r="Q17" s="374"/>
      <c r="R17" s="779"/>
      <c r="S17" s="779"/>
      <c r="T17" s="779"/>
      <c r="U17" s="779"/>
      <c r="V17" s="779"/>
      <c r="W17" s="779"/>
      <c r="X17" s="779"/>
      <c r="Y17" s="779"/>
      <c r="Z17" s="779"/>
      <c r="AA17" s="779"/>
      <c r="AB17" s="779"/>
      <c r="AC17" s="380"/>
      <c r="AD17" s="380"/>
      <c r="AE17" s="779"/>
      <c r="AF17" s="779"/>
      <c r="AG17" s="779"/>
      <c r="AH17" s="804"/>
    </row>
    <row r="18" spans="1:34">
      <c r="A18" s="4405" t="s">
        <v>540</v>
      </c>
      <c r="B18" s="4405"/>
      <c r="C18" s="4405"/>
      <c r="D18" s="4405" t="s">
        <v>927</v>
      </c>
      <c r="E18" s="4405"/>
      <c r="F18" s="4405"/>
      <c r="G18" s="779"/>
      <c r="H18" s="779"/>
      <c r="I18" s="779"/>
      <c r="J18" s="779"/>
      <c r="K18" s="779"/>
      <c r="L18" s="779"/>
      <c r="M18" s="374"/>
      <c r="N18" s="374"/>
      <c r="O18" s="374"/>
      <c r="P18" s="374"/>
      <c r="Q18" s="374"/>
      <c r="R18" s="374"/>
      <c r="S18" s="374"/>
      <c r="T18" s="374"/>
      <c r="U18" s="374"/>
      <c r="V18" s="374"/>
      <c r="W18" s="374"/>
      <c r="X18" s="374"/>
      <c r="Y18" s="374"/>
      <c r="Z18" s="374"/>
      <c r="AA18" s="374"/>
      <c r="AB18" s="374"/>
      <c r="AC18" s="374"/>
      <c r="AD18" s="374"/>
      <c r="AE18" s="374"/>
      <c r="AF18" s="779"/>
      <c r="AG18" s="779"/>
      <c r="AH18" s="804"/>
    </row>
    <row r="19" spans="1:34">
      <c r="A19" s="4399" t="s">
        <v>541</v>
      </c>
      <c r="B19" s="4399"/>
      <c r="C19" s="4399"/>
      <c r="D19" s="935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804"/>
    </row>
    <row r="20" spans="1:34">
      <c r="A20" s="5402" t="s">
        <v>322</v>
      </c>
      <c r="B20" s="5402"/>
      <c r="C20" s="5402"/>
      <c r="D20" s="935"/>
      <c r="E20" s="374"/>
      <c r="F20" s="779"/>
      <c r="G20" s="779"/>
      <c r="H20" s="779"/>
      <c r="I20" s="779"/>
      <c r="J20" s="779"/>
      <c r="K20" s="779"/>
      <c r="L20" s="779"/>
      <c r="M20" s="779"/>
      <c r="N20" s="779"/>
      <c r="O20" s="779"/>
      <c r="P20" s="779"/>
      <c r="Q20" s="780"/>
      <c r="R20" s="780"/>
      <c r="S20" s="779"/>
      <c r="T20" s="779"/>
      <c r="U20" s="779"/>
      <c r="V20" s="779"/>
      <c r="W20" s="5402" t="s">
        <v>928</v>
      </c>
      <c r="X20" s="5402"/>
      <c r="Y20" s="5402"/>
      <c r="Z20" s="5402"/>
      <c r="AA20" s="5402"/>
      <c r="AB20" s="779"/>
      <c r="AC20" s="779"/>
      <c r="AD20" s="779"/>
      <c r="AE20" s="779"/>
      <c r="AF20" s="779"/>
      <c r="AG20" s="779"/>
      <c r="AH20" s="804"/>
    </row>
    <row r="21" spans="1:34">
      <c r="A21" s="4356" t="s">
        <v>929</v>
      </c>
      <c r="B21" s="4356"/>
      <c r="C21" s="4356"/>
      <c r="D21" s="938"/>
      <c r="E21" s="780"/>
      <c r="F21" s="780"/>
      <c r="G21" s="780"/>
      <c r="H21" s="780"/>
      <c r="I21" s="780"/>
      <c r="J21" s="780"/>
      <c r="K21" s="780"/>
      <c r="L21" s="780"/>
      <c r="M21" s="780"/>
      <c r="N21" s="779"/>
      <c r="O21" s="779"/>
      <c r="P21" s="847"/>
      <c r="Q21" s="847"/>
      <c r="R21" s="2493" t="s">
        <v>930</v>
      </c>
      <c r="S21" s="822"/>
      <c r="T21" s="779"/>
      <c r="U21" s="779"/>
      <c r="V21" s="779"/>
      <c r="W21" s="779"/>
      <c r="X21" s="779"/>
      <c r="Y21" s="779"/>
      <c r="Z21" s="779"/>
      <c r="AA21" s="779"/>
      <c r="AB21" s="779"/>
      <c r="AC21" s="779"/>
      <c r="AD21" s="779"/>
      <c r="AE21" s="779"/>
      <c r="AF21" s="779"/>
      <c r="AG21" s="779"/>
      <c r="AH21" s="804"/>
    </row>
    <row r="22" spans="1:34">
      <c r="A22" s="5784" t="s">
        <v>886</v>
      </c>
      <c r="B22" s="5784"/>
      <c r="C22" s="5784"/>
      <c r="D22" s="5783" t="s">
        <v>887</v>
      </c>
      <c r="E22" s="5783"/>
      <c r="F22" s="5783"/>
      <c r="G22" s="780"/>
      <c r="H22" s="780"/>
      <c r="I22" s="780"/>
      <c r="J22" s="780"/>
      <c r="K22" s="780"/>
      <c r="L22" s="780"/>
      <c r="M22" s="780"/>
      <c r="N22" s="793"/>
      <c r="O22" s="778"/>
      <c r="P22" s="781"/>
      <c r="Q22" s="778"/>
      <c r="R22" s="781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805"/>
    </row>
    <row r="23" spans="1:34">
      <c r="A23" s="5765" t="s">
        <v>931</v>
      </c>
      <c r="B23" s="5765"/>
      <c r="C23" s="5765"/>
      <c r="D23" s="5805" t="s">
        <v>932</v>
      </c>
      <c r="E23" s="5805"/>
      <c r="F23" s="5805"/>
      <c r="G23" s="5805"/>
      <c r="H23" s="5805"/>
      <c r="I23" s="5805"/>
      <c r="J23" s="5805"/>
      <c r="K23" s="5805"/>
      <c r="L23" s="5805"/>
      <c r="M23" s="5805"/>
      <c r="N23" s="1264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  <c r="AF23" s="785"/>
      <c r="AG23" s="785"/>
      <c r="AH23" s="808"/>
    </row>
    <row r="24" spans="1:34">
      <c r="A24" s="950" t="s">
        <v>66</v>
      </c>
      <c r="B24" s="1991" t="s">
        <v>67</v>
      </c>
      <c r="C24" s="2602" t="s">
        <v>74</v>
      </c>
      <c r="D24" s="5794" t="s">
        <v>933</v>
      </c>
      <c r="E24" s="5794"/>
      <c r="F24" s="5794"/>
      <c r="G24" s="2574" t="s">
        <v>251</v>
      </c>
      <c r="H24" s="1671"/>
      <c r="I24" s="937"/>
      <c r="J24" s="937"/>
      <c r="K24" s="937"/>
      <c r="L24" s="937"/>
      <c r="M24" s="937"/>
      <c r="N24" s="937"/>
      <c r="O24" s="937"/>
      <c r="P24" s="937"/>
      <c r="Q24" s="937"/>
      <c r="R24" s="937"/>
      <c r="S24" s="937"/>
      <c r="T24" s="937"/>
      <c r="U24" s="937"/>
      <c r="V24" s="937"/>
      <c r="W24" s="937"/>
      <c r="X24" s="2644"/>
      <c r="Y24" s="937"/>
      <c r="Z24" s="937"/>
      <c r="AA24" s="937"/>
      <c r="AB24" s="937"/>
      <c r="AC24" s="1332"/>
      <c r="AD24" s="937"/>
      <c r="AE24" s="937"/>
      <c r="AF24" s="937"/>
      <c r="AG24" s="937"/>
      <c r="AH24" s="1333"/>
    </row>
    <row r="25" spans="1:34">
      <c r="A25" s="951" t="s">
        <v>73</v>
      </c>
      <c r="B25" s="1958" t="s">
        <v>67</v>
      </c>
      <c r="C25" s="1938" t="s">
        <v>458</v>
      </c>
      <c r="D25" s="5800" t="s">
        <v>934</v>
      </c>
      <c r="E25" s="5800"/>
      <c r="F25" s="5800"/>
      <c r="G25" s="3664" t="s">
        <v>251</v>
      </c>
      <c r="H25" s="3685"/>
      <c r="I25" s="3685" t="s">
        <v>30</v>
      </c>
      <c r="J25" s="3685"/>
      <c r="K25" s="779"/>
      <c r="L25" s="779"/>
      <c r="M25" s="779"/>
      <c r="N25" s="779"/>
      <c r="O25" s="4463" t="s">
        <v>935</v>
      </c>
      <c r="P25" s="4413"/>
      <c r="Q25" s="4413"/>
      <c r="R25" s="4413"/>
      <c r="S25" s="4413"/>
      <c r="T25" s="4413"/>
      <c r="U25" s="4414"/>
      <c r="V25" s="2385"/>
      <c r="W25" s="2385"/>
      <c r="X25" s="847"/>
      <c r="Y25" s="3628" t="s">
        <v>251</v>
      </c>
      <c r="Z25" s="5795" t="s">
        <v>936</v>
      </c>
      <c r="AA25" s="5795"/>
      <c r="AB25" s="3628" t="s">
        <v>251</v>
      </c>
      <c r="AC25" s="822"/>
      <c r="AD25" s="779"/>
      <c r="AE25" s="2385"/>
      <c r="AF25" s="2385"/>
      <c r="AG25" s="323"/>
      <c r="AH25" s="324"/>
    </row>
    <row r="26" spans="1:34" s="1704" customFormat="1" ht="15.75" customHeight="1">
      <c r="A26" s="1035" t="s">
        <v>599</v>
      </c>
      <c r="B26" s="1954" t="s">
        <v>543</v>
      </c>
      <c r="C26" s="1954" t="s">
        <v>544</v>
      </c>
      <c r="D26" s="936"/>
      <c r="E26" s="1646"/>
      <c r="F26" s="1646"/>
      <c r="G26" s="1646"/>
      <c r="H26" s="1646"/>
      <c r="I26" s="1646"/>
      <c r="J26" s="1646"/>
      <c r="K26" s="1646"/>
      <c r="L26" s="1646"/>
      <c r="M26" s="1646"/>
      <c r="N26" s="1646"/>
      <c r="O26" s="1646"/>
      <c r="P26" s="1646"/>
      <c r="Q26" s="1646"/>
      <c r="R26" s="1646"/>
      <c r="S26" s="1646"/>
      <c r="T26" s="1646"/>
      <c r="U26" s="1646"/>
      <c r="V26" s="1646"/>
      <c r="W26" s="1646"/>
      <c r="X26" s="3668"/>
      <c r="Y26" s="3679"/>
      <c r="Z26" s="5793"/>
      <c r="AA26" s="5793"/>
      <c r="AB26" s="3679"/>
      <c r="AC26" s="1985"/>
      <c r="AD26" s="1646"/>
      <c r="AE26" s="1646"/>
      <c r="AF26" s="1646"/>
      <c r="AG26" s="321"/>
      <c r="AH26" s="322"/>
    </row>
    <row r="27" spans="1:34" s="1704" customFormat="1" ht="15.75" customHeight="1">
      <c r="A27" s="5803" t="s">
        <v>84</v>
      </c>
      <c r="B27" s="2590" t="s">
        <v>85</v>
      </c>
      <c r="C27" s="2596" t="s">
        <v>86</v>
      </c>
      <c r="D27" s="4844" t="s">
        <v>937</v>
      </c>
      <c r="E27" s="4550"/>
      <c r="F27" s="4550"/>
      <c r="G27" s="4550"/>
      <c r="H27" s="4853"/>
      <c r="I27" s="4550"/>
      <c r="J27" s="4550"/>
      <c r="K27" s="4550"/>
      <c r="L27" s="4550"/>
      <c r="M27" s="4550"/>
      <c r="N27" s="4550"/>
      <c r="O27" s="4550"/>
      <c r="P27" s="4550"/>
      <c r="Q27" s="4550"/>
      <c r="R27" s="4550"/>
      <c r="S27" s="4550"/>
      <c r="T27" s="4550"/>
      <c r="U27" s="4550"/>
      <c r="V27" s="4550"/>
      <c r="W27" s="4550"/>
      <c r="X27" s="4550"/>
      <c r="Y27" s="4550"/>
      <c r="Z27" s="4550"/>
      <c r="AA27" s="4550"/>
      <c r="AB27" s="4550"/>
      <c r="AC27" s="4550"/>
      <c r="AD27" s="4550"/>
      <c r="AE27" s="4550"/>
      <c r="AF27" s="2770"/>
      <c r="AG27" s="2488"/>
      <c r="AH27" s="2489"/>
    </row>
    <row r="28" spans="1:34">
      <c r="A28" s="5804"/>
      <c r="B28" s="2386" t="s">
        <v>85</v>
      </c>
      <c r="C28" s="2393" t="s">
        <v>716</v>
      </c>
      <c r="D28" s="5806"/>
      <c r="E28" s="5807"/>
      <c r="F28" s="5807"/>
      <c r="G28" s="5807"/>
      <c r="H28" s="939" t="s">
        <v>459</v>
      </c>
      <c r="I28" s="2214"/>
      <c r="J28" s="1765"/>
      <c r="K28" s="1765"/>
      <c r="L28" s="1765"/>
      <c r="M28" s="1765"/>
      <c r="N28" s="1909"/>
      <c r="O28" s="1909"/>
      <c r="P28" s="1765"/>
      <c r="Q28" s="1765"/>
      <c r="R28" s="1765"/>
      <c r="S28" s="1765"/>
      <c r="T28" s="1765"/>
      <c r="U28" s="1765"/>
      <c r="V28" s="1765"/>
      <c r="W28" s="1765"/>
      <c r="X28" s="1765"/>
      <c r="Y28" s="1765"/>
      <c r="Z28" s="1765"/>
      <c r="AA28" s="1765"/>
      <c r="AB28" s="1765"/>
      <c r="AC28" s="1765"/>
      <c r="AD28" s="1765"/>
      <c r="AE28" s="1765"/>
      <c r="AF28" s="1765"/>
      <c r="AG28" s="2321"/>
      <c r="AH28" s="324"/>
    </row>
    <row r="29" spans="1:34" ht="15.75" customHeight="1">
      <c r="A29" s="5499" t="s">
        <v>92</v>
      </c>
      <c r="B29" s="2590" t="s">
        <v>248</v>
      </c>
      <c r="C29" s="2596" t="s">
        <v>96</v>
      </c>
      <c r="D29" s="5794" t="s">
        <v>933</v>
      </c>
      <c r="E29" s="5797"/>
      <c r="F29" s="5797"/>
      <c r="G29" s="2574" t="s">
        <v>251</v>
      </c>
      <c r="H29" s="961"/>
      <c r="I29" s="2591"/>
      <c r="J29" s="2591"/>
      <c r="K29" s="937"/>
      <c r="L29" s="937"/>
      <c r="M29" s="937"/>
      <c r="N29" s="937"/>
      <c r="O29" s="461"/>
      <c r="P29" s="461"/>
      <c r="Q29" s="461"/>
      <c r="R29" s="2591" t="s">
        <v>722</v>
      </c>
      <c r="S29" s="461"/>
      <c r="T29" s="461"/>
      <c r="U29" s="461"/>
      <c r="V29" s="2536" t="s">
        <v>720</v>
      </c>
      <c r="W29" s="461"/>
      <c r="X29" s="461"/>
      <c r="Y29" s="3671" t="s">
        <v>251</v>
      </c>
      <c r="Z29" s="5792" t="s">
        <v>936</v>
      </c>
      <c r="AA29" s="5792"/>
      <c r="AB29" s="3671" t="s">
        <v>251</v>
      </c>
      <c r="AC29" s="961"/>
      <c r="AD29" s="961"/>
      <c r="AE29" s="1671"/>
      <c r="AF29" s="1671"/>
      <c r="AG29" s="461"/>
      <c r="AH29" s="695"/>
    </row>
    <row r="30" spans="1:34">
      <c r="A30" s="5499"/>
      <c r="B30" s="2230" t="s">
        <v>326</v>
      </c>
      <c r="C30" s="1957" t="s">
        <v>327</v>
      </c>
      <c r="D30" s="5798" t="s">
        <v>933</v>
      </c>
      <c r="E30" s="5799"/>
      <c r="F30" s="5799"/>
      <c r="G30" s="3664" t="s">
        <v>251</v>
      </c>
      <c r="H30" s="537"/>
      <c r="I30" s="537"/>
      <c r="J30" s="537"/>
      <c r="K30" s="537"/>
      <c r="L30" s="537"/>
      <c r="M30" s="537"/>
      <c r="N30" s="374"/>
      <c r="O30" s="2540" t="s">
        <v>720</v>
      </c>
      <c r="P30" s="537"/>
      <c r="Q30" s="537"/>
      <c r="R30" s="537"/>
      <c r="S30" s="537"/>
      <c r="T30" s="537"/>
      <c r="U30" s="1459"/>
      <c r="V30" s="2540"/>
      <c r="W30" s="2536" t="s">
        <v>720</v>
      </c>
      <c r="X30" s="2540"/>
      <c r="Y30" s="537"/>
      <c r="Z30" s="537"/>
      <c r="AA30" s="537"/>
      <c r="AB30" s="537"/>
      <c r="AC30" s="537"/>
      <c r="AD30" s="537"/>
      <c r="AE30" s="537"/>
      <c r="AF30" s="1459" t="s">
        <v>722</v>
      </c>
      <c r="AG30" s="943"/>
      <c r="AH30" s="804"/>
    </row>
    <row r="31" spans="1:34" ht="15.75" customHeight="1">
      <c r="A31" s="5499"/>
      <c r="B31" s="2386" t="s">
        <v>606</v>
      </c>
      <c r="C31" s="2393" t="s">
        <v>98</v>
      </c>
      <c r="D31" s="2598" t="s">
        <v>720</v>
      </c>
      <c r="E31" s="966"/>
      <c r="F31" s="966"/>
      <c r="G31" s="966"/>
      <c r="H31" s="966"/>
      <c r="I31" s="1470" t="s">
        <v>722</v>
      </c>
      <c r="J31" s="968"/>
      <c r="K31" s="968"/>
      <c r="L31" s="966"/>
      <c r="M31" s="966"/>
      <c r="N31" s="968"/>
      <c r="O31" s="2599" t="s">
        <v>251</v>
      </c>
      <c r="P31" s="5786" t="s">
        <v>938</v>
      </c>
      <c r="Q31" s="5786"/>
      <c r="R31" s="5786"/>
      <c r="S31" s="5786"/>
      <c r="T31" s="5786"/>
      <c r="U31" s="5786"/>
      <c r="V31" s="5786"/>
      <c r="W31" s="5786"/>
      <c r="X31" s="5786"/>
      <c r="Y31" s="5786"/>
      <c r="Z31" s="5786"/>
      <c r="AA31" s="5786"/>
      <c r="AB31" s="2600" t="s">
        <v>939</v>
      </c>
      <c r="AC31" s="2599" t="s">
        <v>251</v>
      </c>
      <c r="AD31" s="966"/>
      <c r="AE31" s="1470"/>
      <c r="AF31" s="966"/>
      <c r="AG31" s="2601"/>
      <c r="AH31" s="807"/>
    </row>
    <row r="32" spans="1:34">
      <c r="A32" s="5525" t="s">
        <v>99</v>
      </c>
      <c r="B32" s="1948" t="s">
        <v>100</v>
      </c>
      <c r="C32" s="1942" t="s">
        <v>101</v>
      </c>
      <c r="D32" s="934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2543"/>
      <c r="R32" s="778"/>
      <c r="S32" s="778"/>
      <c r="T32" s="778"/>
      <c r="U32" s="778"/>
      <c r="V32" s="778"/>
      <c r="W32" s="778"/>
      <c r="X32" s="778"/>
      <c r="Y32" s="778"/>
      <c r="Z32" s="778"/>
      <c r="AA32" s="778"/>
      <c r="AB32" s="5645" t="s">
        <v>242</v>
      </c>
      <c r="AC32" s="4502"/>
      <c r="AD32" s="4503"/>
      <c r="AE32" s="778"/>
      <c r="AF32" s="778"/>
      <c r="AG32" s="778"/>
      <c r="AH32" s="805"/>
    </row>
    <row r="33" spans="1:34">
      <c r="A33" s="5525"/>
      <c r="B33" s="1948" t="s">
        <v>392</v>
      </c>
      <c r="C33" s="1942" t="s">
        <v>725</v>
      </c>
      <c r="D33" s="934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2543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805"/>
    </row>
    <row r="34" spans="1:34">
      <c r="A34" s="5525"/>
      <c r="B34" s="1945" t="s">
        <v>95</v>
      </c>
      <c r="C34" s="1938" t="s">
        <v>726</v>
      </c>
      <c r="D34" s="2430" t="s">
        <v>717</v>
      </c>
      <c r="E34" s="779"/>
      <c r="F34" s="779"/>
      <c r="G34" s="779"/>
      <c r="H34" s="779"/>
      <c r="I34" s="779"/>
      <c r="J34" s="2437" t="s">
        <v>717</v>
      </c>
      <c r="K34" s="779"/>
      <c r="L34" s="779"/>
      <c r="M34" s="779"/>
      <c r="N34" s="779"/>
      <c r="O34" s="779"/>
      <c r="P34" s="779"/>
      <c r="Q34" s="2437" t="s">
        <v>717</v>
      </c>
      <c r="R34" s="2461"/>
      <c r="S34" s="779"/>
      <c r="T34" s="779"/>
      <c r="U34" s="779"/>
      <c r="V34" s="779"/>
      <c r="W34" s="779"/>
      <c r="X34" s="779"/>
      <c r="Y34" s="779"/>
      <c r="Z34" s="779"/>
      <c r="AA34" s="779"/>
      <c r="AB34" s="779"/>
      <c r="AC34" s="779"/>
      <c r="AD34" s="779"/>
      <c r="AE34" s="2540"/>
      <c r="AF34" s="2540"/>
      <c r="AG34" s="779"/>
      <c r="AH34" s="804"/>
    </row>
    <row r="35" spans="1:34">
      <c r="A35" s="5525"/>
      <c r="B35" s="1945" t="s">
        <v>95</v>
      </c>
      <c r="C35" s="1938" t="s">
        <v>548</v>
      </c>
      <c r="D35" s="5798" t="s">
        <v>933</v>
      </c>
      <c r="E35" s="5798"/>
      <c r="F35" s="5798"/>
      <c r="G35" s="3664" t="s">
        <v>251</v>
      </c>
      <c r="H35" s="779"/>
      <c r="I35" s="2540"/>
      <c r="J35" s="779"/>
      <c r="K35" s="779"/>
      <c r="L35" s="779"/>
      <c r="M35" s="779"/>
      <c r="N35" s="779"/>
      <c r="O35" s="2540"/>
      <c r="P35" s="779"/>
      <c r="Q35" s="5801" t="s">
        <v>940</v>
      </c>
      <c r="R35" s="5801"/>
      <c r="S35" s="779"/>
      <c r="T35" s="2540" t="s">
        <v>722</v>
      </c>
      <c r="U35" s="779"/>
      <c r="V35" s="2539"/>
      <c r="W35" s="779"/>
      <c r="X35" s="779"/>
      <c r="Y35" s="3671" t="s">
        <v>251</v>
      </c>
      <c r="Z35" s="5251" t="s">
        <v>936</v>
      </c>
      <c r="AA35" s="5251"/>
      <c r="AB35" s="3628" t="s">
        <v>251</v>
      </c>
      <c r="AC35" s="779"/>
      <c r="AD35" s="779"/>
      <c r="AE35" s="2540"/>
      <c r="AF35" s="779"/>
      <c r="AG35" s="2540"/>
      <c r="AH35" s="804"/>
    </row>
    <row r="36" spans="1:34">
      <c r="A36" s="5525"/>
      <c r="B36" s="1945" t="s">
        <v>106</v>
      </c>
      <c r="C36" s="1938" t="s">
        <v>107</v>
      </c>
      <c r="D36" s="5798" t="s">
        <v>933</v>
      </c>
      <c r="E36" s="5798"/>
      <c r="F36" s="5798"/>
      <c r="G36" s="3664" t="s">
        <v>251</v>
      </c>
      <c r="H36" s="780"/>
      <c r="I36" s="780"/>
      <c r="J36" s="780"/>
      <c r="K36" s="780"/>
      <c r="L36" s="2434" t="s">
        <v>720</v>
      </c>
      <c r="M36" s="779"/>
      <c r="N36" s="779"/>
      <c r="O36" s="779"/>
      <c r="P36" s="779"/>
      <c r="Q36" s="2434" t="s">
        <v>720</v>
      </c>
      <c r="R36" s="779"/>
      <c r="S36" s="779"/>
      <c r="T36" s="779"/>
      <c r="U36" s="779"/>
      <c r="V36" s="2540" t="s">
        <v>722</v>
      </c>
      <c r="W36" s="2540"/>
      <c r="X36" s="779"/>
      <c r="Y36" s="779"/>
      <c r="Z36" s="779"/>
      <c r="AA36" s="779"/>
      <c r="AB36" s="2540" t="s">
        <v>722</v>
      </c>
      <c r="AC36" s="779"/>
      <c r="AD36" s="1459"/>
      <c r="AE36" s="779"/>
      <c r="AF36" s="779"/>
      <c r="AG36" s="779" t="s">
        <v>30</v>
      </c>
      <c r="AH36" s="804"/>
    </row>
    <row r="37" spans="1:34">
      <c r="A37" s="5525"/>
      <c r="B37" s="1965" t="s">
        <v>108</v>
      </c>
      <c r="C37" s="1974" t="s">
        <v>109</v>
      </c>
      <c r="D37" s="5815" t="s">
        <v>933</v>
      </c>
      <c r="E37" s="5815"/>
      <c r="F37" s="5815"/>
      <c r="G37" s="2575" t="s">
        <v>251</v>
      </c>
      <c r="H37" s="2366"/>
      <c r="I37" s="2366"/>
      <c r="J37" s="2366"/>
      <c r="K37" s="2366"/>
      <c r="L37" s="782"/>
      <c r="M37" s="782"/>
      <c r="N37" s="2443"/>
      <c r="O37" s="782"/>
      <c r="P37" s="782"/>
      <c r="Q37" s="5802" t="s">
        <v>940</v>
      </c>
      <c r="R37" s="5802"/>
      <c r="S37" s="782"/>
      <c r="T37" s="782"/>
      <c r="U37" s="782"/>
      <c r="V37" s="782"/>
      <c r="W37" s="782"/>
      <c r="X37" s="782"/>
      <c r="Y37" s="782"/>
      <c r="Z37" s="2544" t="s">
        <v>720</v>
      </c>
      <c r="AA37" s="782"/>
      <c r="AB37" s="782"/>
      <c r="AC37" s="782"/>
      <c r="AD37" s="2544" t="s">
        <v>720</v>
      </c>
      <c r="AE37" s="782"/>
      <c r="AF37" s="782"/>
      <c r="AG37" s="2443" t="s">
        <v>722</v>
      </c>
      <c r="AH37" s="807"/>
    </row>
    <row r="38" spans="1:34">
      <c r="A38" s="5029" t="s">
        <v>110</v>
      </c>
      <c r="B38" s="1937" t="s">
        <v>283</v>
      </c>
      <c r="C38" s="1937" t="s">
        <v>201</v>
      </c>
      <c r="D38" s="3655" t="s">
        <v>112</v>
      </c>
      <c r="E38" s="778"/>
      <c r="F38" s="2437"/>
      <c r="G38" s="778"/>
      <c r="H38" s="778"/>
      <c r="I38" s="2543" t="s">
        <v>720</v>
      </c>
      <c r="J38" s="2543"/>
      <c r="K38" s="778"/>
      <c r="L38" s="778"/>
      <c r="M38" s="778"/>
      <c r="N38" s="778"/>
      <c r="O38" s="778"/>
      <c r="P38" s="778"/>
      <c r="Q38" s="778"/>
      <c r="R38" s="778"/>
      <c r="S38" s="778"/>
      <c r="T38" s="2543"/>
      <c r="U38" s="778"/>
      <c r="V38" s="778"/>
      <c r="W38" s="778"/>
      <c r="X38" s="778"/>
      <c r="Y38" s="778"/>
      <c r="Z38" s="778"/>
      <c r="AA38" s="2543" t="s">
        <v>720</v>
      </c>
      <c r="AB38" s="778"/>
      <c r="AC38" s="778"/>
      <c r="AD38" s="778"/>
      <c r="AE38" s="778"/>
      <c r="AF38" s="778"/>
      <c r="AG38" s="778"/>
      <c r="AH38" s="805"/>
    </row>
    <row r="39" spans="1:34">
      <c r="A39" s="5029"/>
      <c r="B39" s="1969" t="s">
        <v>283</v>
      </c>
      <c r="C39" s="2267" t="s">
        <v>610</v>
      </c>
      <c r="D39" s="2578" t="s">
        <v>251</v>
      </c>
      <c r="E39" s="779"/>
      <c r="F39" s="2434" t="s">
        <v>720</v>
      </c>
      <c r="G39" s="779"/>
      <c r="H39" s="779"/>
      <c r="I39" s="5698" t="s">
        <v>941</v>
      </c>
      <c r="J39" s="5698"/>
      <c r="K39" s="5698"/>
      <c r="L39" s="5698"/>
      <c r="M39" s="5698"/>
      <c r="N39" s="5698"/>
      <c r="O39" s="5698"/>
      <c r="P39" s="5698"/>
      <c r="Q39" s="5698"/>
      <c r="R39" s="5698"/>
      <c r="S39" s="5698"/>
      <c r="T39" s="5698"/>
      <c r="U39" s="779"/>
      <c r="V39" s="779"/>
      <c r="W39" s="779"/>
      <c r="X39" s="779"/>
      <c r="Y39" s="2540" t="s">
        <v>720</v>
      </c>
      <c r="Z39" s="779"/>
      <c r="AA39" s="779"/>
      <c r="AB39" s="4475" t="s">
        <v>942</v>
      </c>
      <c r="AC39" s="4475"/>
      <c r="AD39" s="4475"/>
      <c r="AE39" s="4475"/>
      <c r="AF39" s="779"/>
      <c r="AG39" s="779"/>
      <c r="AH39" s="2546"/>
    </row>
    <row r="40" spans="1:34">
      <c r="A40" s="5029"/>
      <c r="B40" s="1969" t="s">
        <v>95</v>
      </c>
      <c r="C40" s="2526" t="s">
        <v>249</v>
      </c>
      <c r="D40" s="5775" t="s">
        <v>158</v>
      </c>
      <c r="E40" s="5270"/>
      <c r="F40" s="5270"/>
      <c r="G40" s="5270"/>
      <c r="H40" s="5270"/>
      <c r="I40" s="5270"/>
      <c r="J40" s="5270"/>
      <c r="K40" s="5270"/>
      <c r="L40" s="5270"/>
      <c r="M40" s="5270"/>
      <c r="N40" s="5270"/>
      <c r="O40" s="5270"/>
      <c r="P40" s="5270"/>
      <c r="Q40" s="5270"/>
      <c r="R40" s="5270"/>
      <c r="S40" s="5270"/>
      <c r="T40" s="5270"/>
      <c r="U40" s="5270"/>
      <c r="V40" s="779"/>
      <c r="W40" s="779"/>
      <c r="X40" s="779"/>
      <c r="Y40" s="779"/>
      <c r="Z40" s="779"/>
      <c r="AA40" s="2540" t="s">
        <v>722</v>
      </c>
      <c r="AB40" s="779"/>
      <c r="AC40" s="779"/>
      <c r="AD40" s="2540"/>
      <c r="AE40" s="2540" t="s">
        <v>720</v>
      </c>
      <c r="AF40" s="779"/>
      <c r="AG40" s="779"/>
      <c r="AH40" s="804"/>
    </row>
    <row r="41" spans="1:34">
      <c r="A41" s="5029"/>
      <c r="B41" s="1939" t="s">
        <v>113</v>
      </c>
      <c r="C41" s="1939" t="s">
        <v>116</v>
      </c>
      <c r="D41" s="2579" t="s">
        <v>722</v>
      </c>
      <c r="E41" s="779"/>
      <c r="F41" s="2540"/>
      <c r="G41" s="2540" t="s">
        <v>720</v>
      </c>
      <c r="H41" s="779"/>
      <c r="I41" s="5770" t="s">
        <v>943</v>
      </c>
      <c r="J41" s="5770"/>
      <c r="K41" s="5770"/>
      <c r="L41" s="5770"/>
      <c r="M41" s="5770"/>
      <c r="N41" s="5770"/>
      <c r="O41" s="5770"/>
      <c r="P41" s="5770"/>
      <c r="Q41" s="5770"/>
      <c r="R41" s="5770"/>
      <c r="S41" s="5770"/>
      <c r="T41" s="5770"/>
      <c r="U41" s="5770"/>
      <c r="V41" s="5770"/>
      <c r="W41" s="5770"/>
      <c r="X41" s="5770"/>
      <c r="Y41" s="5770"/>
      <c r="Z41" s="5770"/>
      <c r="AA41" s="5770"/>
      <c r="AB41" s="779"/>
      <c r="AC41" s="2540"/>
      <c r="AD41" s="779"/>
      <c r="AE41" s="779"/>
      <c r="AF41" s="779"/>
      <c r="AG41" s="779"/>
      <c r="AH41" s="2322" t="s">
        <v>251</v>
      </c>
    </row>
    <row r="42" spans="1:34">
      <c r="A42" s="5029"/>
      <c r="B42" s="1939" t="s">
        <v>118</v>
      </c>
      <c r="C42" s="1939" t="s">
        <v>119</v>
      </c>
      <c r="D42" s="5769" t="s">
        <v>650</v>
      </c>
      <c r="E42" s="5694"/>
      <c r="F42" s="779"/>
      <c r="G42" s="779"/>
      <c r="H42" s="779"/>
      <c r="I42" s="779"/>
      <c r="J42" s="779"/>
      <c r="K42" s="779"/>
      <c r="L42" s="2540" t="s">
        <v>722</v>
      </c>
      <c r="M42" s="779"/>
      <c r="N42" s="779"/>
      <c r="O42" s="779"/>
      <c r="P42" s="779"/>
      <c r="Q42" s="779"/>
      <c r="R42" s="779"/>
      <c r="S42" s="779"/>
      <c r="T42" s="779"/>
      <c r="U42" s="779"/>
      <c r="V42" s="779"/>
      <c r="W42" s="779"/>
      <c r="X42" s="779"/>
      <c r="Y42" s="779"/>
      <c r="Z42" s="779"/>
      <c r="AA42" s="779"/>
      <c r="AB42" s="779"/>
      <c r="AC42" s="779"/>
      <c r="AD42" s="779"/>
      <c r="AE42" s="779"/>
      <c r="AF42" s="779"/>
      <c r="AG42" s="779"/>
      <c r="AH42" s="804"/>
    </row>
    <row r="43" spans="1:34">
      <c r="A43" s="5029"/>
      <c r="B43" s="1939" t="s">
        <v>500</v>
      </c>
      <c r="C43" s="1939" t="s">
        <v>126</v>
      </c>
      <c r="D43" s="2579"/>
      <c r="E43" s="779"/>
      <c r="F43" s="779"/>
      <c r="G43" s="779"/>
      <c r="H43" s="2540"/>
      <c r="I43" s="779"/>
      <c r="J43" s="779"/>
      <c r="K43" s="1459" t="s">
        <v>720</v>
      </c>
      <c r="L43" s="779"/>
      <c r="M43" s="779"/>
      <c r="N43" s="779"/>
      <c r="O43" s="779"/>
      <c r="P43" s="2540" t="s">
        <v>722</v>
      </c>
      <c r="Q43" s="779"/>
      <c r="R43" s="779"/>
      <c r="S43" s="2540" t="s">
        <v>722</v>
      </c>
      <c r="T43" s="779"/>
      <c r="U43" s="779"/>
      <c r="V43" s="779"/>
      <c r="W43" s="779"/>
      <c r="X43" s="2540"/>
      <c r="Y43" s="2540"/>
      <c r="Z43" s="779"/>
      <c r="AA43" s="779"/>
      <c r="AB43" s="4475" t="s">
        <v>944</v>
      </c>
      <c r="AC43" s="4475"/>
      <c r="AD43" s="4475"/>
      <c r="AE43" s="4475"/>
      <c r="AF43" s="779"/>
      <c r="AG43" s="779"/>
      <c r="AH43" s="804"/>
    </row>
    <row r="44" spans="1:34">
      <c r="A44" s="5029"/>
      <c r="B44" s="1949" t="s">
        <v>120</v>
      </c>
      <c r="C44" s="1949" t="s">
        <v>121</v>
      </c>
      <c r="D44" s="935" t="s">
        <v>945</v>
      </c>
      <c r="E44" s="779"/>
      <c r="F44" s="2540" t="s">
        <v>722</v>
      </c>
      <c r="G44" s="779"/>
      <c r="H44" s="779"/>
      <c r="I44" s="779"/>
      <c r="J44" s="779"/>
      <c r="K44" s="779"/>
      <c r="L44" s="779"/>
      <c r="M44" s="779"/>
      <c r="N44" s="779"/>
      <c r="O44" s="779"/>
      <c r="P44" s="2540"/>
      <c r="Q44" s="779"/>
      <c r="R44" s="779"/>
      <c r="S44" s="779"/>
      <c r="T44" s="779"/>
      <c r="U44" s="2540" t="s">
        <v>722</v>
      </c>
      <c r="V44" s="779"/>
      <c r="W44" s="779"/>
      <c r="X44" s="779"/>
      <c r="Y44" s="2540" t="s">
        <v>722</v>
      </c>
      <c r="Z44" s="779"/>
      <c r="AA44" s="779"/>
      <c r="AB44" s="779"/>
      <c r="AC44" s="779"/>
      <c r="AD44" s="2249"/>
      <c r="AE44" s="2540"/>
      <c r="AF44" s="779"/>
      <c r="AG44" s="779"/>
      <c r="AH44" s="804"/>
    </row>
    <row r="45" spans="1:34">
      <c r="A45" s="5029"/>
      <c r="B45" s="1943" t="s">
        <v>122</v>
      </c>
      <c r="C45" s="1943" t="s">
        <v>123</v>
      </c>
      <c r="D45" s="935"/>
      <c r="E45" s="2540" t="s">
        <v>720</v>
      </c>
      <c r="F45" s="2540"/>
      <c r="G45" s="2287"/>
      <c r="H45" s="2542" t="s">
        <v>722</v>
      </c>
      <c r="I45" s="2287"/>
      <c r="J45" s="2287"/>
      <c r="K45" s="2287"/>
      <c r="L45" s="2540"/>
      <c r="M45" s="2287"/>
      <c r="N45" s="2287"/>
      <c r="O45" s="2287"/>
      <c r="P45" s="2287"/>
      <c r="Q45" s="2287"/>
      <c r="R45" s="2287"/>
      <c r="S45" s="2287"/>
      <c r="T45" s="779"/>
      <c r="U45" s="779"/>
      <c r="V45" s="779"/>
      <c r="W45" s="779"/>
      <c r="X45" s="4475" t="s">
        <v>946</v>
      </c>
      <c r="Y45" s="4475"/>
      <c r="Z45" s="4475"/>
      <c r="AA45" s="4475"/>
      <c r="AB45" s="4475"/>
      <c r="AC45" s="4475"/>
      <c r="AD45" s="4475"/>
      <c r="AE45" s="4475"/>
      <c r="AF45" s="4475"/>
      <c r="AG45" s="4475"/>
      <c r="AH45" s="4506"/>
    </row>
    <row r="46" spans="1:34">
      <c r="A46" s="5029"/>
      <c r="B46" s="1943" t="s">
        <v>122</v>
      </c>
      <c r="C46" s="1943" t="s">
        <v>553</v>
      </c>
      <c r="D46" s="2580"/>
      <c r="E46" s="2540" t="s">
        <v>717</v>
      </c>
      <c r="F46" s="2260"/>
      <c r="G46" s="2260"/>
      <c r="H46" s="2260"/>
      <c r="I46" s="2260"/>
      <c r="J46" s="2260"/>
      <c r="K46" s="2260"/>
      <c r="L46" s="2260"/>
      <c r="M46" s="2260"/>
      <c r="N46" s="2540" t="s">
        <v>717</v>
      </c>
      <c r="O46" s="2259"/>
      <c r="P46" s="2259"/>
      <c r="Q46" s="2259"/>
      <c r="R46" s="779"/>
      <c r="S46" s="779"/>
      <c r="T46" s="779"/>
      <c r="U46" s="779"/>
      <c r="V46" s="1387" t="s">
        <v>947</v>
      </c>
      <c r="W46" s="779"/>
      <c r="X46" s="779"/>
      <c r="Y46" s="779"/>
      <c r="Z46" s="4475" t="s">
        <v>608</v>
      </c>
      <c r="AA46" s="4475"/>
      <c r="AB46" s="4475"/>
      <c r="AC46" s="4475"/>
      <c r="AD46" s="4475"/>
      <c r="AE46" s="4475"/>
      <c r="AF46" s="4475"/>
      <c r="AG46" s="4475"/>
      <c r="AH46" s="4506"/>
    </row>
    <row r="47" spans="1:34">
      <c r="A47" s="5029"/>
      <c r="B47" s="1943" t="s">
        <v>124</v>
      </c>
      <c r="C47" s="1944" t="s">
        <v>125</v>
      </c>
      <c r="D47" s="4514" t="s">
        <v>948</v>
      </c>
      <c r="E47" s="4475"/>
      <c r="F47" s="4475"/>
      <c r="G47" s="4475"/>
      <c r="H47" s="4475"/>
      <c r="I47" s="4475"/>
      <c r="J47" s="4475"/>
      <c r="K47" s="4475"/>
      <c r="L47" s="4475"/>
      <c r="M47" s="4475"/>
      <c r="N47" s="4475"/>
      <c r="O47" s="4475"/>
      <c r="P47" s="4475"/>
      <c r="Q47" s="4475"/>
      <c r="R47" s="4475"/>
      <c r="S47" s="4475"/>
      <c r="T47" s="4475"/>
      <c r="U47" s="4475"/>
      <c r="V47" s="4475"/>
      <c r="W47" s="4475"/>
      <c r="X47" s="4475"/>
      <c r="Y47" s="779"/>
      <c r="Z47" s="779"/>
      <c r="AA47" s="2540"/>
      <c r="AB47" s="2540" t="s">
        <v>720</v>
      </c>
      <c r="AC47" s="779"/>
      <c r="AD47" s="779"/>
      <c r="AE47" s="779"/>
      <c r="AF47" s="2540" t="s">
        <v>720</v>
      </c>
      <c r="AG47" s="2540"/>
      <c r="AH47" s="804"/>
    </row>
    <row r="48" spans="1:34">
      <c r="A48" s="5029"/>
      <c r="B48" s="1943" t="s">
        <v>293</v>
      </c>
      <c r="C48" s="2643" t="s">
        <v>733</v>
      </c>
      <c r="D48" s="822"/>
      <c r="E48" s="779"/>
      <c r="F48" s="779"/>
      <c r="G48" s="779"/>
      <c r="H48" s="779"/>
      <c r="I48" s="779"/>
      <c r="J48" s="779"/>
      <c r="K48" s="779"/>
      <c r="L48" s="779"/>
      <c r="M48" s="779"/>
      <c r="N48" s="779"/>
      <c r="O48" s="779"/>
      <c r="P48" s="779"/>
      <c r="Q48" s="779"/>
      <c r="R48" s="779"/>
      <c r="S48" s="779"/>
      <c r="T48" s="779"/>
      <c r="U48" s="779"/>
      <c r="V48" s="779"/>
      <c r="W48" s="779"/>
      <c r="X48" s="779"/>
      <c r="Y48" s="779"/>
      <c r="Z48" s="779"/>
      <c r="AA48" s="779"/>
      <c r="AB48" s="779"/>
      <c r="AC48" s="779"/>
      <c r="AD48" s="779"/>
      <c r="AE48" s="779"/>
      <c r="AF48" s="779"/>
      <c r="AG48" s="779"/>
      <c r="AH48" s="779"/>
    </row>
    <row r="49" spans="1:34">
      <c r="A49" s="5029"/>
      <c r="B49" s="1943" t="s">
        <v>692</v>
      </c>
      <c r="C49" s="1940" t="s">
        <v>693</v>
      </c>
      <c r="D49" s="935"/>
      <c r="E49" s="779"/>
      <c r="F49" s="779"/>
      <c r="G49" s="2287"/>
      <c r="H49" s="2287"/>
      <c r="I49" s="2287"/>
      <c r="J49" s="2287"/>
      <c r="K49" s="2287"/>
      <c r="L49" s="2287"/>
      <c r="M49" s="2287"/>
      <c r="N49" s="2287"/>
      <c r="O49" s="2287"/>
      <c r="P49" s="2287"/>
      <c r="Q49" s="2287"/>
      <c r="R49" s="2287"/>
      <c r="S49" s="2287"/>
      <c r="T49" s="779"/>
      <c r="U49" s="779"/>
      <c r="V49" s="779"/>
      <c r="W49" s="779"/>
      <c r="X49" s="779"/>
      <c r="Y49" s="779"/>
      <c r="Z49" s="2540" t="s">
        <v>717</v>
      </c>
      <c r="AA49" s="779"/>
      <c r="AB49" s="779"/>
      <c r="AC49" s="2540" t="s">
        <v>717</v>
      </c>
      <c r="AD49" s="779"/>
      <c r="AE49" s="779"/>
      <c r="AF49" s="4475" t="s">
        <v>949</v>
      </c>
      <c r="AG49" s="4475"/>
      <c r="AH49" s="804"/>
    </row>
    <row r="50" spans="1:34">
      <c r="A50" s="5029"/>
      <c r="B50" s="2267" t="s">
        <v>127</v>
      </c>
      <c r="C50" s="2267" t="s">
        <v>657</v>
      </c>
      <c r="D50" s="935"/>
      <c r="E50" s="779"/>
      <c r="F50" s="779"/>
      <c r="G50" s="779"/>
      <c r="H50" s="779"/>
      <c r="I50" s="779"/>
      <c r="J50" s="779"/>
      <c r="K50" s="779"/>
      <c r="L50" s="779"/>
      <c r="M50" s="779"/>
      <c r="N50" s="779"/>
      <c r="O50" s="779"/>
      <c r="P50" s="779"/>
      <c r="Q50" s="779"/>
      <c r="R50" s="779"/>
      <c r="S50" s="779"/>
      <c r="T50" s="779"/>
      <c r="U50" s="779"/>
      <c r="V50" s="779"/>
      <c r="W50" s="779"/>
      <c r="X50" s="779"/>
      <c r="Y50" s="779"/>
      <c r="Z50" s="779"/>
      <c r="AA50" s="779"/>
      <c r="AB50" s="779"/>
      <c r="AC50" s="5779" t="s">
        <v>950</v>
      </c>
      <c r="AD50" s="5780"/>
      <c r="AE50" s="5781"/>
      <c r="AF50" s="779"/>
      <c r="AG50" s="5816" t="s">
        <v>951</v>
      </c>
      <c r="AH50" s="5817"/>
    </row>
    <row r="51" spans="1:34">
      <c r="A51" s="5029"/>
      <c r="B51" s="1939" t="s">
        <v>554</v>
      </c>
      <c r="C51" s="1939" t="s">
        <v>555</v>
      </c>
      <c r="D51" s="935"/>
      <c r="E51" s="779"/>
      <c r="F51" s="779"/>
      <c r="G51" s="779"/>
      <c r="H51" s="779"/>
      <c r="I51" s="779"/>
      <c r="J51" s="779"/>
      <c r="K51" s="779"/>
      <c r="L51" s="779"/>
      <c r="M51" s="779"/>
      <c r="N51" s="779"/>
      <c r="O51" s="779"/>
      <c r="P51" s="779"/>
      <c r="Q51" s="779"/>
      <c r="R51" s="2540" t="s">
        <v>717</v>
      </c>
      <c r="S51" s="779"/>
      <c r="T51" s="779"/>
      <c r="U51" s="779"/>
      <c r="V51" s="779"/>
      <c r="W51" s="779"/>
      <c r="X51" s="779"/>
      <c r="Y51" s="779"/>
      <c r="Z51" s="779"/>
      <c r="AA51" s="779"/>
      <c r="AB51" s="779"/>
      <c r="AC51" s="779"/>
      <c r="AD51" s="779"/>
      <c r="AE51" s="2540" t="s">
        <v>717</v>
      </c>
      <c r="AF51" s="779"/>
      <c r="AG51" s="779"/>
      <c r="AH51" s="804"/>
    </row>
    <row r="52" spans="1:34">
      <c r="A52" s="5029"/>
      <c r="B52" s="1939" t="s">
        <v>129</v>
      </c>
      <c r="C52" s="1939" t="s">
        <v>474</v>
      </c>
      <c r="D52" s="5818" t="s">
        <v>952</v>
      </c>
      <c r="E52" s="5819"/>
      <c r="F52" s="2287"/>
      <c r="G52" s="2287"/>
      <c r="H52" s="2287"/>
      <c r="I52" s="2287"/>
      <c r="J52" s="2287"/>
      <c r="K52" s="2287"/>
      <c r="L52" s="2287"/>
      <c r="M52" s="2287"/>
      <c r="N52" s="2287"/>
      <c r="O52" s="2540" t="s">
        <v>717</v>
      </c>
      <c r="P52" s="779"/>
      <c r="Q52" s="779"/>
      <c r="R52" s="3600" t="s">
        <v>953</v>
      </c>
      <c r="S52" s="779"/>
      <c r="T52" s="2540" t="s">
        <v>717</v>
      </c>
      <c r="U52" s="779"/>
      <c r="V52" s="779"/>
      <c r="W52" s="779"/>
      <c r="X52" s="779"/>
      <c r="Y52" s="779"/>
      <c r="Z52" s="779"/>
      <c r="AA52" s="779"/>
      <c r="AB52" s="779"/>
      <c r="AC52" s="779"/>
      <c r="AD52" s="779"/>
      <c r="AE52" s="779"/>
      <c r="AF52" s="779"/>
      <c r="AG52" s="779"/>
      <c r="AH52" s="804"/>
    </row>
    <row r="53" spans="1:34">
      <c r="A53" s="5029"/>
      <c r="B53" s="1939" t="s">
        <v>134</v>
      </c>
      <c r="C53" s="1939" t="s">
        <v>135</v>
      </c>
      <c r="D53" s="2345"/>
      <c r="E53" s="779"/>
      <c r="F53" s="779"/>
      <c r="G53" s="779"/>
      <c r="H53" s="779"/>
      <c r="I53" s="779"/>
      <c r="J53" s="779"/>
      <c r="K53" s="2540"/>
      <c r="L53" s="779"/>
      <c r="M53" s="2540"/>
      <c r="N53" s="779"/>
      <c r="O53" s="779"/>
      <c r="P53" s="779"/>
      <c r="Q53" s="779"/>
      <c r="R53" s="779"/>
      <c r="S53" s="779"/>
      <c r="T53" s="779"/>
      <c r="U53" s="1631" t="s">
        <v>720</v>
      </c>
      <c r="V53" s="779"/>
      <c r="W53" s="779"/>
      <c r="X53" s="779"/>
      <c r="Y53" s="779"/>
      <c r="Z53" s="2540" t="s">
        <v>722</v>
      </c>
      <c r="AA53" s="779"/>
      <c r="AB53" s="779"/>
      <c r="AC53" s="779"/>
      <c r="AD53" s="779"/>
      <c r="AE53" s="2540" t="s">
        <v>722</v>
      </c>
      <c r="AF53" s="779"/>
      <c r="AG53" s="779"/>
      <c r="AH53" s="804"/>
    </row>
    <row r="54" spans="1:34">
      <c r="A54" s="5029"/>
      <c r="B54" s="1949" t="s">
        <v>333</v>
      </c>
      <c r="C54" s="1949" t="s">
        <v>334</v>
      </c>
      <c r="D54" s="938"/>
      <c r="E54" s="2539" t="s">
        <v>722</v>
      </c>
      <c r="F54" s="780"/>
      <c r="G54" s="780"/>
      <c r="H54" s="2375"/>
      <c r="I54" s="2375"/>
      <c r="J54" s="2375"/>
      <c r="K54" s="2375"/>
      <c r="L54" s="2375"/>
      <c r="M54" s="2375"/>
      <c r="N54" s="2375"/>
      <c r="O54" s="2539" t="s">
        <v>722</v>
      </c>
      <c r="P54" s="2376"/>
      <c r="Q54" s="2376"/>
      <c r="R54" s="780"/>
      <c r="S54" s="2435" t="s">
        <v>720</v>
      </c>
      <c r="T54" s="780"/>
      <c r="U54" s="780"/>
      <c r="V54" s="780"/>
      <c r="W54" s="2539"/>
      <c r="X54" s="780"/>
      <c r="Y54" s="780"/>
      <c r="Z54" s="780"/>
      <c r="AA54" s="780"/>
      <c r="AB54" s="780"/>
      <c r="AC54" s="780"/>
      <c r="AD54" s="780"/>
      <c r="AE54" s="780"/>
      <c r="AF54" s="780"/>
      <c r="AG54" s="780"/>
      <c r="AH54" s="806"/>
    </row>
    <row r="55" spans="1:34">
      <c r="A55" s="5742" t="s">
        <v>136</v>
      </c>
      <c r="B55" s="1960" t="s">
        <v>77</v>
      </c>
      <c r="C55" s="1960" t="s">
        <v>153</v>
      </c>
      <c r="D55" s="5794" t="s">
        <v>933</v>
      </c>
      <c r="E55" s="5797"/>
      <c r="F55" s="5797"/>
      <c r="G55" s="2574" t="s">
        <v>251</v>
      </c>
      <c r="H55" s="937"/>
      <c r="I55" s="937"/>
      <c r="J55" s="937"/>
      <c r="K55" s="2536"/>
      <c r="L55" s="937"/>
      <c r="M55" s="2536"/>
      <c r="N55" s="937"/>
      <c r="O55" s="937"/>
      <c r="P55" s="2536" t="s">
        <v>720</v>
      </c>
      <c r="Q55" s="5778" t="s">
        <v>940</v>
      </c>
      <c r="R55" s="5778"/>
      <c r="S55" s="937"/>
      <c r="T55" s="2536" t="s">
        <v>720</v>
      </c>
      <c r="U55" s="937"/>
      <c r="V55" s="937"/>
      <c r="W55" s="937"/>
      <c r="X55" s="937"/>
      <c r="Y55" s="937"/>
      <c r="Z55" s="937"/>
      <c r="AA55" s="2536"/>
      <c r="AB55" s="937"/>
      <c r="AC55" s="937"/>
      <c r="AD55" s="937"/>
      <c r="AE55" s="937"/>
      <c r="AF55" s="937"/>
      <c r="AG55" s="937"/>
      <c r="AH55" s="1333"/>
    </row>
    <row r="56" spans="1:34">
      <c r="A56" s="5403"/>
      <c r="B56" s="1949" t="s">
        <v>142</v>
      </c>
      <c r="C56" s="1949" t="s">
        <v>143</v>
      </c>
      <c r="D56" s="2579"/>
      <c r="E56" s="5796" t="s">
        <v>954</v>
      </c>
      <c r="F56" s="5796"/>
      <c r="G56" s="5796"/>
      <c r="H56" s="2540" t="s">
        <v>720</v>
      </c>
      <c r="I56" s="779"/>
      <c r="J56" s="779"/>
      <c r="K56" s="779"/>
      <c r="L56" s="779"/>
      <c r="M56" s="779"/>
      <c r="N56" s="779"/>
      <c r="O56" s="779"/>
      <c r="P56" s="779"/>
      <c r="Q56" s="779"/>
      <c r="R56" s="779"/>
      <c r="S56" s="779"/>
      <c r="T56" s="779"/>
      <c r="U56" s="779"/>
      <c r="V56" s="779"/>
      <c r="W56" s="779"/>
      <c r="X56" s="779"/>
      <c r="Y56" s="779"/>
      <c r="Z56" s="779"/>
      <c r="AA56" s="779"/>
      <c r="AB56" s="779"/>
      <c r="AC56" s="779"/>
      <c r="AD56" s="779"/>
      <c r="AE56" s="779"/>
      <c r="AF56" s="779"/>
      <c r="AG56" s="779"/>
      <c r="AH56" s="804"/>
    </row>
    <row r="57" spans="1:34">
      <c r="A57" s="5823"/>
      <c r="B57" s="1949" t="s">
        <v>739</v>
      </c>
      <c r="C57" s="1949" t="s">
        <v>740</v>
      </c>
      <c r="D57" s="5820" t="s">
        <v>933</v>
      </c>
      <c r="E57" s="5821"/>
      <c r="F57" s="5821"/>
      <c r="G57" s="2577" t="s">
        <v>251</v>
      </c>
      <c r="H57" s="780"/>
      <c r="I57" s="2539" t="s">
        <v>717</v>
      </c>
      <c r="J57" s="780"/>
      <c r="K57" s="780"/>
      <c r="L57" s="780"/>
      <c r="M57" s="2539"/>
      <c r="N57" s="780"/>
      <c r="O57" s="780"/>
      <c r="P57" s="780"/>
      <c r="Q57" s="780"/>
      <c r="R57" s="780"/>
      <c r="S57" s="780"/>
      <c r="T57" s="780"/>
      <c r="U57" s="780"/>
      <c r="V57" s="780"/>
      <c r="W57" s="780"/>
      <c r="X57" s="780"/>
      <c r="Y57" s="780"/>
      <c r="Z57" s="780"/>
      <c r="AA57" s="2539" t="s">
        <v>717</v>
      </c>
      <c r="AB57" s="780"/>
      <c r="AC57" s="780"/>
      <c r="AD57" s="780"/>
      <c r="AE57" s="780"/>
      <c r="AF57" s="780"/>
      <c r="AG57" s="780"/>
      <c r="AH57" s="806"/>
    </row>
    <row r="58" spans="1:34">
      <c r="A58" s="5822" t="s">
        <v>144</v>
      </c>
      <c r="B58" s="1989" t="s">
        <v>145</v>
      </c>
      <c r="C58" s="1951" t="s">
        <v>618</v>
      </c>
      <c r="D58" s="1499"/>
      <c r="E58" s="937"/>
      <c r="F58" s="937"/>
      <c r="G58" s="937"/>
      <c r="H58" s="937"/>
      <c r="I58" s="937"/>
      <c r="J58" s="937"/>
      <c r="K58" s="937"/>
      <c r="L58" s="937"/>
      <c r="M58" s="2536" t="s">
        <v>717</v>
      </c>
      <c r="N58" s="937"/>
      <c r="O58" s="937"/>
      <c r="P58" s="937"/>
      <c r="Q58" s="5778" t="s">
        <v>940</v>
      </c>
      <c r="R58" s="5778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2536" t="s">
        <v>717</v>
      </c>
      <c r="AE58" s="937"/>
      <c r="AF58" s="937"/>
      <c r="AG58" s="937"/>
      <c r="AH58" s="1333"/>
    </row>
    <row r="59" spans="1:34" ht="15.75" customHeight="1">
      <c r="A59" s="5822"/>
      <c r="B59" s="2196" t="s">
        <v>145</v>
      </c>
      <c r="C59" s="1953" t="s">
        <v>148</v>
      </c>
      <c r="D59" s="5776" t="s">
        <v>887</v>
      </c>
      <c r="E59" s="5657"/>
      <c r="F59" s="3628" t="s">
        <v>251</v>
      </c>
      <c r="G59" s="779"/>
      <c r="H59" s="779"/>
      <c r="I59" s="779"/>
      <c r="J59" s="2540" t="s">
        <v>722</v>
      </c>
      <c r="K59" s="779"/>
      <c r="L59" s="779"/>
      <c r="M59" s="537"/>
      <c r="N59" s="2540" t="s">
        <v>722</v>
      </c>
      <c r="O59" s="537"/>
      <c r="P59" s="537"/>
      <c r="Q59" s="1459"/>
      <c r="R59" s="779"/>
      <c r="S59" s="779"/>
      <c r="T59" s="537"/>
      <c r="U59" s="1459"/>
      <c r="V59" s="779"/>
      <c r="W59" s="779"/>
      <c r="X59" s="2434"/>
      <c r="Y59" s="537"/>
      <c r="Z59" s="1459"/>
      <c r="AA59" s="779"/>
      <c r="AB59" s="779"/>
      <c r="AC59" s="779"/>
      <c r="AD59" s="2544" t="s">
        <v>722</v>
      </c>
      <c r="AE59" s="779"/>
      <c r="AF59" s="4475" t="s">
        <v>949</v>
      </c>
      <c r="AG59" s="4475"/>
      <c r="AH59" s="804"/>
    </row>
    <row r="60" spans="1:34">
      <c r="A60" s="5822"/>
      <c r="B60" s="2196" t="s">
        <v>149</v>
      </c>
      <c r="C60" s="1953" t="s">
        <v>744</v>
      </c>
      <c r="D60" s="2458"/>
      <c r="E60" s="2459"/>
      <c r="F60" s="2459"/>
      <c r="G60" s="2459"/>
      <c r="H60" s="2459"/>
      <c r="I60" s="2459"/>
      <c r="J60" s="2459"/>
      <c r="K60" s="2459"/>
      <c r="L60" s="2459"/>
      <c r="M60" s="2459"/>
      <c r="N60" s="2459"/>
      <c r="O60" s="2459"/>
      <c r="P60" s="2459"/>
      <c r="Q60" s="2459"/>
      <c r="R60" s="2459"/>
      <c r="S60" s="2459"/>
      <c r="T60" s="2459"/>
      <c r="U60" s="2459"/>
      <c r="V60" s="2459"/>
      <c r="W60" s="361"/>
      <c r="X60" s="361"/>
      <c r="Y60" s="361"/>
      <c r="Z60" s="361"/>
      <c r="AA60" s="2541"/>
      <c r="AB60" s="361"/>
      <c r="AC60" s="361"/>
      <c r="AD60" s="361"/>
      <c r="AE60" s="361"/>
      <c r="AF60" s="361"/>
      <c r="AG60" s="361"/>
      <c r="AH60" s="1065"/>
    </row>
    <row r="61" spans="1:34">
      <c r="A61" s="5822"/>
      <c r="B61" s="2197" t="s">
        <v>149</v>
      </c>
      <c r="C61" s="2347" t="s">
        <v>151</v>
      </c>
      <c r="D61" s="2538"/>
      <c r="E61" s="780"/>
      <c r="F61" s="780"/>
      <c r="G61" s="2379"/>
      <c r="H61" s="2539"/>
      <c r="I61" s="2379"/>
      <c r="J61" s="2379"/>
      <c r="K61" s="2379"/>
      <c r="L61" s="2379"/>
      <c r="M61" s="2539" t="s">
        <v>722</v>
      </c>
      <c r="N61" s="2379"/>
      <c r="O61" s="2379"/>
      <c r="P61" s="2379"/>
      <c r="Q61" s="2539" t="s">
        <v>722</v>
      </c>
      <c r="R61" s="2379"/>
      <c r="S61" s="2379"/>
      <c r="T61" s="2539"/>
      <c r="U61" s="2539"/>
      <c r="V61" s="2539"/>
      <c r="W61" s="2539" t="s">
        <v>722</v>
      </c>
      <c r="X61" s="2539"/>
      <c r="Y61" s="2539"/>
      <c r="Z61" s="2539"/>
      <c r="AA61" s="2539"/>
      <c r="AB61" s="780"/>
      <c r="AC61" s="2539" t="s">
        <v>720</v>
      </c>
      <c r="AD61" s="2539"/>
      <c r="AE61" s="2539"/>
      <c r="AF61" s="780"/>
      <c r="AG61" s="780"/>
      <c r="AH61" s="806"/>
    </row>
    <row r="62" spans="1:34">
      <c r="A62" s="5029" t="s">
        <v>745</v>
      </c>
      <c r="B62" s="2590" t="s">
        <v>392</v>
      </c>
      <c r="C62" s="2596" t="s">
        <v>78</v>
      </c>
      <c r="D62" s="5777" t="s">
        <v>887</v>
      </c>
      <c r="E62" s="5663"/>
      <c r="F62" s="3671" t="s">
        <v>251</v>
      </c>
      <c r="G62" s="937"/>
      <c r="H62" s="937"/>
      <c r="I62" s="937"/>
      <c r="J62" s="937"/>
      <c r="K62" s="937"/>
      <c r="L62" s="937"/>
      <c r="M62" s="937"/>
      <c r="N62" s="937"/>
      <c r="O62" s="937"/>
      <c r="P62" s="3671" t="s">
        <v>251</v>
      </c>
      <c r="Q62" s="5810" t="s">
        <v>925</v>
      </c>
      <c r="R62" s="5810"/>
      <c r="S62" s="3671" t="s">
        <v>251</v>
      </c>
      <c r="T62" s="937"/>
      <c r="U62" s="937"/>
      <c r="V62" s="937"/>
      <c r="W62" s="937"/>
      <c r="X62" s="937"/>
      <c r="Y62" s="3671" t="s">
        <v>251</v>
      </c>
      <c r="Z62" s="5792" t="s">
        <v>936</v>
      </c>
      <c r="AA62" s="5792"/>
      <c r="AB62" s="3671" t="s">
        <v>251</v>
      </c>
      <c r="AC62" s="937"/>
      <c r="AD62" s="937"/>
      <c r="AE62" s="937"/>
      <c r="AF62" s="937"/>
      <c r="AG62" s="937"/>
      <c r="AH62" s="1333"/>
    </row>
    <row r="63" spans="1:34">
      <c r="A63" s="5029"/>
      <c r="B63" s="2230" t="s">
        <v>95</v>
      </c>
      <c r="C63" s="1957" t="s">
        <v>620</v>
      </c>
      <c r="D63" s="5798" t="s">
        <v>934</v>
      </c>
      <c r="E63" s="5799"/>
      <c r="F63" s="5799"/>
      <c r="G63" s="3664" t="s">
        <v>251</v>
      </c>
      <c r="H63" s="779"/>
      <c r="I63" s="2259"/>
      <c r="J63" s="2540" t="s">
        <v>720</v>
      </c>
      <c r="K63" s="2540"/>
      <c r="L63" s="779"/>
      <c r="M63" s="2540" t="s">
        <v>720</v>
      </c>
      <c r="N63" s="537"/>
      <c r="O63" s="537"/>
      <c r="P63" s="3628" t="s">
        <v>251</v>
      </c>
      <c r="Q63" s="5669" t="s">
        <v>925</v>
      </c>
      <c r="R63" s="5669"/>
      <c r="S63" s="3628" t="s">
        <v>251</v>
      </c>
      <c r="T63" s="537"/>
      <c r="U63" s="537"/>
      <c r="V63" s="824"/>
      <c r="W63" s="2540"/>
      <c r="X63" s="779"/>
      <c r="Y63" s="3628" t="s">
        <v>251</v>
      </c>
      <c r="Z63" s="5795" t="s">
        <v>936</v>
      </c>
      <c r="AA63" s="5795"/>
      <c r="AB63" s="4475" t="s">
        <v>955</v>
      </c>
      <c r="AC63" s="4475"/>
      <c r="AD63" s="4475"/>
      <c r="AE63" s="4475"/>
      <c r="AF63" s="779"/>
      <c r="AG63" s="779"/>
      <c r="AH63" s="2546" t="s">
        <v>722</v>
      </c>
    </row>
    <row r="64" spans="1:34">
      <c r="A64" s="5029"/>
      <c r="B64" s="2235" t="s">
        <v>127</v>
      </c>
      <c r="C64" s="590" t="s">
        <v>128</v>
      </c>
      <c r="D64" s="5776" t="s">
        <v>887</v>
      </c>
      <c r="E64" s="5657"/>
      <c r="F64" s="5774" t="s">
        <v>711</v>
      </c>
      <c r="G64" s="5774"/>
      <c r="H64" s="5774"/>
      <c r="I64" s="3628" t="s">
        <v>251</v>
      </c>
      <c r="J64" s="779"/>
      <c r="K64" s="2545"/>
      <c r="L64" s="2545"/>
      <c r="M64" s="2545"/>
      <c r="N64" s="2545" t="s">
        <v>720</v>
      </c>
      <c r="O64" s="2"/>
      <c r="P64" s="3628" t="s">
        <v>251</v>
      </c>
      <c r="Q64" s="5669" t="s">
        <v>925</v>
      </c>
      <c r="R64" s="5669"/>
      <c r="S64" s="3628" t="s">
        <v>251</v>
      </c>
      <c r="T64" s="2"/>
      <c r="U64" s="2545"/>
      <c r="V64" s="2"/>
      <c r="W64" s="2"/>
      <c r="X64" s="2"/>
      <c r="Y64" s="3628" t="s">
        <v>251</v>
      </c>
      <c r="Z64" s="5795" t="s">
        <v>936</v>
      </c>
      <c r="AA64" s="5795"/>
      <c r="AB64" s="3628" t="s">
        <v>251</v>
      </c>
      <c r="AC64" s="2540"/>
      <c r="AD64" s="2"/>
      <c r="AE64" s="2"/>
      <c r="AF64" s="2"/>
      <c r="AG64" s="2540"/>
      <c r="AH64" s="2546" t="s">
        <v>720</v>
      </c>
    </row>
    <row r="65" spans="1:34">
      <c r="A65" s="5029"/>
      <c r="B65" s="2235" t="s">
        <v>90</v>
      </c>
      <c r="C65" s="590" t="s">
        <v>660</v>
      </c>
      <c r="D65" s="5776" t="s">
        <v>887</v>
      </c>
      <c r="E65" s="5657"/>
      <c r="F65" s="3628" t="s">
        <v>251</v>
      </c>
      <c r="G65" s="779"/>
      <c r="H65" s="779"/>
      <c r="I65" s="779"/>
      <c r="J65" s="779"/>
      <c r="K65" s="779"/>
      <c r="L65" s="779"/>
      <c r="M65" s="2"/>
      <c r="N65" s="2"/>
      <c r="O65" s="2"/>
      <c r="P65" s="3628" t="s">
        <v>251</v>
      </c>
      <c r="Q65" s="5669" t="s">
        <v>925</v>
      </c>
      <c r="R65" s="5669"/>
      <c r="S65" s="3628" t="s">
        <v>251</v>
      </c>
      <c r="T65" s="2"/>
      <c r="U65" s="2"/>
      <c r="V65" s="2"/>
      <c r="W65" s="779"/>
      <c r="X65" s="2540" t="s">
        <v>722</v>
      </c>
      <c r="Y65" s="3628" t="s">
        <v>251</v>
      </c>
      <c r="Z65" s="5795" t="s">
        <v>936</v>
      </c>
      <c r="AA65" s="5795"/>
      <c r="AB65" s="3628" t="s">
        <v>251</v>
      </c>
      <c r="AC65" s="2"/>
      <c r="AD65" s="2"/>
      <c r="AE65" s="779"/>
      <c r="AF65" s="2540"/>
      <c r="AG65" s="2540" t="s">
        <v>720</v>
      </c>
      <c r="AH65" s="804"/>
    </row>
    <row r="66" spans="1:34">
      <c r="A66" s="5029"/>
      <c r="B66" s="1990" t="s">
        <v>81</v>
      </c>
      <c r="C66" s="2264" t="s">
        <v>396</v>
      </c>
      <c r="D66" s="2605" t="s">
        <v>919</v>
      </c>
      <c r="E66" s="3682" t="s">
        <v>251</v>
      </c>
      <c r="F66" s="780"/>
      <c r="G66" s="780"/>
      <c r="H66" s="780"/>
      <c r="I66" s="780"/>
      <c r="J66" s="780"/>
      <c r="K66" s="2540" t="s">
        <v>722</v>
      </c>
      <c r="L66" s="780"/>
      <c r="M66" s="780"/>
      <c r="N66" s="780"/>
      <c r="O66" s="780"/>
      <c r="P66" s="779"/>
      <c r="Q66" s="5811" t="s">
        <v>956</v>
      </c>
      <c r="R66" s="5811"/>
      <c r="S66" s="779"/>
      <c r="T66" s="780"/>
      <c r="U66" s="780"/>
      <c r="V66" s="2539"/>
      <c r="W66" s="780"/>
      <c r="X66" s="780"/>
      <c r="Y66" s="779"/>
      <c r="Z66" s="5795" t="s">
        <v>957</v>
      </c>
      <c r="AA66" s="5795"/>
      <c r="AB66" s="2434"/>
      <c r="AC66" s="2435" t="s">
        <v>722</v>
      </c>
      <c r="AD66" s="780"/>
      <c r="AE66" s="780"/>
      <c r="AF66" s="780"/>
      <c r="AG66" s="780"/>
      <c r="AH66" s="806"/>
    </row>
    <row r="67" spans="1:34">
      <c r="A67" s="5808" t="s">
        <v>751</v>
      </c>
      <c r="B67" s="2603" t="s">
        <v>95</v>
      </c>
      <c r="C67" s="2012" t="s">
        <v>303</v>
      </c>
      <c r="D67" s="1499"/>
      <c r="E67" s="937"/>
      <c r="F67" s="937"/>
      <c r="G67" s="2536" t="s">
        <v>722</v>
      </c>
      <c r="H67" s="937"/>
      <c r="I67" s="937"/>
      <c r="J67" s="937"/>
      <c r="K67" s="2536"/>
      <c r="L67" s="937"/>
      <c r="M67" s="937"/>
      <c r="N67" s="937"/>
      <c r="O67" s="937"/>
      <c r="P67" s="2536"/>
      <c r="Q67" s="937"/>
      <c r="R67" s="937"/>
      <c r="S67" s="937"/>
      <c r="T67" s="937"/>
      <c r="U67" s="2536"/>
      <c r="V67" s="2536"/>
      <c r="W67" s="937"/>
      <c r="X67" s="2564" t="s">
        <v>251</v>
      </c>
      <c r="Y67" s="5812" t="s">
        <v>958</v>
      </c>
      <c r="Z67" s="5813"/>
      <c r="AA67" s="5814"/>
      <c r="AB67" s="2564" t="s">
        <v>251</v>
      </c>
      <c r="AC67" s="937"/>
      <c r="AD67" s="937"/>
      <c r="AE67" s="937"/>
      <c r="AF67" s="937"/>
      <c r="AG67" s="937"/>
      <c r="AH67" s="2473"/>
    </row>
    <row r="68" spans="1:34">
      <c r="A68" s="5809"/>
      <c r="B68" s="2604" t="s">
        <v>155</v>
      </c>
      <c r="C68" s="2268" t="s">
        <v>532</v>
      </c>
      <c r="D68" s="2231"/>
      <c r="E68" s="2544"/>
      <c r="F68" s="2544"/>
      <c r="G68" s="782"/>
      <c r="H68" s="782"/>
      <c r="I68" s="782"/>
      <c r="J68" s="782"/>
      <c r="K68" s="2544"/>
      <c r="L68" s="2544"/>
      <c r="M68" s="782"/>
      <c r="N68" s="782"/>
      <c r="O68" s="782"/>
      <c r="P68" s="782"/>
      <c r="Q68" s="782"/>
      <c r="R68" s="2544" t="s">
        <v>720</v>
      </c>
      <c r="S68" s="782"/>
      <c r="T68" s="782"/>
      <c r="U68" s="782"/>
      <c r="V68" s="782"/>
      <c r="W68" s="2443"/>
      <c r="X68" s="2443" t="s">
        <v>720</v>
      </c>
      <c r="Y68" s="2564" t="s">
        <v>251</v>
      </c>
      <c r="Z68" s="5771" t="s">
        <v>936</v>
      </c>
      <c r="AA68" s="5772"/>
      <c r="AB68" s="5772"/>
      <c r="AC68" s="5772"/>
      <c r="AD68" s="5772"/>
      <c r="AE68" s="5773"/>
      <c r="AF68" s="2564" t="s">
        <v>251</v>
      </c>
      <c r="AG68" s="782"/>
      <c r="AH68" s="807"/>
    </row>
  </sheetData>
  <mergeCells count="98">
    <mergeCell ref="AB32:AD32"/>
    <mergeCell ref="A38:A54"/>
    <mergeCell ref="D37:F37"/>
    <mergeCell ref="Q58:R58"/>
    <mergeCell ref="Z46:AH46"/>
    <mergeCell ref="AG50:AH50"/>
    <mergeCell ref="D52:E52"/>
    <mergeCell ref="AB43:AE43"/>
    <mergeCell ref="D55:F55"/>
    <mergeCell ref="D57:F57"/>
    <mergeCell ref="A58:A61"/>
    <mergeCell ref="A32:A37"/>
    <mergeCell ref="AF49:AG49"/>
    <mergeCell ref="AF59:AG59"/>
    <mergeCell ref="A55:A57"/>
    <mergeCell ref="AB39:AE39"/>
    <mergeCell ref="A67:A68"/>
    <mergeCell ref="Z62:AA62"/>
    <mergeCell ref="Z63:AA63"/>
    <mergeCell ref="Z64:AA64"/>
    <mergeCell ref="Z65:AA65"/>
    <mergeCell ref="Z66:AA66"/>
    <mergeCell ref="Q62:R62"/>
    <mergeCell ref="Q63:R63"/>
    <mergeCell ref="Q66:R66"/>
    <mergeCell ref="Q65:R65"/>
    <mergeCell ref="Q64:R64"/>
    <mergeCell ref="A62:A66"/>
    <mergeCell ref="D63:F63"/>
    <mergeCell ref="Y67:AA67"/>
    <mergeCell ref="D65:E65"/>
    <mergeCell ref="W20:AA20"/>
    <mergeCell ref="E56:G56"/>
    <mergeCell ref="A29:A31"/>
    <mergeCell ref="D29:F29"/>
    <mergeCell ref="D30:F30"/>
    <mergeCell ref="D25:F25"/>
    <mergeCell ref="D36:F36"/>
    <mergeCell ref="Q35:R35"/>
    <mergeCell ref="D35:F35"/>
    <mergeCell ref="Z35:AA35"/>
    <mergeCell ref="Q37:R37"/>
    <mergeCell ref="O25:U25"/>
    <mergeCell ref="A27:A28"/>
    <mergeCell ref="D23:M23"/>
    <mergeCell ref="D28:G28"/>
    <mergeCell ref="D27:AE27"/>
    <mergeCell ref="A23:C23"/>
    <mergeCell ref="Z29:AA29"/>
    <mergeCell ref="Z26:AA26"/>
    <mergeCell ref="D24:F24"/>
    <mergeCell ref="Z25:AA25"/>
    <mergeCell ref="P31:AA31"/>
    <mergeCell ref="A5:C5"/>
    <mergeCell ref="Z9:AA9"/>
    <mergeCell ref="A9:C9"/>
    <mergeCell ref="A20:C20"/>
    <mergeCell ref="A21:C21"/>
    <mergeCell ref="D7:E7"/>
    <mergeCell ref="A12:C12"/>
    <mergeCell ref="D18:F18"/>
    <mergeCell ref="A17:C17"/>
    <mergeCell ref="A10:C10"/>
    <mergeCell ref="P15:W15"/>
    <mergeCell ref="A14:C14"/>
    <mergeCell ref="A8:C8"/>
    <mergeCell ref="A6:C6"/>
    <mergeCell ref="A7:C7"/>
    <mergeCell ref="Q10:R10"/>
    <mergeCell ref="F7:M7"/>
    <mergeCell ref="A11:C11"/>
    <mergeCell ref="A13:C13"/>
    <mergeCell ref="A15:C15"/>
    <mergeCell ref="D22:F22"/>
    <mergeCell ref="A22:C22"/>
    <mergeCell ref="A16:C16"/>
    <mergeCell ref="A18:C18"/>
    <mergeCell ref="A19:C19"/>
    <mergeCell ref="A1:C1"/>
    <mergeCell ref="A2:C2"/>
    <mergeCell ref="A3:C3"/>
    <mergeCell ref="A4:C4"/>
    <mergeCell ref="D1:AH1"/>
    <mergeCell ref="AB4:AE4"/>
    <mergeCell ref="I39:T39"/>
    <mergeCell ref="D42:E42"/>
    <mergeCell ref="I41:AA41"/>
    <mergeCell ref="Z68:AE68"/>
    <mergeCell ref="AB63:AE63"/>
    <mergeCell ref="F64:H64"/>
    <mergeCell ref="X45:AH45"/>
    <mergeCell ref="D40:U40"/>
    <mergeCell ref="D59:E59"/>
    <mergeCell ref="D62:E62"/>
    <mergeCell ref="D64:E64"/>
    <mergeCell ref="D47:X47"/>
    <mergeCell ref="Q55:R55"/>
    <mergeCell ref="AC50:AE50"/>
  </mergeCells>
  <pageMargins left="0.7" right="0.7" top="0.75" bottom="0.75" header="0.3" footer="0.3"/>
  <pageSetup scale="3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5B985-7EBA-40F2-8937-F1EC9C4C4DCC}">
  <sheetPr>
    <pageSetUpPr fitToPage="1"/>
  </sheetPr>
  <dimension ref="A1:AI82"/>
  <sheetViews>
    <sheetView zoomScale="70" zoomScaleNormal="70" workbookViewId="0">
      <pane xSplit="3" ySplit="22" topLeftCell="Y24" activePane="bottomRight" state="frozen"/>
      <selection pane="bottomRight" activeCell="Y24" sqref="Y24"/>
      <selection pane="bottomLeft"/>
      <selection pane="topRight"/>
    </sheetView>
  </sheetViews>
  <sheetFormatPr defaultRowHeight="15"/>
  <cols>
    <col min="3" max="3" width="11.5703125" bestFit="1" customWidth="1"/>
  </cols>
  <sheetData>
    <row r="1" spans="1:33">
      <c r="A1" s="4375" t="s">
        <v>29</v>
      </c>
      <c r="B1" s="4375"/>
      <c r="C1" s="4375"/>
      <c r="D1" s="4376" t="s">
        <v>959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</row>
    <row r="2" spans="1:33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4378" t="s">
        <v>32</v>
      </c>
      <c r="B3" s="4378"/>
      <c r="C3" s="4378"/>
      <c r="D3" s="19" t="s">
        <v>36</v>
      </c>
      <c r="E3" s="19" t="s">
        <v>36</v>
      </c>
      <c r="F3" s="3703" t="s">
        <v>37</v>
      </c>
      <c r="G3" s="3703" t="s">
        <v>33</v>
      </c>
      <c r="H3" s="3703" t="s">
        <v>34</v>
      </c>
      <c r="I3" s="3703" t="s">
        <v>33</v>
      </c>
      <c r="J3" s="3703" t="s">
        <v>35</v>
      </c>
      <c r="K3" s="19" t="s">
        <v>36</v>
      </c>
      <c r="L3" s="19" t="s">
        <v>36</v>
      </c>
      <c r="M3" s="3703" t="s">
        <v>37</v>
      </c>
      <c r="N3" s="3703" t="s">
        <v>33</v>
      </c>
      <c r="O3" s="3703" t="s">
        <v>34</v>
      </c>
      <c r="P3" s="3703" t="s">
        <v>33</v>
      </c>
      <c r="Q3" s="3703" t="s">
        <v>35</v>
      </c>
      <c r="R3" s="19" t="s">
        <v>36</v>
      </c>
      <c r="S3" s="19" t="s">
        <v>36</v>
      </c>
      <c r="T3" s="3703" t="s">
        <v>37</v>
      </c>
      <c r="U3" s="3703" t="s">
        <v>33</v>
      </c>
      <c r="V3" s="19" t="s">
        <v>34</v>
      </c>
      <c r="W3" s="19" t="s">
        <v>33</v>
      </c>
      <c r="X3" s="3703" t="s">
        <v>35</v>
      </c>
      <c r="Y3" s="19" t="s">
        <v>36</v>
      </c>
      <c r="Z3" s="19" t="s">
        <v>36</v>
      </c>
      <c r="AA3" s="3703" t="s">
        <v>37</v>
      </c>
      <c r="AB3" s="41" t="s">
        <v>33</v>
      </c>
      <c r="AC3" s="41" t="s">
        <v>34</v>
      </c>
      <c r="AD3" s="41" t="s">
        <v>33</v>
      </c>
      <c r="AE3" s="41" t="s">
        <v>35</v>
      </c>
      <c r="AF3" s="19" t="s">
        <v>36</v>
      </c>
      <c r="AG3" s="19" t="s">
        <v>36</v>
      </c>
    </row>
    <row r="4" spans="1:33" ht="15.75">
      <c r="A4" s="4249" t="s">
        <v>38</v>
      </c>
      <c r="B4" s="4250"/>
      <c r="C4" s="4250"/>
      <c r="D4" s="979"/>
      <c r="E4" s="851"/>
      <c r="F4" s="851"/>
      <c r="G4" s="851"/>
      <c r="H4" s="961"/>
      <c r="I4" s="961"/>
      <c r="J4" s="961"/>
      <c r="K4" s="961"/>
      <c r="L4" s="961"/>
      <c r="M4" s="961"/>
      <c r="N4" s="961"/>
      <c r="O4" s="961"/>
      <c r="P4" s="961"/>
      <c r="Q4" s="961"/>
      <c r="R4" s="961"/>
      <c r="S4" s="961"/>
      <c r="T4" s="961"/>
      <c r="U4" s="961"/>
      <c r="V4" s="5245" t="s">
        <v>960</v>
      </c>
      <c r="W4" s="5247"/>
      <c r="X4" s="961"/>
      <c r="Y4" s="961"/>
      <c r="Z4" s="961"/>
      <c r="AA4" s="961"/>
      <c r="AB4" s="961"/>
      <c r="AC4" s="961"/>
      <c r="AD4" s="961"/>
      <c r="AE4" s="961"/>
      <c r="AF4" s="961"/>
      <c r="AG4" s="962"/>
    </row>
    <row r="5" spans="1:33" ht="15.75">
      <c r="A5" s="4061" t="s">
        <v>165</v>
      </c>
      <c r="B5" s="4062"/>
      <c r="C5" s="4062"/>
      <c r="D5" s="861"/>
      <c r="E5" s="380"/>
      <c r="F5" s="958"/>
      <c r="G5" s="958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959"/>
      <c r="Z5" s="959"/>
      <c r="AA5" s="959"/>
      <c r="AB5" s="959"/>
      <c r="AC5" s="959"/>
      <c r="AD5" s="959"/>
      <c r="AE5" s="959"/>
      <c r="AF5" s="959"/>
      <c r="AG5" s="980"/>
    </row>
    <row r="6" spans="1:33">
      <c r="A6" s="4265" t="s">
        <v>407</v>
      </c>
      <c r="B6" s="4266"/>
      <c r="C6" s="4266"/>
      <c r="D6" s="861"/>
      <c r="E6" s="852"/>
      <c r="F6" s="852"/>
      <c r="G6" s="852"/>
      <c r="H6" s="852"/>
      <c r="I6" s="852"/>
      <c r="J6" s="852"/>
      <c r="K6" s="852"/>
      <c r="L6" s="852"/>
      <c r="M6" s="852"/>
      <c r="N6" s="939"/>
      <c r="O6" s="939"/>
      <c r="P6" s="939"/>
      <c r="Q6" s="939"/>
      <c r="R6" s="939"/>
      <c r="S6" s="939"/>
      <c r="T6" s="939"/>
      <c r="U6" s="939"/>
      <c r="V6" s="939"/>
      <c r="W6" s="939"/>
      <c r="X6" s="939"/>
      <c r="Y6" s="939"/>
      <c r="Z6" s="939"/>
      <c r="AA6" s="939"/>
      <c r="AB6" s="939"/>
      <c r="AC6" s="939"/>
      <c r="AD6" s="939"/>
      <c r="AE6" s="939"/>
      <c r="AF6" s="939"/>
      <c r="AG6" s="964"/>
    </row>
    <row r="7" spans="1:33">
      <c r="A7" s="4533" t="s">
        <v>262</v>
      </c>
      <c r="B7" s="4533"/>
      <c r="C7" s="4533"/>
      <c r="D7" s="2646"/>
      <c r="E7" s="380"/>
      <c r="F7" s="380"/>
      <c r="G7" s="380"/>
      <c r="H7" s="380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537"/>
      <c r="Y7" s="537"/>
      <c r="Z7" s="537"/>
      <c r="AA7" s="537"/>
      <c r="AB7" s="537"/>
      <c r="AC7" s="537"/>
      <c r="AD7" s="537"/>
      <c r="AE7" s="380"/>
      <c r="AF7" s="380"/>
      <c r="AG7" s="2647"/>
    </row>
    <row r="8" spans="1:33">
      <c r="A8" s="5852" t="s">
        <v>961</v>
      </c>
      <c r="B8" s="5853"/>
      <c r="C8" s="5853"/>
      <c r="D8" s="1349"/>
      <c r="E8" s="852"/>
      <c r="F8" s="852"/>
      <c r="G8" s="852"/>
      <c r="H8" s="852"/>
      <c r="I8" s="939"/>
      <c r="J8" s="537"/>
      <c r="K8" s="537"/>
      <c r="L8" s="537"/>
      <c r="M8" s="537"/>
      <c r="N8" s="537"/>
      <c r="O8" s="537"/>
      <c r="P8" s="537"/>
      <c r="Q8" s="537"/>
      <c r="R8" s="3012" t="s">
        <v>962</v>
      </c>
      <c r="S8" s="537"/>
      <c r="T8" s="537"/>
      <c r="U8" s="537"/>
      <c r="V8" s="537"/>
      <c r="W8" s="537"/>
      <c r="X8" s="537"/>
      <c r="Y8" s="537"/>
      <c r="Z8" s="537"/>
      <c r="AA8" s="537"/>
      <c r="AB8" s="537"/>
      <c r="AC8" s="537"/>
      <c r="AD8" s="537"/>
      <c r="AE8" s="380"/>
      <c r="AF8" s="380"/>
      <c r="AG8" s="2647"/>
    </row>
    <row r="9" spans="1:33">
      <c r="A9" s="5289" t="s">
        <v>702</v>
      </c>
      <c r="B9" s="5290"/>
      <c r="C9" s="5291"/>
      <c r="D9" s="1349"/>
      <c r="E9" s="380"/>
      <c r="F9" s="380"/>
      <c r="G9" s="380"/>
      <c r="H9" s="380"/>
      <c r="I9" s="537"/>
      <c r="J9" s="941"/>
      <c r="K9" s="799"/>
      <c r="L9" s="799"/>
      <c r="M9" s="536"/>
      <c r="N9" s="799"/>
      <c r="O9" s="799"/>
      <c r="P9" s="799"/>
      <c r="Q9" s="799"/>
      <c r="R9" s="799"/>
      <c r="S9" s="799"/>
      <c r="T9" s="799"/>
      <c r="U9" s="799"/>
      <c r="V9" s="799"/>
      <c r="W9" s="799"/>
      <c r="X9" s="799"/>
      <c r="Y9" s="537"/>
      <c r="Z9" s="799"/>
      <c r="AA9" s="536"/>
      <c r="AB9" s="3012" t="s">
        <v>962</v>
      </c>
      <c r="AC9" s="799"/>
      <c r="AD9" s="799"/>
      <c r="AE9" s="799"/>
      <c r="AF9" s="536"/>
      <c r="AG9" s="803"/>
    </row>
    <row r="10" spans="1:33" ht="15" customHeight="1">
      <c r="A10" s="4381" t="s">
        <v>272</v>
      </c>
      <c r="B10" s="4382"/>
      <c r="C10" s="4382"/>
      <c r="D10" s="963"/>
      <c r="E10" s="799"/>
      <c r="F10" s="799"/>
      <c r="G10" s="799"/>
      <c r="H10" s="799"/>
      <c r="I10" s="799"/>
      <c r="J10" s="537"/>
      <c r="K10" s="537"/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964"/>
    </row>
    <row r="11" spans="1:33">
      <c r="A11" s="4380" t="s">
        <v>265</v>
      </c>
      <c r="B11" s="4532"/>
      <c r="C11" s="4532"/>
      <c r="D11" s="861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  <c r="U11" s="380"/>
      <c r="V11" s="380"/>
      <c r="W11" s="380"/>
      <c r="X11" s="380"/>
      <c r="Y11" s="380" t="s">
        <v>30</v>
      </c>
      <c r="Z11" s="380"/>
      <c r="AA11" s="380"/>
      <c r="AB11" s="380"/>
      <c r="AC11" s="380"/>
      <c r="AD11" s="380"/>
      <c r="AE11" s="380"/>
      <c r="AF11" s="380"/>
      <c r="AG11" s="803"/>
    </row>
    <row r="12" spans="1:33" ht="15.75">
      <c r="A12" s="4263" t="s">
        <v>60</v>
      </c>
      <c r="B12" s="4264"/>
      <c r="C12" s="4264"/>
      <c r="D12" s="537"/>
      <c r="E12" s="537"/>
      <c r="F12" s="537"/>
      <c r="G12" s="380"/>
      <c r="H12" s="380"/>
      <c r="I12" s="380"/>
      <c r="J12" s="380"/>
      <c r="K12" s="380"/>
      <c r="L12" s="380"/>
      <c r="M12" s="380"/>
      <c r="N12" s="380"/>
      <c r="O12" s="5857" t="s">
        <v>963</v>
      </c>
      <c r="P12" s="5858"/>
      <c r="Q12" s="380"/>
      <c r="R12" s="380"/>
      <c r="S12" s="380"/>
      <c r="T12" s="380"/>
      <c r="U12" s="380"/>
      <c r="V12" s="380"/>
      <c r="W12" s="537"/>
      <c r="X12" s="537"/>
      <c r="Y12" s="380"/>
      <c r="Z12" s="380"/>
      <c r="AA12" s="380"/>
      <c r="AB12" s="380"/>
      <c r="AC12" s="380"/>
      <c r="AD12" s="380"/>
      <c r="AE12" s="380"/>
      <c r="AF12" s="380"/>
      <c r="AG12" s="803"/>
    </row>
    <row r="13" spans="1:33">
      <c r="A13" s="4623" t="s">
        <v>63</v>
      </c>
      <c r="B13" s="4623"/>
      <c r="C13" s="4766"/>
      <c r="D13" s="963"/>
      <c r="E13" s="380"/>
      <c r="F13" s="380"/>
      <c r="G13" s="537"/>
      <c r="H13" s="537"/>
      <c r="I13" s="537"/>
      <c r="J13" s="537"/>
      <c r="K13" s="537"/>
      <c r="L13" s="374"/>
      <c r="M13" s="374"/>
      <c r="N13" s="537"/>
      <c r="O13" s="380"/>
      <c r="P13" s="380"/>
      <c r="Q13" s="537"/>
      <c r="R13" s="537"/>
      <c r="S13" s="537"/>
      <c r="T13" s="537"/>
      <c r="U13" s="537"/>
      <c r="V13" s="537"/>
      <c r="W13" s="537"/>
      <c r="X13" s="537"/>
      <c r="Y13" s="537"/>
      <c r="Z13" s="537"/>
      <c r="AA13" s="4766" t="s">
        <v>63</v>
      </c>
      <c r="AB13" s="5867"/>
      <c r="AC13" s="5867"/>
      <c r="AD13" s="5867"/>
      <c r="AE13" s="5868"/>
      <c r="AF13" s="537"/>
      <c r="AG13" s="964"/>
    </row>
    <row r="14" spans="1:33">
      <c r="A14" s="4765" t="s">
        <v>54</v>
      </c>
      <c r="B14" s="4765"/>
      <c r="C14" s="4765"/>
      <c r="D14" s="963"/>
      <c r="E14" s="537"/>
      <c r="F14" s="537"/>
      <c r="G14" s="537"/>
      <c r="H14" s="537"/>
      <c r="I14" s="537"/>
      <c r="J14" s="537"/>
      <c r="K14" s="537"/>
      <c r="L14" s="537"/>
      <c r="M14" s="939"/>
      <c r="N14" s="939"/>
      <c r="O14" s="852"/>
      <c r="P14" s="852"/>
      <c r="Q14" s="537"/>
      <c r="R14" s="537"/>
      <c r="S14" s="537"/>
      <c r="T14" s="537"/>
      <c r="U14" s="537"/>
      <c r="V14" s="537"/>
      <c r="W14" s="537"/>
      <c r="X14" s="537"/>
      <c r="Y14" s="537"/>
      <c r="Z14" s="537"/>
      <c r="AA14" s="537"/>
      <c r="AB14" s="537"/>
      <c r="AC14" s="537"/>
      <c r="AD14" s="537"/>
      <c r="AE14" s="537"/>
      <c r="AF14" s="537"/>
      <c r="AG14" s="964"/>
    </row>
    <row r="15" spans="1:33">
      <c r="A15" s="4360" t="s">
        <v>365</v>
      </c>
      <c r="B15" s="4360"/>
      <c r="C15" s="4360"/>
      <c r="D15" s="963"/>
      <c r="E15" s="537"/>
      <c r="F15" s="537"/>
      <c r="G15" s="537"/>
      <c r="H15" s="537"/>
      <c r="I15" s="537"/>
      <c r="J15" s="537"/>
      <c r="K15" s="537"/>
      <c r="L15" s="933"/>
      <c r="M15" s="537"/>
      <c r="N15" s="960"/>
      <c r="O15" s="960"/>
      <c r="P15" s="960"/>
      <c r="Q15" s="942"/>
      <c r="R15" s="537"/>
      <c r="S15" s="537"/>
      <c r="T15" s="537"/>
      <c r="U15" s="537"/>
      <c r="V15" s="537"/>
      <c r="W15" s="537"/>
      <c r="X15" s="537"/>
      <c r="Y15" s="537"/>
      <c r="Z15" s="537"/>
      <c r="AA15" s="537"/>
      <c r="AB15" s="537"/>
      <c r="AC15" s="537"/>
      <c r="AD15" s="537"/>
      <c r="AE15" s="537"/>
      <c r="AF15" s="537"/>
      <c r="AG15" s="964"/>
    </row>
    <row r="16" spans="1:33">
      <c r="A16" s="5761" t="s">
        <v>755</v>
      </c>
      <c r="B16" s="5762"/>
      <c r="C16" s="5763"/>
      <c r="D16" s="963"/>
      <c r="E16" s="537"/>
      <c r="F16" s="537"/>
      <c r="G16" s="537"/>
      <c r="H16" s="537"/>
      <c r="I16" s="537"/>
      <c r="J16" s="537"/>
      <c r="K16" s="537"/>
      <c r="L16" s="933"/>
      <c r="M16" s="537"/>
      <c r="N16" s="960"/>
      <c r="O16" s="960"/>
      <c r="P16" s="960"/>
      <c r="Q16" s="942"/>
      <c r="R16" s="537"/>
      <c r="S16" s="537"/>
      <c r="T16" s="537"/>
      <c r="U16" s="537"/>
      <c r="V16" s="537"/>
      <c r="W16" s="537"/>
      <c r="X16" s="537"/>
      <c r="Y16" s="537"/>
      <c r="Z16" s="537"/>
      <c r="AA16" s="537"/>
      <c r="AB16" s="537"/>
      <c r="AC16" s="537"/>
      <c r="AD16" s="537"/>
      <c r="AE16" s="537"/>
      <c r="AF16" s="537"/>
      <c r="AG16" s="964"/>
    </row>
    <row r="17" spans="1:34">
      <c r="A17" s="4361" t="s">
        <v>366</v>
      </c>
      <c r="B17" s="4361"/>
      <c r="C17" s="4361"/>
      <c r="D17" s="963"/>
      <c r="E17" s="537"/>
      <c r="F17" s="537"/>
      <c r="G17" s="537"/>
      <c r="H17" s="5579" t="s">
        <v>452</v>
      </c>
      <c r="I17" s="5873"/>
      <c r="J17" s="537"/>
      <c r="K17" s="537"/>
      <c r="L17" s="933"/>
      <c r="M17" s="537"/>
      <c r="N17" s="960"/>
      <c r="O17" s="960"/>
      <c r="P17" s="960"/>
      <c r="Q17" s="942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537"/>
      <c r="AC17" s="537"/>
      <c r="AD17" s="537"/>
      <c r="AE17" s="537"/>
      <c r="AF17" s="537"/>
      <c r="AG17" s="964"/>
    </row>
    <row r="18" spans="1:34" ht="15.75" customHeight="1">
      <c r="A18" s="4260" t="s">
        <v>411</v>
      </c>
      <c r="B18" s="4260"/>
      <c r="C18" s="4260"/>
      <c r="D18" s="963"/>
      <c r="E18" s="537"/>
      <c r="F18" s="537"/>
      <c r="G18" s="537"/>
      <c r="H18" s="537"/>
      <c r="I18" s="301"/>
      <c r="J18" s="301"/>
      <c r="K18" s="537"/>
      <c r="L18" s="933"/>
      <c r="M18" s="537"/>
      <c r="N18" s="537"/>
      <c r="O18" s="537"/>
      <c r="P18" s="537"/>
      <c r="Q18" s="942"/>
      <c r="R18" s="537"/>
      <c r="S18" s="537"/>
      <c r="T18" s="537"/>
      <c r="U18" s="1493" t="s">
        <v>964</v>
      </c>
      <c r="V18" s="537"/>
      <c r="W18" s="380"/>
      <c r="X18" s="537"/>
      <c r="Y18" s="537"/>
      <c r="Z18" s="537"/>
      <c r="AA18" s="537"/>
      <c r="AB18" s="537"/>
      <c r="AC18" s="537"/>
      <c r="AD18" s="537"/>
      <c r="AE18" s="537"/>
      <c r="AF18" s="537"/>
      <c r="AG18" s="964"/>
    </row>
    <row r="19" spans="1:34">
      <c r="A19" s="4405" t="s">
        <v>540</v>
      </c>
      <c r="B19" s="4529"/>
      <c r="C19" s="4530"/>
      <c r="D19" s="963"/>
      <c r="E19" s="537"/>
      <c r="F19" s="537"/>
      <c r="G19" s="537"/>
      <c r="H19" s="537"/>
      <c r="I19" s="537"/>
      <c r="J19" s="537"/>
      <c r="K19" s="537"/>
      <c r="L19" s="537"/>
      <c r="M19" s="799"/>
      <c r="N19" s="799"/>
      <c r="O19" s="799"/>
      <c r="P19" s="799"/>
      <c r="Q19" s="537"/>
      <c r="R19" s="537"/>
      <c r="S19" s="537"/>
      <c r="T19" s="537"/>
      <c r="U19" s="537"/>
      <c r="V19" s="537"/>
      <c r="W19" s="537"/>
      <c r="X19" s="537"/>
      <c r="Y19" s="537"/>
      <c r="Z19" s="537"/>
      <c r="AA19" s="537"/>
      <c r="AB19" s="537"/>
      <c r="AC19" s="537"/>
      <c r="AD19" s="537"/>
      <c r="AE19" s="537"/>
      <c r="AF19" s="537"/>
      <c r="AG19" s="964"/>
    </row>
    <row r="20" spans="1:34">
      <c r="A20" s="4399" t="s">
        <v>541</v>
      </c>
      <c r="B20" s="4316"/>
      <c r="C20" s="4531"/>
      <c r="D20" s="963"/>
      <c r="E20" s="537"/>
      <c r="F20" s="537"/>
      <c r="G20" s="537"/>
      <c r="H20" s="537"/>
      <c r="I20" s="537"/>
      <c r="J20" s="537"/>
      <c r="K20" s="537"/>
      <c r="L20" s="537"/>
      <c r="M20" s="4400" t="s">
        <v>927</v>
      </c>
      <c r="N20" s="4762"/>
      <c r="O20" s="4762"/>
      <c r="P20" s="4762"/>
      <c r="Q20" s="4762"/>
      <c r="R20" s="4762"/>
      <c r="S20" s="4762"/>
      <c r="T20" s="4762"/>
      <c r="U20" s="4762"/>
      <c r="V20" s="4762"/>
      <c r="W20" s="4762"/>
      <c r="X20" s="4771"/>
      <c r="Y20" s="537"/>
      <c r="Z20" s="537"/>
      <c r="AA20" s="4748" t="s">
        <v>965</v>
      </c>
      <c r="AB20" s="4520"/>
      <c r="AC20" s="4520"/>
      <c r="AD20" s="4520"/>
      <c r="AE20" s="4520"/>
      <c r="AF20" s="4520"/>
      <c r="AG20" s="4521"/>
    </row>
    <row r="21" spans="1:34">
      <c r="A21" s="4408" t="s">
        <v>322</v>
      </c>
      <c r="B21" s="4536"/>
      <c r="C21" s="4536"/>
      <c r="D21" s="963"/>
      <c r="E21" s="537"/>
      <c r="F21" s="537"/>
      <c r="G21" s="537"/>
      <c r="H21" s="537"/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7"/>
      <c r="V21" s="537"/>
      <c r="W21" s="537"/>
      <c r="X21" s="537"/>
      <c r="Y21" s="537"/>
      <c r="Z21" s="537"/>
      <c r="AA21" s="537"/>
      <c r="AB21" s="537"/>
      <c r="AC21" s="537"/>
      <c r="AD21" s="537"/>
      <c r="AE21" s="537"/>
      <c r="AF21" s="537"/>
      <c r="AG21" s="964"/>
    </row>
    <row r="22" spans="1:34" ht="15.75">
      <c r="A22" s="4828" t="s">
        <v>64</v>
      </c>
      <c r="B22" s="4574"/>
      <c r="C22" s="4767"/>
      <c r="D22" s="2209"/>
      <c r="E22" s="939"/>
      <c r="F22" s="939"/>
      <c r="G22" s="939"/>
      <c r="H22" s="939"/>
      <c r="I22" s="939"/>
      <c r="J22" s="939"/>
      <c r="K22" s="939"/>
      <c r="L22" s="939"/>
      <c r="M22" s="939"/>
      <c r="N22" s="939"/>
      <c r="O22" s="939"/>
      <c r="P22" s="939"/>
      <c r="Q22" s="939"/>
      <c r="R22" s="939"/>
      <c r="S22" s="939"/>
      <c r="T22" s="939"/>
      <c r="U22" s="939"/>
      <c r="V22" s="939"/>
      <c r="W22" s="939"/>
      <c r="X22" s="939"/>
      <c r="Y22" s="939"/>
      <c r="Z22" s="939"/>
      <c r="AA22" s="939"/>
      <c r="AB22" s="939"/>
      <c r="AC22" s="939"/>
      <c r="AD22" s="939"/>
      <c r="AE22" s="939"/>
      <c r="AF22" s="939"/>
      <c r="AG22" s="1718"/>
    </row>
    <row r="23" spans="1:34" ht="15.75">
      <c r="A23" s="950" t="s">
        <v>66</v>
      </c>
      <c r="B23" s="812" t="s">
        <v>67</v>
      </c>
      <c r="C23" s="2681" t="s">
        <v>74</v>
      </c>
      <c r="D23" s="2679"/>
      <c r="E23" s="961"/>
      <c r="F23" s="961"/>
      <c r="G23" s="961"/>
      <c r="H23" s="961"/>
      <c r="I23" s="2013"/>
      <c r="J23" s="961"/>
      <c r="K23" s="961"/>
      <c r="L23" s="961"/>
      <c r="M23" s="2013"/>
      <c r="N23" s="1719"/>
      <c r="O23" s="961"/>
      <c r="P23" s="2372"/>
      <c r="Q23" s="961"/>
      <c r="R23" s="961"/>
      <c r="S23" s="2572" t="s">
        <v>251</v>
      </c>
      <c r="T23" s="5871" t="s">
        <v>966</v>
      </c>
      <c r="U23" s="5872"/>
      <c r="V23" s="2572" t="s">
        <v>251</v>
      </c>
      <c r="W23" s="2495"/>
      <c r="X23" s="973"/>
      <c r="Y23" s="787"/>
      <c r="Z23" s="787"/>
      <c r="AA23" s="4605" t="s">
        <v>422</v>
      </c>
      <c r="AB23" s="4606"/>
      <c r="AC23" s="4607"/>
      <c r="AD23" s="787"/>
      <c r="AE23" s="787"/>
      <c r="AF23" s="787"/>
      <c r="AG23" s="2642"/>
    </row>
    <row r="24" spans="1:34">
      <c r="A24" s="951" t="s">
        <v>73</v>
      </c>
      <c r="B24" s="813" t="s">
        <v>67</v>
      </c>
      <c r="C24" s="2682" t="s">
        <v>458</v>
      </c>
      <c r="D24" s="3640" t="s">
        <v>251</v>
      </c>
      <c r="E24" s="4333" t="s">
        <v>967</v>
      </c>
      <c r="F24" s="4411"/>
      <c r="G24" s="4468"/>
      <c r="H24" s="4468"/>
      <c r="I24" s="4468"/>
      <c r="J24" s="4468"/>
      <c r="K24" s="4468"/>
      <c r="L24" s="4468"/>
      <c r="M24" s="4468"/>
      <c r="N24" s="4468"/>
      <c r="O24" s="4468"/>
      <c r="P24" s="4515"/>
      <c r="Q24" s="2671" t="s">
        <v>251</v>
      </c>
      <c r="R24" s="1765"/>
      <c r="S24" s="1765"/>
      <c r="T24" s="1909"/>
      <c r="U24" s="2674" t="s">
        <v>964</v>
      </c>
      <c r="V24" s="1909"/>
      <c r="W24" s="797"/>
      <c r="X24" s="2675"/>
      <c r="Y24" s="5828" t="s">
        <v>251</v>
      </c>
      <c r="Z24" s="5828"/>
      <c r="AA24" s="4623" t="s">
        <v>63</v>
      </c>
      <c r="AB24" s="4623"/>
      <c r="AC24" s="4623"/>
      <c r="AD24" s="4623"/>
      <c r="AE24" s="4623"/>
      <c r="AF24" s="5426" t="s">
        <v>251</v>
      </c>
      <c r="AG24" s="5833"/>
    </row>
    <row r="25" spans="1:34">
      <c r="A25" s="990" t="s">
        <v>713</v>
      </c>
      <c r="B25" s="1474" t="s">
        <v>67</v>
      </c>
      <c r="C25" s="2490" t="s">
        <v>714</v>
      </c>
      <c r="D25" s="2684"/>
      <c r="E25" s="2685"/>
      <c r="F25" s="2686"/>
      <c r="G25" s="3099"/>
      <c r="H25" s="3099"/>
      <c r="I25" s="3099"/>
      <c r="J25" s="3099"/>
      <c r="K25" s="3099"/>
      <c r="L25" s="3099"/>
      <c r="M25" s="3099"/>
      <c r="N25" s="3099"/>
      <c r="O25" s="3099"/>
      <c r="P25" s="3099"/>
      <c r="Q25" s="2676"/>
      <c r="R25" s="2250"/>
      <c r="S25" s="2250"/>
      <c r="T25" s="2677"/>
      <c r="U25" s="2678"/>
      <c r="V25" s="2677"/>
      <c r="W25" s="2677"/>
      <c r="X25" s="2677"/>
      <c r="Y25" s="1268"/>
      <c r="Z25" s="1268"/>
      <c r="AA25" s="2673"/>
      <c r="AB25" s="2673"/>
      <c r="AC25" s="2673"/>
      <c r="AD25" s="2673"/>
      <c r="AE25" s="2673"/>
      <c r="AF25" s="1268"/>
      <c r="AG25" s="2672"/>
    </row>
    <row r="26" spans="1:34" s="1704" customFormat="1" ht="15.75" customHeight="1">
      <c r="A26" s="1035" t="s">
        <v>599</v>
      </c>
      <c r="B26" s="2680" t="s">
        <v>543</v>
      </c>
      <c r="C26" s="2683" t="s">
        <v>544</v>
      </c>
      <c r="D26" s="2384"/>
      <c r="E26" s="2385"/>
      <c r="F26" s="2385"/>
      <c r="G26" s="1650"/>
      <c r="H26" s="1650"/>
      <c r="I26" s="1650"/>
      <c r="J26" s="1650"/>
      <c r="K26" s="1650"/>
      <c r="L26" s="1650"/>
      <c r="M26" s="2624"/>
      <c r="N26" s="1650"/>
      <c r="O26" s="1650"/>
      <c r="P26" s="1650"/>
      <c r="Q26" s="1650"/>
      <c r="R26" s="1650"/>
      <c r="S26" s="1650"/>
      <c r="T26" s="1650"/>
      <c r="U26" s="4660" t="s">
        <v>715</v>
      </c>
      <c r="V26" s="4661"/>
      <c r="W26" s="4661"/>
      <c r="X26" s="4661"/>
      <c r="Y26" s="4661"/>
      <c r="Z26" s="4661"/>
      <c r="AA26" s="4661"/>
      <c r="AB26" s="4661"/>
      <c r="AC26" s="4661"/>
      <c r="AD26" s="4661"/>
      <c r="AE26" s="4661"/>
      <c r="AF26" s="4661"/>
      <c r="AG26" s="5866"/>
      <c r="AH26"/>
    </row>
    <row r="27" spans="1:34" s="1704" customFormat="1" ht="15.75" customHeight="1">
      <c r="A27" s="5869" t="s">
        <v>84</v>
      </c>
      <c r="B27" s="954" t="s">
        <v>85</v>
      </c>
      <c r="C27" s="954" t="s">
        <v>86</v>
      </c>
      <c r="D27" s="1670"/>
      <c r="E27" s="1671"/>
      <c r="F27" s="1671"/>
      <c r="G27" s="1671"/>
      <c r="H27" s="1671"/>
      <c r="I27" s="1671"/>
      <c r="J27" s="1671"/>
      <c r="K27" s="1671"/>
      <c r="L27" s="1671"/>
      <c r="M27" s="1671"/>
      <c r="N27" s="1671"/>
      <c r="O27" s="5863"/>
      <c r="P27" s="5864"/>
      <c r="Q27" s="5864"/>
      <c r="R27" s="5864"/>
      <c r="S27" s="5864"/>
      <c r="T27" s="5864"/>
      <c r="U27" s="5864"/>
      <c r="V27" s="5864"/>
      <c r="W27" s="5864"/>
      <c r="X27" s="5864"/>
      <c r="Y27" s="5864"/>
      <c r="Z27" s="5864"/>
      <c r="AA27" s="5864"/>
      <c r="AB27" s="5864"/>
      <c r="AC27" s="5864"/>
      <c r="AD27" s="5864"/>
      <c r="AE27" s="5864"/>
      <c r="AF27" s="5864"/>
      <c r="AG27" s="5865"/>
      <c r="AH27"/>
    </row>
    <row r="28" spans="1:34">
      <c r="A28" s="5870"/>
      <c r="B28" s="2570" t="s">
        <v>85</v>
      </c>
      <c r="C28" s="2570" t="s">
        <v>716</v>
      </c>
      <c r="D28" s="965"/>
      <c r="E28" s="966"/>
      <c r="F28" s="966"/>
      <c r="G28" s="966"/>
      <c r="H28" s="966"/>
      <c r="I28" s="966"/>
      <c r="J28" s="966"/>
      <c r="K28" s="966"/>
      <c r="L28" s="966"/>
      <c r="M28" s="1470" t="s">
        <v>717</v>
      </c>
      <c r="N28" s="968"/>
      <c r="O28" s="968"/>
      <c r="P28" s="966"/>
      <c r="Q28" s="966"/>
      <c r="R28" s="966"/>
      <c r="S28" s="966"/>
      <c r="T28" s="966"/>
      <c r="U28" s="1470" t="s">
        <v>717</v>
      </c>
      <c r="V28" s="966"/>
      <c r="W28" s="966"/>
      <c r="X28" s="966"/>
      <c r="Y28" s="939"/>
      <c r="Z28" s="939"/>
      <c r="AA28" s="939"/>
      <c r="AB28" s="939"/>
      <c r="AC28" s="939"/>
      <c r="AD28" s="939"/>
      <c r="AE28" s="1465" t="s">
        <v>717</v>
      </c>
      <c r="AF28" s="939"/>
      <c r="AG28" s="1712"/>
    </row>
    <row r="29" spans="1:34" ht="15.75">
      <c r="A29" s="4554" t="s">
        <v>92</v>
      </c>
      <c r="B29" s="2567" t="s">
        <v>95</v>
      </c>
      <c r="C29" s="2568" t="s">
        <v>243</v>
      </c>
      <c r="D29" s="2537"/>
      <c r="E29" s="2284" t="s">
        <v>722</v>
      </c>
      <c r="F29" s="972"/>
      <c r="G29" s="972"/>
      <c r="H29" s="972"/>
      <c r="I29" s="971"/>
      <c r="J29" s="799"/>
      <c r="K29" s="799"/>
      <c r="L29" s="799"/>
      <c r="M29" s="971"/>
      <c r="N29" s="972"/>
      <c r="O29" s="2537" t="s">
        <v>722</v>
      </c>
      <c r="P29" s="972"/>
      <c r="Q29" s="971"/>
      <c r="R29" s="2284"/>
      <c r="S29" s="799"/>
      <c r="T29" s="2527"/>
      <c r="U29" s="2527"/>
      <c r="V29" s="2527"/>
      <c r="W29" s="2527"/>
      <c r="X29" s="2701"/>
      <c r="Y29" s="2528"/>
      <c r="Z29" s="2528"/>
      <c r="AA29" s="2528"/>
      <c r="AB29" s="2528"/>
      <c r="AC29" s="2528"/>
      <c r="AD29" s="2528"/>
      <c r="AE29" s="2528"/>
      <c r="AF29" s="2"/>
      <c r="AG29" s="2"/>
    </row>
    <row r="30" spans="1:34" ht="15.75">
      <c r="A30" s="4555"/>
      <c r="B30" s="953" t="s">
        <v>326</v>
      </c>
      <c r="C30" s="2569" t="s">
        <v>327</v>
      </c>
      <c r="D30" s="995"/>
      <c r="E30" s="995"/>
      <c r="F30" s="995"/>
      <c r="G30" s="4423" t="s">
        <v>968</v>
      </c>
      <c r="H30" s="5332"/>
      <c r="I30" s="5332"/>
      <c r="J30" s="5332"/>
      <c r="K30" s="5333"/>
      <c r="L30" s="995"/>
      <c r="M30" s="1459" t="s">
        <v>720</v>
      </c>
      <c r="N30" s="972"/>
      <c r="O30" s="972"/>
      <c r="P30" s="972"/>
      <c r="Q30" s="971"/>
      <c r="R30" s="799"/>
      <c r="S30" s="799"/>
      <c r="T30" s="2527"/>
      <c r="U30" s="1459" t="s">
        <v>722</v>
      </c>
      <c r="V30" s="2527"/>
      <c r="W30" s="2527"/>
      <c r="X30" s="2701"/>
      <c r="Y30" s="537"/>
      <c r="Z30" s="537"/>
      <c r="AA30" s="537"/>
      <c r="AB30" s="537"/>
      <c r="AC30" s="1459" t="s">
        <v>720</v>
      </c>
      <c r="AD30" s="537"/>
      <c r="AE30" s="537"/>
      <c r="AF30" s="537"/>
      <c r="AG30" s="537"/>
    </row>
    <row r="31" spans="1:34" ht="15.75">
      <c r="A31" s="5854"/>
      <c r="B31" s="1327" t="s">
        <v>606</v>
      </c>
      <c r="C31" s="2571" t="s">
        <v>98</v>
      </c>
      <c r="D31" s="995"/>
      <c r="E31" s="966"/>
      <c r="F31" s="966"/>
      <c r="G31" s="966"/>
      <c r="H31" s="966"/>
      <c r="I31" s="966"/>
      <c r="J31" s="966"/>
      <c r="K31" s="966"/>
      <c r="L31" s="1470"/>
      <c r="M31" s="1470"/>
      <c r="N31" s="966"/>
      <c r="O31" s="1470" t="s">
        <v>720</v>
      </c>
      <c r="P31" s="966"/>
      <c r="Q31" s="966"/>
      <c r="R31" s="966"/>
      <c r="S31" s="966"/>
      <c r="T31" s="966"/>
      <c r="U31" s="1493" t="s">
        <v>964</v>
      </c>
      <c r="V31" s="1470" t="s">
        <v>720</v>
      </c>
      <c r="W31" s="5855" t="s">
        <v>969</v>
      </c>
      <c r="X31" s="5856"/>
      <c r="Y31" s="1016"/>
      <c r="Z31" s="1016"/>
      <c r="AA31" s="2700" t="s">
        <v>251</v>
      </c>
      <c r="AB31" s="2702" t="s">
        <v>63</v>
      </c>
      <c r="AC31" s="2702"/>
      <c r="AD31" s="2700" t="s">
        <v>251</v>
      </c>
      <c r="AE31" s="799"/>
      <c r="AF31" s="799"/>
      <c r="AG31" s="2703" t="s">
        <v>720</v>
      </c>
    </row>
    <row r="32" spans="1:34">
      <c r="A32" s="4554" t="s">
        <v>99</v>
      </c>
      <c r="B32" s="1225" t="s">
        <v>100</v>
      </c>
      <c r="C32" s="1226" t="s">
        <v>101</v>
      </c>
      <c r="D32" s="941"/>
      <c r="E32" s="799"/>
      <c r="F32" s="799"/>
      <c r="G32" s="5303" t="s">
        <v>954</v>
      </c>
      <c r="H32" s="5304"/>
      <c r="I32" s="5305"/>
      <c r="J32" s="799"/>
      <c r="K32" s="799"/>
      <c r="L32" s="799"/>
      <c r="M32" s="799"/>
      <c r="N32" s="4436" t="s">
        <v>208</v>
      </c>
      <c r="O32" s="4502"/>
      <c r="P32" s="4502"/>
      <c r="Q32" s="4503"/>
      <c r="R32" s="799"/>
      <c r="S32" s="799"/>
      <c r="T32" s="799"/>
      <c r="U32" s="799"/>
      <c r="V32" s="799"/>
      <c r="W32" s="536"/>
      <c r="X32" s="536"/>
      <c r="Y32" s="940"/>
      <c r="Z32" s="940"/>
      <c r="AA32" s="940"/>
      <c r="AB32" s="940"/>
      <c r="AC32" s="940"/>
      <c r="AD32" s="940"/>
      <c r="AE32" s="940"/>
      <c r="AF32" s="536"/>
      <c r="AG32" s="1333"/>
    </row>
    <row r="33" spans="1:35">
      <c r="A33" s="4555"/>
      <c r="B33" s="64" t="s">
        <v>392</v>
      </c>
      <c r="C33" s="63" t="s">
        <v>725</v>
      </c>
      <c r="D33" s="941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799"/>
      <c r="P33" s="799"/>
      <c r="Q33" s="799"/>
      <c r="R33" s="799"/>
      <c r="S33" s="799"/>
      <c r="T33" s="799"/>
      <c r="U33" s="799"/>
      <c r="V33" s="799"/>
      <c r="W33" s="536"/>
      <c r="X33" s="1260"/>
      <c r="Y33" s="905"/>
      <c r="Z33" s="905"/>
      <c r="AA33" s="1339"/>
      <c r="AB33" s="1339"/>
      <c r="AC33" s="1339"/>
      <c r="AD33" s="1339"/>
      <c r="AE33" s="905"/>
      <c r="AF33" s="1999"/>
      <c r="AG33" s="978"/>
    </row>
    <row r="34" spans="1:35" ht="15.75">
      <c r="A34" s="4555"/>
      <c r="B34" s="2230" t="s">
        <v>95</v>
      </c>
      <c r="C34" s="63" t="s">
        <v>726</v>
      </c>
      <c r="D34" s="2208"/>
      <c r="E34" s="537"/>
      <c r="F34" s="537"/>
      <c r="G34" s="537"/>
      <c r="H34" s="537"/>
      <c r="I34" s="537"/>
      <c r="J34" s="1459" t="s">
        <v>717</v>
      </c>
      <c r="K34" s="537"/>
      <c r="L34" s="537"/>
      <c r="M34" s="537"/>
      <c r="N34" s="537"/>
      <c r="O34" s="537"/>
      <c r="P34" s="537"/>
      <c r="Q34" s="537"/>
      <c r="R34" s="537"/>
      <c r="S34" s="537"/>
      <c r="T34" s="2528"/>
      <c r="U34" s="2528"/>
      <c r="V34" s="2527"/>
      <c r="W34" s="2527"/>
      <c r="X34" s="2528"/>
      <c r="Y34" s="5850" t="s">
        <v>251</v>
      </c>
      <c r="Z34" s="5850"/>
      <c r="AA34" s="5851" t="s">
        <v>970</v>
      </c>
      <c r="AB34" s="5851"/>
      <c r="AC34" s="5851"/>
      <c r="AD34" s="5851"/>
      <c r="AE34" s="2718" t="s">
        <v>251</v>
      </c>
      <c r="AF34" s="756"/>
      <c r="AG34" s="803"/>
    </row>
    <row r="35" spans="1:35" ht="15.75">
      <c r="A35" s="4555"/>
      <c r="B35" s="64" t="s">
        <v>95</v>
      </c>
      <c r="C35" s="63" t="s">
        <v>548</v>
      </c>
      <c r="D35" s="2208"/>
      <c r="E35" s="537"/>
      <c r="F35" s="2434" t="s">
        <v>722</v>
      </c>
      <c r="G35" s="537"/>
      <c r="H35" s="537"/>
      <c r="I35" s="537"/>
      <c r="J35" s="537"/>
      <c r="K35" s="537"/>
      <c r="L35" s="537"/>
      <c r="M35" s="537"/>
      <c r="N35" s="537"/>
      <c r="O35" s="537"/>
      <c r="P35" s="1459" t="s">
        <v>722</v>
      </c>
      <c r="Q35" s="537"/>
      <c r="R35" s="537"/>
      <c r="S35" s="537"/>
      <c r="T35" s="2284" t="s">
        <v>720</v>
      </c>
      <c r="U35" s="2665" t="s">
        <v>964</v>
      </c>
      <c r="V35" s="2721"/>
      <c r="W35" s="1157"/>
      <c r="X35" s="5878" t="s">
        <v>971</v>
      </c>
      <c r="Y35" s="5879"/>
      <c r="Z35" s="536"/>
      <c r="AA35" s="2284"/>
      <c r="AB35" s="536"/>
      <c r="AC35" s="536"/>
      <c r="AD35" s="536"/>
      <c r="AE35" s="4645" t="s">
        <v>197</v>
      </c>
      <c r="AF35" s="4645"/>
      <c r="AG35" s="4645"/>
    </row>
    <row r="36" spans="1:35" ht="15.75">
      <c r="A36" s="4555"/>
      <c r="B36" s="64" t="s">
        <v>106</v>
      </c>
      <c r="C36" s="63" t="s">
        <v>107</v>
      </c>
      <c r="D36" s="2208"/>
      <c r="E36" s="537"/>
      <c r="F36" s="537"/>
      <c r="G36" s="537"/>
      <c r="H36" s="1459" t="s">
        <v>720</v>
      </c>
      <c r="I36" s="537"/>
      <c r="J36" s="2434" t="s">
        <v>722</v>
      </c>
      <c r="K36" s="537"/>
      <c r="L36" s="537"/>
      <c r="M36" s="5587" t="s">
        <v>972</v>
      </c>
      <c r="N36" s="5588"/>
      <c r="O36" s="5588"/>
      <c r="P36" s="5588"/>
      <c r="Q36" s="5588"/>
      <c r="R36" s="5588"/>
      <c r="S36" s="5588"/>
      <c r="T36" s="5588"/>
      <c r="U36" s="5588"/>
      <c r="V36" s="5419"/>
      <c r="W36" s="5419"/>
      <c r="X36" s="5588"/>
      <c r="Y36" s="5588"/>
      <c r="Z36" s="5589"/>
      <c r="AA36" s="380"/>
      <c r="AB36" s="380"/>
      <c r="AC36" s="1459"/>
      <c r="AD36" s="380"/>
      <c r="AE36" s="380"/>
      <c r="AF36" s="2434" t="s">
        <v>720</v>
      </c>
      <c r="AG36" s="803"/>
    </row>
    <row r="37" spans="1:35" ht="15.75">
      <c r="A37" s="4556"/>
      <c r="B37" s="2484" t="s">
        <v>108</v>
      </c>
      <c r="C37" s="817" t="s">
        <v>109</v>
      </c>
      <c r="D37" s="2566"/>
      <c r="E37" s="939"/>
      <c r="F37" s="939"/>
      <c r="G37" s="1465"/>
      <c r="H37" s="939"/>
      <c r="I37" s="1465" t="s">
        <v>722</v>
      </c>
      <c r="J37" s="939"/>
      <c r="K37" s="939"/>
      <c r="L37" s="939"/>
      <c r="M37" s="939"/>
      <c r="N37" s="939"/>
      <c r="O37" s="939"/>
      <c r="P37" s="939"/>
      <c r="Q37" s="939"/>
      <c r="R37" s="1465" t="s">
        <v>722</v>
      </c>
      <c r="S37" s="939"/>
      <c r="T37" s="2527"/>
      <c r="U37" s="2527"/>
      <c r="V37" s="2527"/>
      <c r="W37" s="2527"/>
      <c r="X37" s="2527"/>
      <c r="Y37" s="852"/>
      <c r="Z37" s="852"/>
      <c r="AA37" s="852"/>
      <c r="AB37" s="1465" t="s">
        <v>722</v>
      </c>
      <c r="AC37" s="852"/>
      <c r="AD37" s="852"/>
      <c r="AE37" s="852"/>
      <c r="AF37" s="852"/>
      <c r="AG37" s="2323"/>
    </row>
    <row r="38" spans="1:35">
      <c r="A38" s="5029" t="s">
        <v>110</v>
      </c>
      <c r="B38" s="1937" t="s">
        <v>283</v>
      </c>
      <c r="C38" s="1971" t="s">
        <v>201</v>
      </c>
      <c r="D38" s="1332"/>
      <c r="E38" s="937"/>
      <c r="F38" s="2433"/>
      <c r="G38" s="2433" t="s">
        <v>720</v>
      </c>
      <c r="H38" s="937"/>
      <c r="I38" s="937"/>
      <c r="J38" s="937"/>
      <c r="K38" s="937"/>
      <c r="L38" s="937"/>
      <c r="M38" s="937"/>
      <c r="N38" s="937"/>
      <c r="O38" s="937"/>
      <c r="P38" s="937"/>
      <c r="Q38" s="2433" t="s">
        <v>720</v>
      </c>
      <c r="R38" s="937"/>
      <c r="S38" s="937"/>
      <c r="T38" s="2529"/>
      <c r="U38" s="2529"/>
      <c r="V38" s="2529"/>
      <c r="W38" s="2529"/>
      <c r="X38" s="2529"/>
      <c r="Y38" s="937"/>
      <c r="Z38" s="937"/>
      <c r="AA38" s="2433"/>
      <c r="AB38" s="2433" t="s">
        <v>720</v>
      </c>
      <c r="AC38" s="937"/>
      <c r="AD38" s="937"/>
      <c r="AE38" s="937"/>
      <c r="AF38" s="937"/>
      <c r="AG38" s="1333"/>
      <c r="AH38" s="921"/>
      <c r="AI38" s="283"/>
    </row>
    <row r="39" spans="1:35">
      <c r="A39" s="5030"/>
      <c r="B39" s="1969" t="s">
        <v>283</v>
      </c>
      <c r="C39" s="1977" t="s">
        <v>610</v>
      </c>
      <c r="D39" s="822"/>
      <c r="E39" s="779"/>
      <c r="F39" s="779"/>
      <c r="G39" s="1465" t="s">
        <v>722</v>
      </c>
      <c r="H39" s="779"/>
      <c r="I39" s="779"/>
      <c r="J39" s="5859" t="s">
        <v>973</v>
      </c>
      <c r="K39" s="5860"/>
      <c r="L39" s="5860"/>
      <c r="M39" s="5860"/>
      <c r="N39" s="5860"/>
      <c r="O39" s="5860"/>
      <c r="P39" s="5860"/>
      <c r="Q39" s="5860"/>
      <c r="R39" s="5860"/>
      <c r="S39" s="5861"/>
      <c r="T39" s="779"/>
      <c r="U39" s="779"/>
      <c r="V39" s="779"/>
      <c r="W39" s="779"/>
      <c r="X39" s="779"/>
      <c r="Y39" s="779"/>
      <c r="Z39" s="2434" t="s">
        <v>720</v>
      </c>
      <c r="AA39" s="2434"/>
      <c r="AB39" s="779"/>
      <c r="AC39" s="2434" t="s">
        <v>722</v>
      </c>
      <c r="AD39" s="779"/>
      <c r="AE39" s="779"/>
      <c r="AF39" s="779"/>
      <c r="AG39" s="804"/>
      <c r="AH39" s="921"/>
      <c r="AI39" s="283"/>
    </row>
    <row r="40" spans="1:35">
      <c r="A40" s="5030"/>
      <c r="B40" s="1969" t="s">
        <v>95</v>
      </c>
      <c r="C40" s="1980" t="s">
        <v>249</v>
      </c>
      <c r="D40" s="822"/>
      <c r="E40" s="2434"/>
      <c r="F40" s="779"/>
      <c r="G40" s="779"/>
      <c r="H40" s="779"/>
      <c r="I40" s="779"/>
      <c r="J40" s="779"/>
      <c r="K40" s="779"/>
      <c r="L40" s="779"/>
      <c r="M40" s="779"/>
      <c r="N40" s="779"/>
      <c r="O40" s="779"/>
      <c r="P40" s="2434" t="s">
        <v>720</v>
      </c>
      <c r="Q40" s="2434"/>
      <c r="R40" s="779"/>
      <c r="S40" s="779"/>
      <c r="T40" s="779"/>
      <c r="U40" s="779"/>
      <c r="V40" s="779"/>
      <c r="W40" s="779"/>
      <c r="X40" s="779"/>
      <c r="Y40" s="2434" t="s">
        <v>722</v>
      </c>
      <c r="Z40" s="779"/>
      <c r="AA40" s="779"/>
      <c r="AB40" s="779"/>
      <c r="AC40" s="779"/>
      <c r="AD40" s="779"/>
      <c r="AE40" s="779"/>
      <c r="AF40" s="2434" t="s">
        <v>722</v>
      </c>
      <c r="AG40" s="804"/>
      <c r="AH40" s="921"/>
      <c r="AI40" s="283"/>
    </row>
    <row r="41" spans="1:35">
      <c r="A41" s="5030"/>
      <c r="B41" s="1939" t="s">
        <v>113</v>
      </c>
      <c r="C41" s="1972" t="s">
        <v>116</v>
      </c>
      <c r="D41" s="5842" t="s">
        <v>251</v>
      </c>
      <c r="E41" s="5444"/>
      <c r="F41" s="5859" t="s">
        <v>974</v>
      </c>
      <c r="G41" s="5860"/>
      <c r="H41" s="5860"/>
      <c r="I41" s="5860"/>
      <c r="J41" s="5860"/>
      <c r="K41" s="5860"/>
      <c r="L41" s="5860"/>
      <c r="M41" s="5860"/>
      <c r="N41" s="5860"/>
      <c r="O41" s="5860"/>
      <c r="P41" s="5860"/>
      <c r="Q41" s="5860"/>
      <c r="R41" s="5860"/>
      <c r="S41" s="5860"/>
      <c r="T41" s="5860"/>
      <c r="U41" s="5860"/>
      <c r="V41" s="5860"/>
      <c r="W41" s="5860"/>
      <c r="X41" s="5861"/>
      <c r="Y41" s="4333" t="s">
        <v>438</v>
      </c>
      <c r="Z41" s="4411"/>
      <c r="AA41" s="4411"/>
      <c r="AB41" s="4411"/>
      <c r="AC41" s="4411"/>
      <c r="AD41" s="4411"/>
      <c r="AE41" s="4411"/>
      <c r="AF41" s="4334"/>
      <c r="AG41" s="2322" t="s">
        <v>251</v>
      </c>
      <c r="AH41" s="921"/>
      <c r="AI41" s="283"/>
    </row>
    <row r="42" spans="1:35">
      <c r="A42" s="5030"/>
      <c r="B42" s="1939" t="s">
        <v>118</v>
      </c>
      <c r="C42" s="1972" t="s">
        <v>119</v>
      </c>
      <c r="D42" s="5843" t="s">
        <v>975</v>
      </c>
      <c r="E42" s="5843"/>
      <c r="F42" s="5843"/>
      <c r="G42" s="5843"/>
      <c r="H42" s="5843"/>
      <c r="I42" s="5843"/>
      <c r="J42" s="5843"/>
      <c r="K42" s="5843"/>
      <c r="L42" s="5843"/>
      <c r="M42" s="5843"/>
      <c r="N42" s="5843"/>
      <c r="O42" s="5843"/>
      <c r="P42" s="5843"/>
      <c r="Q42" s="5843"/>
      <c r="R42" s="5843"/>
      <c r="S42" s="5843"/>
      <c r="T42" s="5843"/>
      <c r="U42" s="5843"/>
      <c r="V42" s="5862"/>
      <c r="W42" s="779"/>
      <c r="X42" s="779"/>
      <c r="Y42" s="779"/>
      <c r="Z42" s="779"/>
      <c r="AA42" s="779"/>
      <c r="AB42" s="779"/>
      <c r="AC42" s="779"/>
      <c r="AD42" s="779"/>
      <c r="AE42" s="779"/>
      <c r="AF42" s="779"/>
      <c r="AG42" s="804"/>
      <c r="AH42" s="921"/>
      <c r="AI42" s="283"/>
    </row>
    <row r="43" spans="1:35">
      <c r="A43" s="5030"/>
      <c r="B43" s="1939" t="s">
        <v>500</v>
      </c>
      <c r="C43" s="1972" t="s">
        <v>126</v>
      </c>
      <c r="D43" s="822"/>
      <c r="E43" s="779"/>
      <c r="F43" s="779"/>
      <c r="G43" s="779"/>
      <c r="H43" s="779"/>
      <c r="I43" s="779"/>
      <c r="J43" s="779"/>
      <c r="K43" s="2434"/>
      <c r="L43" s="779"/>
      <c r="M43" s="779"/>
      <c r="N43" s="2434" t="s">
        <v>720</v>
      </c>
      <c r="O43" s="779"/>
      <c r="P43" s="779"/>
      <c r="Q43" s="779"/>
      <c r="R43" s="779"/>
      <c r="S43" s="2434" t="s">
        <v>722</v>
      </c>
      <c r="T43" s="779"/>
      <c r="U43" s="779"/>
      <c r="V43" s="779"/>
      <c r="W43" s="779"/>
      <c r="X43" s="779"/>
      <c r="Y43" s="779"/>
      <c r="Z43" s="779"/>
      <c r="AA43" s="779"/>
      <c r="AB43" s="779"/>
      <c r="AC43" s="2639"/>
      <c r="AD43" s="2639" t="s">
        <v>720</v>
      </c>
      <c r="AE43" s="779"/>
      <c r="AF43" s="779"/>
      <c r="AG43" s="804"/>
      <c r="AH43" s="921"/>
      <c r="AI43" s="283"/>
    </row>
    <row r="44" spans="1:35">
      <c r="A44" s="5030"/>
      <c r="B44" s="1949" t="s">
        <v>120</v>
      </c>
      <c r="C44" s="1981" t="s">
        <v>121</v>
      </c>
      <c r="D44" s="784"/>
      <c r="E44" s="780"/>
      <c r="F44" s="2437" t="s">
        <v>720</v>
      </c>
      <c r="G44" s="780"/>
      <c r="H44" s="780"/>
      <c r="I44" s="780"/>
      <c r="J44" s="780"/>
      <c r="K44" s="780"/>
      <c r="L44" s="2435" t="s">
        <v>720</v>
      </c>
      <c r="M44" s="780"/>
      <c r="N44" s="4333" t="s">
        <v>112</v>
      </c>
      <c r="O44" s="4411"/>
      <c r="P44" s="4411"/>
      <c r="Q44" s="4411"/>
      <c r="R44" s="4411"/>
      <c r="S44" s="4411"/>
      <c r="T44" s="4334"/>
      <c r="U44" s="779"/>
      <c r="V44" s="779"/>
      <c r="W44" s="779"/>
      <c r="X44" s="2434" t="s">
        <v>720</v>
      </c>
      <c r="Y44" s="778"/>
      <c r="Z44" s="778"/>
      <c r="AA44" s="778"/>
      <c r="AB44" s="778"/>
      <c r="AC44" s="779"/>
      <c r="AD44" s="779"/>
      <c r="AE44" s="779"/>
      <c r="AF44" s="779"/>
      <c r="AG44" s="804"/>
      <c r="AH44" s="921"/>
      <c r="AI44" s="283"/>
    </row>
    <row r="45" spans="1:35">
      <c r="A45" s="5030"/>
      <c r="B45" s="1943" t="s">
        <v>122</v>
      </c>
      <c r="C45" s="2196" t="s">
        <v>123</v>
      </c>
      <c r="D45" s="4334" t="s">
        <v>946</v>
      </c>
      <c r="E45" s="4475"/>
      <c r="F45" s="4475"/>
      <c r="G45" s="4475"/>
      <c r="H45" s="4475"/>
      <c r="I45" s="4475"/>
      <c r="J45" s="4475"/>
      <c r="K45" s="5880" t="s">
        <v>976</v>
      </c>
      <c r="L45" s="5881"/>
      <c r="M45" s="5881"/>
      <c r="N45" s="5881"/>
      <c r="O45" s="5881"/>
      <c r="P45" s="5882"/>
      <c r="Q45" s="2259"/>
      <c r="R45" s="779"/>
      <c r="S45" s="779"/>
      <c r="T45" s="779"/>
      <c r="U45" s="779"/>
      <c r="V45" s="779"/>
      <c r="W45" s="779"/>
      <c r="X45" s="779"/>
      <c r="Y45" s="2639"/>
      <c r="Z45" s="779"/>
      <c r="AA45" s="779"/>
      <c r="AB45" s="779"/>
      <c r="AC45" s="779"/>
      <c r="AD45" s="779"/>
      <c r="AE45" s="779"/>
      <c r="AF45" s="779"/>
      <c r="AG45" s="2444"/>
      <c r="AH45" s="921"/>
      <c r="AI45" s="283"/>
    </row>
    <row r="46" spans="1:35">
      <c r="A46" s="5030"/>
      <c r="B46" s="1943" t="s">
        <v>122</v>
      </c>
      <c r="C46" s="2196" t="s">
        <v>553</v>
      </c>
      <c r="D46" s="5874" t="s">
        <v>608</v>
      </c>
      <c r="E46" s="5875"/>
      <c r="F46" s="5875"/>
      <c r="G46" s="5875"/>
      <c r="H46" s="5875"/>
      <c r="I46" s="5875"/>
      <c r="J46" s="5875"/>
      <c r="K46" s="5876"/>
      <c r="L46" s="5876"/>
      <c r="M46" s="5877"/>
      <c r="N46" s="5848" t="s">
        <v>977</v>
      </c>
      <c r="O46" s="5848"/>
      <c r="P46" s="5848"/>
      <c r="Q46" s="5848"/>
      <c r="R46" s="5848"/>
      <c r="S46" s="5848"/>
      <c r="T46" s="5848"/>
      <c r="U46" s="5848"/>
      <c r="V46" s="5849"/>
      <c r="W46" s="779"/>
      <c r="X46" s="779"/>
      <c r="Y46" s="779"/>
      <c r="Z46" s="779"/>
      <c r="AA46" s="779"/>
      <c r="AB46" s="779"/>
      <c r="AC46" s="779"/>
      <c r="AD46" s="2434" t="s">
        <v>717</v>
      </c>
      <c r="AE46" s="779"/>
      <c r="AF46" s="1387" t="s">
        <v>978</v>
      </c>
      <c r="AG46" s="804"/>
      <c r="AH46" s="921"/>
      <c r="AI46" s="283"/>
    </row>
    <row r="47" spans="1:35">
      <c r="A47" s="5030"/>
      <c r="B47" s="1943" t="s">
        <v>124</v>
      </c>
      <c r="C47" s="2196" t="s">
        <v>125</v>
      </c>
      <c r="D47" s="705"/>
      <c r="E47" s="793"/>
      <c r="F47" s="2437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2434" t="s">
        <v>722</v>
      </c>
      <c r="R47" s="778"/>
      <c r="S47" s="778"/>
      <c r="T47" s="778"/>
      <c r="U47" s="2434" t="s">
        <v>720</v>
      </c>
      <c r="V47" s="779"/>
      <c r="W47" s="779"/>
      <c r="X47" s="779"/>
      <c r="Y47" s="2639" t="s">
        <v>720</v>
      </c>
      <c r="Z47" s="779"/>
      <c r="AA47" s="779"/>
      <c r="AB47" s="779"/>
      <c r="AC47" s="779"/>
      <c r="AD47" s="779"/>
      <c r="AE47" s="779"/>
      <c r="AF47" s="2434"/>
      <c r="AG47" s="804"/>
      <c r="AH47" s="921"/>
      <c r="AI47" s="283"/>
    </row>
    <row r="48" spans="1:35">
      <c r="A48" s="5030"/>
      <c r="B48" s="1943" t="s">
        <v>293</v>
      </c>
      <c r="C48" s="2196" t="s">
        <v>733</v>
      </c>
      <c r="D48" s="705"/>
      <c r="E48" s="793"/>
      <c r="F48" s="778"/>
      <c r="G48" s="778"/>
      <c r="H48" s="778"/>
      <c r="I48" s="2437" t="s">
        <v>717</v>
      </c>
      <c r="J48" s="778"/>
      <c r="K48" s="778"/>
      <c r="L48" s="778"/>
      <c r="M48" s="778"/>
      <c r="N48" s="2437" t="s">
        <v>717</v>
      </c>
      <c r="O48" s="778"/>
      <c r="P48" s="4333" t="s">
        <v>979</v>
      </c>
      <c r="Q48" s="4411"/>
      <c r="R48" s="4411"/>
      <c r="S48" s="4411"/>
      <c r="T48" s="4411"/>
      <c r="U48" s="4411"/>
      <c r="V48" s="4411"/>
      <c r="W48" s="4411"/>
      <c r="X48" s="4411"/>
      <c r="Y48" s="4411"/>
      <c r="Z48" s="4411"/>
      <c r="AA48" s="4411"/>
      <c r="AB48" s="4411"/>
      <c r="AC48" s="4411"/>
      <c r="AD48" s="4411"/>
      <c r="AE48" s="4411"/>
      <c r="AF48" s="4411"/>
      <c r="AG48" s="4559"/>
      <c r="AH48" s="921"/>
      <c r="AI48" s="283"/>
    </row>
    <row r="49" spans="1:35">
      <c r="A49" s="5030"/>
      <c r="B49" s="1943" t="s">
        <v>692</v>
      </c>
      <c r="C49" s="2196" t="s">
        <v>693</v>
      </c>
      <c r="D49" s="2694" t="s">
        <v>717</v>
      </c>
      <c r="E49" s="793"/>
      <c r="F49" s="778"/>
      <c r="G49" s="778"/>
      <c r="H49" s="778"/>
      <c r="I49" s="778"/>
      <c r="J49" s="778"/>
      <c r="K49" s="778"/>
      <c r="L49" s="2437" t="s">
        <v>717</v>
      </c>
      <c r="M49" s="2565" t="s">
        <v>251</v>
      </c>
      <c r="N49" s="4487" t="s">
        <v>980</v>
      </c>
      <c r="O49" s="5278"/>
      <c r="P49" s="5278"/>
      <c r="Q49" s="5278"/>
      <c r="R49" s="5517"/>
      <c r="S49" s="2565" t="s">
        <v>251</v>
      </c>
      <c r="T49" s="4487" t="s">
        <v>981</v>
      </c>
      <c r="U49" s="5278"/>
      <c r="V49" s="5278"/>
      <c r="W49" s="5278"/>
      <c r="X49" s="5278"/>
      <c r="Y49" s="5278"/>
      <c r="Z49" s="5278"/>
      <c r="AA49" s="5278"/>
      <c r="AB49" s="5278"/>
      <c r="AC49" s="5278"/>
      <c r="AD49" s="5278"/>
      <c r="AE49" s="5517"/>
      <c r="AF49" s="4333" t="s">
        <v>616</v>
      </c>
      <c r="AG49" s="4559"/>
      <c r="AH49" s="921"/>
      <c r="AI49" s="283"/>
    </row>
    <row r="50" spans="1:35">
      <c r="A50" s="5030"/>
      <c r="B50" s="2267" t="s">
        <v>127</v>
      </c>
      <c r="C50" s="1977" t="s">
        <v>657</v>
      </c>
      <c r="D50" s="5843" t="s">
        <v>551</v>
      </c>
      <c r="E50" s="5843"/>
      <c r="F50" s="5843"/>
      <c r="G50" s="5843"/>
      <c r="H50" s="5843"/>
      <c r="I50" s="5843"/>
      <c r="J50" s="5843"/>
      <c r="K50" s="5843"/>
      <c r="L50" s="5843"/>
      <c r="M50" s="5843"/>
      <c r="N50" s="5844"/>
      <c r="O50" s="5844"/>
      <c r="P50" s="5844"/>
      <c r="Q50" s="4333" t="s">
        <v>616</v>
      </c>
      <c r="R50" s="4411"/>
      <c r="S50" s="4411"/>
      <c r="T50" s="4411"/>
      <c r="U50" s="5848" t="s">
        <v>982</v>
      </c>
      <c r="V50" s="5862"/>
      <c r="W50" s="779"/>
      <c r="X50" s="779"/>
      <c r="Y50" s="2434" t="s">
        <v>717</v>
      </c>
      <c r="Z50" s="779"/>
      <c r="AA50" s="779"/>
      <c r="AB50" s="779"/>
      <c r="AC50" s="779"/>
      <c r="AD50" s="779"/>
      <c r="AE50" s="779"/>
      <c r="AF50" s="779"/>
      <c r="AG50" s="2444" t="s">
        <v>717</v>
      </c>
      <c r="AH50" s="921"/>
      <c r="AI50" s="283"/>
    </row>
    <row r="51" spans="1:35">
      <c r="A51" s="5030"/>
      <c r="B51" s="1939" t="s">
        <v>554</v>
      </c>
      <c r="C51" s="1972" t="s">
        <v>555</v>
      </c>
      <c r="D51" s="822"/>
      <c r="E51" s="779"/>
      <c r="F51" s="779"/>
      <c r="G51" s="779"/>
      <c r="H51" s="779"/>
      <c r="I51" s="779"/>
      <c r="J51" s="5859" t="s">
        <v>973</v>
      </c>
      <c r="K51" s="5860"/>
      <c r="L51" s="5860"/>
      <c r="M51" s="5860"/>
      <c r="N51" s="5860"/>
      <c r="O51" s="5860"/>
      <c r="P51" s="5860"/>
      <c r="Q51" s="5860"/>
      <c r="R51" s="5860"/>
      <c r="S51" s="5861"/>
      <c r="T51" s="779"/>
      <c r="U51" s="779"/>
      <c r="V51" s="779"/>
      <c r="W51" s="779"/>
      <c r="X51" s="779"/>
      <c r="Y51" s="779"/>
      <c r="Z51" s="779"/>
      <c r="AA51" s="779"/>
      <c r="AB51" s="779"/>
      <c r="AC51" s="779"/>
      <c r="AD51" s="779"/>
      <c r="AE51" s="779"/>
      <c r="AF51" s="779"/>
      <c r="AG51" s="804"/>
      <c r="AH51" s="921"/>
      <c r="AI51" s="283"/>
    </row>
    <row r="52" spans="1:35">
      <c r="A52" s="5030"/>
      <c r="B52" s="1939" t="s">
        <v>129</v>
      </c>
      <c r="C52" s="1972" t="s">
        <v>474</v>
      </c>
      <c r="D52" s="822"/>
      <c r="E52" s="779"/>
      <c r="F52" s="2434" t="s">
        <v>717</v>
      </c>
      <c r="G52" s="779"/>
      <c r="H52" s="779"/>
      <c r="I52" s="779"/>
      <c r="J52" s="779"/>
      <c r="K52" s="779"/>
      <c r="L52" s="779"/>
      <c r="M52" s="779"/>
      <c r="N52" s="779"/>
      <c r="O52" s="779"/>
      <c r="P52" s="2434" t="s">
        <v>717</v>
      </c>
      <c r="Q52" s="779"/>
      <c r="R52" s="779"/>
      <c r="S52" s="779"/>
      <c r="T52" s="779"/>
      <c r="U52" s="779"/>
      <c r="V52" s="779"/>
      <c r="W52" s="779"/>
      <c r="X52" s="779"/>
      <c r="Y52" s="779"/>
      <c r="Z52" s="779"/>
      <c r="AA52" s="779"/>
      <c r="AB52" s="779"/>
      <c r="AC52" s="779"/>
      <c r="AD52" s="779"/>
      <c r="AE52" s="779"/>
      <c r="AF52" s="779"/>
      <c r="AG52" s="804"/>
      <c r="AH52" s="921"/>
      <c r="AI52" s="283"/>
    </row>
    <row r="53" spans="1:35">
      <c r="A53" s="5030"/>
      <c r="B53" s="1939" t="s">
        <v>134</v>
      </c>
      <c r="C53" s="1972" t="s">
        <v>135</v>
      </c>
      <c r="D53" s="822"/>
      <c r="E53" s="2434" t="s">
        <v>720</v>
      </c>
      <c r="F53" s="2573" t="s">
        <v>251</v>
      </c>
      <c r="G53" s="779"/>
      <c r="H53" s="5845" t="s">
        <v>983</v>
      </c>
      <c r="I53" s="5846"/>
      <c r="J53" s="5846"/>
      <c r="K53" s="5846"/>
      <c r="L53" s="5846"/>
      <c r="M53" s="5846"/>
      <c r="N53" s="5847"/>
      <c r="O53" s="779"/>
      <c r="P53" s="2573" t="s">
        <v>251</v>
      </c>
      <c r="Q53" s="779"/>
      <c r="R53" s="779"/>
      <c r="S53" s="779"/>
      <c r="T53" s="779"/>
      <c r="U53" s="779"/>
      <c r="V53" s="2434"/>
      <c r="W53" s="2434"/>
      <c r="X53" s="779"/>
      <c r="Y53" s="779"/>
      <c r="Z53" s="779"/>
      <c r="AA53" s="1631" t="s">
        <v>722</v>
      </c>
      <c r="AB53" s="779"/>
      <c r="AC53" s="779"/>
      <c r="AD53" s="779"/>
      <c r="AE53" s="779"/>
      <c r="AF53" s="779"/>
      <c r="AG53" s="2444" t="s">
        <v>722</v>
      </c>
      <c r="AH53" s="921"/>
      <c r="AI53" s="283"/>
    </row>
    <row r="54" spans="1:35">
      <c r="A54" s="5031"/>
      <c r="B54" s="2268" t="s">
        <v>333</v>
      </c>
      <c r="C54" s="1973" t="s">
        <v>334</v>
      </c>
      <c r="D54" s="2695" t="s">
        <v>722</v>
      </c>
      <c r="E54" s="780"/>
      <c r="F54" s="2634" t="s">
        <v>251</v>
      </c>
      <c r="G54" s="780"/>
      <c r="H54" s="5839" t="s">
        <v>983</v>
      </c>
      <c r="I54" s="5840"/>
      <c r="J54" s="5840"/>
      <c r="K54" s="5840"/>
      <c r="L54" s="5840"/>
      <c r="M54" s="5840"/>
      <c r="N54" s="5841"/>
      <c r="O54" s="780"/>
      <c r="P54" s="2634" t="s">
        <v>251</v>
      </c>
      <c r="Q54" s="780"/>
      <c r="R54" s="780"/>
      <c r="S54" s="780"/>
      <c r="T54" s="780"/>
      <c r="U54" s="780"/>
      <c r="V54" s="2435"/>
      <c r="W54" s="2435"/>
      <c r="X54" s="2435" t="s">
        <v>722</v>
      </c>
      <c r="Y54" s="780"/>
      <c r="Z54" s="780"/>
      <c r="AA54" s="780"/>
      <c r="AB54" s="780"/>
      <c r="AC54" s="780"/>
      <c r="AD54" s="780"/>
      <c r="AE54" s="4419" t="s">
        <v>112</v>
      </c>
      <c r="AF54" s="4468"/>
      <c r="AG54" s="5274"/>
      <c r="AH54" s="921"/>
      <c r="AI54" s="283"/>
    </row>
    <row r="55" spans="1:35" ht="15.75">
      <c r="A55" s="5742" t="s">
        <v>136</v>
      </c>
      <c r="B55" s="2269" t="s">
        <v>77</v>
      </c>
      <c r="C55" s="2213" t="s">
        <v>153</v>
      </c>
      <c r="D55" s="2210"/>
      <c r="E55" s="961"/>
      <c r="F55" s="961"/>
      <c r="G55" s="961"/>
      <c r="H55" s="961"/>
      <c r="I55" s="961"/>
      <c r="J55" s="2433" t="s">
        <v>720</v>
      </c>
      <c r="K55" s="961"/>
      <c r="L55" s="961"/>
      <c r="M55" s="961"/>
      <c r="N55" s="961"/>
      <c r="O55" s="961"/>
      <c r="P55" s="5275" t="s">
        <v>197</v>
      </c>
      <c r="Q55" s="5276"/>
      <c r="R55" s="5276"/>
      <c r="S55" s="5276"/>
      <c r="T55" s="5276"/>
      <c r="U55" s="5276"/>
      <c r="V55" s="5276"/>
      <c r="W55" s="5277"/>
      <c r="X55" s="2433"/>
      <c r="Y55" s="973"/>
      <c r="Z55" s="973"/>
      <c r="AA55" s="2433" t="s">
        <v>720</v>
      </c>
      <c r="AB55" s="973"/>
      <c r="AC55" s="973"/>
      <c r="AD55" s="973"/>
      <c r="AE55" s="2433" t="s">
        <v>720</v>
      </c>
      <c r="AF55" s="973"/>
      <c r="AG55" s="1720"/>
    </row>
    <row r="56" spans="1:35" ht="15.75">
      <c r="A56" s="5403"/>
      <c r="B56" s="1964" t="s">
        <v>142</v>
      </c>
      <c r="C56" s="1947" t="s">
        <v>143</v>
      </c>
      <c r="D56" s="974"/>
      <c r="E56" s="537"/>
      <c r="F56" s="537"/>
      <c r="G56" s="537"/>
      <c r="H56" s="537"/>
      <c r="I56" s="537"/>
      <c r="J56" s="537"/>
      <c r="K56" s="537"/>
      <c r="L56" s="537"/>
      <c r="M56" s="5830" t="s">
        <v>506</v>
      </c>
      <c r="N56" s="5831"/>
      <c r="O56" s="5831"/>
      <c r="P56" s="5831"/>
      <c r="Q56" s="5831"/>
      <c r="R56" s="5831"/>
      <c r="S56" s="5831"/>
      <c r="T56" s="5831"/>
      <c r="U56" s="5831"/>
      <c r="V56" s="5831"/>
      <c r="W56" s="5831"/>
      <c r="X56" s="5831"/>
      <c r="Y56" s="5831"/>
      <c r="Z56" s="5831"/>
      <c r="AA56" s="5831"/>
      <c r="AB56" s="5831"/>
      <c r="AC56" s="5831"/>
      <c r="AD56" s="5831"/>
      <c r="AE56" s="5831"/>
      <c r="AF56" s="5831"/>
      <c r="AG56" s="5832"/>
    </row>
    <row r="57" spans="1:35" ht="15.75">
      <c r="A57" s="5403"/>
      <c r="B57" s="1964" t="s">
        <v>739</v>
      </c>
      <c r="C57" s="1947" t="s">
        <v>740</v>
      </c>
      <c r="D57" s="2631"/>
      <c r="E57" s="966"/>
      <c r="F57" s="966"/>
      <c r="G57" s="966"/>
      <c r="H57" s="966"/>
      <c r="I57" s="966"/>
      <c r="J57" s="966"/>
      <c r="K57" s="966"/>
      <c r="L57" s="966"/>
      <c r="M57" s="966"/>
      <c r="N57" s="966"/>
      <c r="O57" s="966"/>
      <c r="P57" s="966"/>
      <c r="Q57" s="1470" t="s">
        <v>717</v>
      </c>
      <c r="R57" s="966"/>
      <c r="S57" s="966"/>
      <c r="T57" s="2632"/>
      <c r="U57" s="2632"/>
      <c r="V57" s="2632"/>
      <c r="W57" s="2632"/>
      <c r="X57" s="2632"/>
      <c r="Y57" s="5850" t="s">
        <v>251</v>
      </c>
      <c r="Z57" s="5850"/>
      <c r="AA57" s="5851" t="s">
        <v>970</v>
      </c>
      <c r="AB57" s="5851"/>
      <c r="AC57" s="5851"/>
      <c r="AD57" s="5851"/>
      <c r="AE57" s="2718" t="s">
        <v>251</v>
      </c>
      <c r="AF57" s="967"/>
      <c r="AG57" s="2633"/>
    </row>
    <row r="58" spans="1:35">
      <c r="A58" s="4402" t="s">
        <v>144</v>
      </c>
      <c r="B58" s="1203" t="s">
        <v>145</v>
      </c>
      <c r="C58" s="2477" t="s">
        <v>618</v>
      </c>
      <c r="D58" s="970"/>
      <c r="E58" s="799"/>
      <c r="F58" s="1765"/>
      <c r="G58" s="2284" t="s">
        <v>717</v>
      </c>
      <c r="H58" s="799"/>
      <c r="I58" s="1765"/>
      <c r="J58" s="799"/>
      <c r="K58" s="799"/>
      <c r="L58" s="799"/>
      <c r="M58" s="799"/>
      <c r="N58" s="1765"/>
      <c r="O58" s="2349" t="s">
        <v>717</v>
      </c>
      <c r="P58" s="1765"/>
      <c r="Q58" s="1765"/>
      <c r="R58" s="1765"/>
      <c r="S58" s="1765"/>
      <c r="T58" s="1765"/>
      <c r="U58" s="799"/>
      <c r="V58" s="799"/>
      <c r="W58" s="799"/>
      <c r="X58" s="799"/>
      <c r="Y58" s="1765"/>
      <c r="Z58" s="1765"/>
      <c r="AA58" s="1765"/>
      <c r="AB58" s="1765"/>
      <c r="AC58" s="1765"/>
      <c r="AD58" s="4748" t="s">
        <v>984</v>
      </c>
      <c r="AE58" s="5243"/>
      <c r="AF58" s="1765"/>
      <c r="AG58" s="2635"/>
    </row>
    <row r="59" spans="1:35" ht="14.25" customHeight="1">
      <c r="A59" s="4403"/>
      <c r="B59" s="28" t="s">
        <v>145</v>
      </c>
      <c r="C59" s="426" t="s">
        <v>148</v>
      </c>
      <c r="D59" s="2645" t="s">
        <v>720</v>
      </c>
      <c r="E59" s="933"/>
      <c r="F59" s="537"/>
      <c r="G59" s="942"/>
      <c r="H59" s="942"/>
      <c r="I59" s="942"/>
      <c r="J59" s="4333" t="s">
        <v>193</v>
      </c>
      <c r="K59" s="4520"/>
      <c r="L59" s="4520"/>
      <c r="M59" s="4520"/>
      <c r="N59" s="4520"/>
      <c r="O59" s="4520"/>
      <c r="P59" s="4520"/>
      <c r="Q59" s="4520"/>
      <c r="R59" s="4520"/>
      <c r="S59" s="4520"/>
      <c r="T59" s="4520"/>
      <c r="U59" s="5243"/>
      <c r="V59" s="537"/>
      <c r="W59" s="537"/>
      <c r="X59" s="933"/>
      <c r="Y59" s="2"/>
      <c r="Z59" s="2639" t="s">
        <v>722</v>
      </c>
      <c r="AA59" s="2"/>
      <c r="AB59" s="2"/>
      <c r="AC59" s="2"/>
      <c r="AD59" s="2"/>
      <c r="AE59" s="2639" t="s">
        <v>722</v>
      </c>
      <c r="AF59" s="2"/>
      <c r="AG59" s="696"/>
    </row>
    <row r="60" spans="1:35">
      <c r="A60" s="4403"/>
      <c r="B60" s="28" t="s">
        <v>149</v>
      </c>
      <c r="C60" s="38" t="s">
        <v>744</v>
      </c>
      <c r="D60" s="963"/>
      <c r="E60" s="537"/>
      <c r="F60" s="799"/>
      <c r="G60" s="537"/>
      <c r="H60" s="1459" t="s">
        <v>717</v>
      </c>
      <c r="I60" s="799"/>
      <c r="J60" s="537"/>
      <c r="K60" s="537"/>
      <c r="L60" s="537"/>
      <c r="M60" s="537"/>
      <c r="N60" s="799"/>
      <c r="O60" s="536"/>
      <c r="P60" s="799"/>
      <c r="Q60" s="799"/>
      <c r="R60" s="1765"/>
      <c r="S60" s="1765"/>
      <c r="T60" s="1765"/>
      <c r="U60" s="939"/>
      <c r="V60" s="939"/>
      <c r="W60" s="537"/>
      <c r="X60" s="1459" t="s">
        <v>717</v>
      </c>
      <c r="Y60" s="799"/>
      <c r="Z60" s="799"/>
      <c r="AA60" s="799"/>
      <c r="AB60" s="2284" t="s">
        <v>717</v>
      </c>
      <c r="AC60" s="799"/>
      <c r="AD60" s="4748" t="s">
        <v>984</v>
      </c>
      <c r="AE60" s="5243"/>
      <c r="AF60" s="799"/>
      <c r="AG60" s="802"/>
    </row>
    <row r="61" spans="1:35" ht="15.75">
      <c r="A61" s="4404"/>
      <c r="B61" s="1204" t="s">
        <v>149</v>
      </c>
      <c r="C61" s="2478" t="s">
        <v>151</v>
      </c>
      <c r="D61" s="965"/>
      <c r="E61" s="966"/>
      <c r="F61" s="966"/>
      <c r="G61" s="1470"/>
      <c r="H61" s="1470" t="s">
        <v>722</v>
      </c>
      <c r="I61" s="966"/>
      <c r="J61" s="966"/>
      <c r="K61" s="966"/>
      <c r="L61" s="966"/>
      <c r="M61" s="1470" t="s">
        <v>722</v>
      </c>
      <c r="N61" s="2479"/>
      <c r="O61" s="2479"/>
      <c r="P61" s="2479"/>
      <c r="Q61" s="969"/>
      <c r="R61" s="966"/>
      <c r="S61" s="1470" t="s">
        <v>720</v>
      </c>
      <c r="T61" s="966"/>
      <c r="U61" s="2482" t="s">
        <v>964</v>
      </c>
      <c r="V61" s="966"/>
      <c r="W61" s="966"/>
      <c r="X61" s="966"/>
      <c r="Y61" s="966"/>
      <c r="Z61" s="1470"/>
      <c r="AA61" s="966"/>
      <c r="AB61" s="966"/>
      <c r="AC61" s="966"/>
      <c r="AD61" s="966"/>
      <c r="AE61" s="966"/>
      <c r="AF61" s="966"/>
      <c r="AG61" s="2633"/>
    </row>
    <row r="62" spans="1:35" ht="15.75">
      <c r="A62" s="5825" t="s">
        <v>745</v>
      </c>
      <c r="B62" s="2480" t="s">
        <v>392</v>
      </c>
      <c r="C62" s="2481" t="s">
        <v>78</v>
      </c>
      <c r="D62" s="941"/>
      <c r="E62" s="1038"/>
      <c r="F62" s="799"/>
      <c r="G62" s="971"/>
      <c r="H62" s="799"/>
      <c r="I62" s="799"/>
      <c r="J62" s="799"/>
      <c r="K62" s="971"/>
      <c r="L62" s="799"/>
      <c r="M62" s="799"/>
      <c r="N62" s="3628" t="s">
        <v>251</v>
      </c>
      <c r="O62" s="5838" t="s">
        <v>963</v>
      </c>
      <c r="P62" s="5838"/>
      <c r="Q62" s="3628" t="s">
        <v>251</v>
      </c>
      <c r="R62" s="846"/>
      <c r="S62" s="776"/>
      <c r="T62" s="941"/>
      <c r="U62" s="2482" t="s">
        <v>964</v>
      </c>
      <c r="V62" s="799"/>
      <c r="W62" s="799"/>
      <c r="X62" s="799"/>
      <c r="Y62" s="799"/>
      <c r="Z62" s="799"/>
      <c r="AA62" s="799"/>
      <c r="AB62" s="799"/>
      <c r="AC62" s="799"/>
      <c r="AD62" s="799"/>
      <c r="AE62" s="799"/>
      <c r="AF62" s="799"/>
      <c r="AG62" s="802"/>
    </row>
    <row r="63" spans="1:35" ht="15.75">
      <c r="A63" s="5826"/>
      <c r="B63" s="522" t="s">
        <v>95</v>
      </c>
      <c r="C63" s="927" t="s">
        <v>620</v>
      </c>
      <c r="D63" s="942"/>
      <c r="E63" s="933"/>
      <c r="F63" s="799"/>
      <c r="G63" s="971"/>
      <c r="H63" s="799"/>
      <c r="I63" s="799"/>
      <c r="J63" s="1476"/>
      <c r="K63" s="2434" t="s">
        <v>720</v>
      </c>
      <c r="L63" s="824"/>
      <c r="M63" s="2639"/>
      <c r="N63" s="3628" t="s">
        <v>251</v>
      </c>
      <c r="O63" s="5838" t="s">
        <v>963</v>
      </c>
      <c r="P63" s="5838"/>
      <c r="Q63" s="3628" t="s">
        <v>251</v>
      </c>
      <c r="R63" s="535"/>
      <c r="S63" s="2"/>
      <c r="U63" s="1493" t="s">
        <v>964</v>
      </c>
      <c r="W63" s="2639" t="s">
        <v>720</v>
      </c>
      <c r="X63" s="380"/>
      <c r="Y63" s="5828" t="s">
        <v>251</v>
      </c>
      <c r="Z63" s="5828"/>
      <c r="AA63" s="4623" t="s">
        <v>63</v>
      </c>
      <c r="AB63" s="4623"/>
      <c r="AC63" s="4623"/>
      <c r="AD63" s="4623"/>
      <c r="AE63" s="4623"/>
      <c r="AF63" s="5426" t="s">
        <v>251</v>
      </c>
      <c r="AG63" s="5833"/>
    </row>
    <row r="64" spans="1:35" ht="15.75">
      <c r="A64" s="5826"/>
      <c r="B64" s="522" t="s">
        <v>81</v>
      </c>
      <c r="C64" s="927" t="s">
        <v>396</v>
      </c>
      <c r="D64" s="942"/>
      <c r="E64" s="537"/>
      <c r="F64" s="799"/>
      <c r="G64" s="971"/>
      <c r="H64" s="799"/>
      <c r="I64" s="2284" t="s">
        <v>720</v>
      </c>
      <c r="J64" s="301"/>
      <c r="K64" s="511"/>
      <c r="L64" s="537"/>
      <c r="M64" s="511"/>
      <c r="N64" s="957"/>
      <c r="O64" s="5836" t="s">
        <v>985</v>
      </c>
      <c r="P64" s="5837"/>
      <c r="Q64" s="511"/>
      <c r="R64" s="2437" t="s">
        <v>720</v>
      </c>
      <c r="S64" s="2"/>
      <c r="T64" s="942"/>
      <c r="U64" s="1493" t="s">
        <v>964</v>
      </c>
      <c r="V64" s="939"/>
      <c r="W64" s="537"/>
      <c r="X64" s="933"/>
      <c r="Y64" s="4822" t="s">
        <v>251</v>
      </c>
      <c r="Z64" s="4822"/>
      <c r="AA64" s="4623" t="s">
        <v>63</v>
      </c>
      <c r="AB64" s="4623"/>
      <c r="AC64" s="4623"/>
      <c r="AD64" s="4623"/>
      <c r="AE64" s="4623"/>
      <c r="AF64" s="5426" t="s">
        <v>251</v>
      </c>
      <c r="AG64" s="5833"/>
    </row>
    <row r="65" spans="1:33" ht="15.75">
      <c r="A65" s="5826"/>
      <c r="B65" s="590" t="s">
        <v>127</v>
      </c>
      <c r="C65" s="2246" t="s">
        <v>128</v>
      </c>
      <c r="D65" s="942"/>
      <c r="E65" s="537"/>
      <c r="F65" s="799"/>
      <c r="G65" s="971"/>
      <c r="H65" s="799"/>
      <c r="I65" s="799"/>
      <c r="J65" s="301"/>
      <c r="K65" s="2434" t="s">
        <v>722</v>
      </c>
      <c r="L65" s="2"/>
      <c r="M65" s="2"/>
      <c r="N65" s="3628" t="s">
        <v>251</v>
      </c>
      <c r="O65" s="5838" t="s">
        <v>963</v>
      </c>
      <c r="P65" s="5838"/>
      <c r="Q65" s="3628" t="s">
        <v>251</v>
      </c>
      <c r="R65" s="590"/>
      <c r="S65" s="323"/>
      <c r="T65" s="2019"/>
      <c r="U65" s="2665" t="s">
        <v>964</v>
      </c>
      <c r="V65" s="1459" t="s">
        <v>722</v>
      </c>
      <c r="W65" s="2019"/>
      <c r="X65" s="1470"/>
      <c r="Y65" s="4822" t="s">
        <v>251</v>
      </c>
      <c r="Z65" s="4822"/>
      <c r="AA65" s="4623" t="s">
        <v>63</v>
      </c>
      <c r="AB65" s="4623"/>
      <c r="AC65" s="4623"/>
      <c r="AD65" s="4623"/>
      <c r="AE65" s="4623"/>
      <c r="AF65" s="5426" t="s">
        <v>251</v>
      </c>
      <c r="AG65" s="5833"/>
    </row>
    <row r="66" spans="1:33" ht="15.75">
      <c r="A66" s="5827"/>
      <c r="B66" s="2474" t="s">
        <v>90</v>
      </c>
      <c r="C66" s="2476" t="s">
        <v>660</v>
      </c>
      <c r="D66" s="2019"/>
      <c r="E66" s="939"/>
      <c r="F66" s="799"/>
      <c r="G66" s="971"/>
      <c r="H66" s="799"/>
      <c r="I66" s="799"/>
      <c r="J66" s="939"/>
      <c r="K66" s="939"/>
      <c r="L66" s="2640" t="s">
        <v>722</v>
      </c>
      <c r="M66" s="323"/>
      <c r="N66" s="323"/>
      <c r="O66" s="5836" t="s">
        <v>985</v>
      </c>
      <c r="P66" s="5837"/>
      <c r="Q66" s="323"/>
      <c r="R66" s="2474"/>
      <c r="S66" s="323"/>
      <c r="T66" s="2019"/>
      <c r="U66" s="2475" t="s">
        <v>964</v>
      </c>
      <c r="V66" s="1765"/>
      <c r="W66" s="2640" t="s">
        <v>722</v>
      </c>
      <c r="X66" s="323"/>
      <c r="Y66" s="5828" t="s">
        <v>251</v>
      </c>
      <c r="Z66" s="5828"/>
      <c r="AA66" s="5829" t="s">
        <v>63</v>
      </c>
      <c r="AB66" s="5829"/>
      <c r="AC66" s="5829"/>
      <c r="AD66" s="5829"/>
      <c r="AE66" s="5829"/>
      <c r="AF66" s="5834" t="s">
        <v>251</v>
      </c>
      <c r="AG66" s="5835"/>
    </row>
    <row r="67" spans="1:33" ht="15.75">
      <c r="A67" s="5808" t="s">
        <v>751</v>
      </c>
      <c r="B67" s="1447" t="s">
        <v>95</v>
      </c>
      <c r="C67" s="1447" t="s">
        <v>303</v>
      </c>
      <c r="D67" s="2018"/>
      <c r="E67" s="2016"/>
      <c r="F67" s="2016"/>
      <c r="G67" s="2638"/>
      <c r="H67" s="2638"/>
      <c r="I67" s="2638"/>
      <c r="J67" s="2558"/>
      <c r="K67" s="2016"/>
      <c r="L67" s="2016"/>
      <c r="M67" s="2016"/>
      <c r="N67" s="2638" t="s">
        <v>722</v>
      </c>
      <c r="O67" s="787"/>
      <c r="P67" s="2016"/>
      <c r="Q67" s="2016"/>
      <c r="R67" s="2559"/>
      <c r="S67" s="2016"/>
      <c r="T67" s="2641" t="s">
        <v>722</v>
      </c>
      <c r="U67" s="2016"/>
      <c r="V67" s="2016"/>
      <c r="W67" s="2016"/>
      <c r="X67" s="2016"/>
      <c r="Y67" s="2016"/>
      <c r="Z67" s="2573" t="s">
        <v>251</v>
      </c>
      <c r="AA67" s="4333" t="s">
        <v>986</v>
      </c>
      <c r="AB67" s="4411"/>
      <c r="AC67" s="4411"/>
      <c r="AD67" s="4411"/>
      <c r="AE67" s="4411"/>
      <c r="AF67" s="4411"/>
      <c r="AG67" s="4559"/>
    </row>
    <row r="68" spans="1:33" ht="18" customHeight="1">
      <c r="A68" s="5824"/>
      <c r="B68" s="1393" t="s">
        <v>155</v>
      </c>
      <c r="C68" s="2557" t="s">
        <v>532</v>
      </c>
      <c r="D68" s="2560" t="s">
        <v>251</v>
      </c>
      <c r="E68" s="4443" t="s">
        <v>987</v>
      </c>
      <c r="F68" s="4443"/>
      <c r="G68" s="4443"/>
      <c r="H68" s="4443"/>
      <c r="I68" s="4443"/>
      <c r="J68" s="4443"/>
      <c r="K68" s="4443"/>
      <c r="L68" s="4443"/>
      <c r="M68" s="4443"/>
      <c r="N68" s="4443"/>
      <c r="O68" s="4443"/>
      <c r="P68" s="4443"/>
      <c r="Q68" s="4443"/>
      <c r="R68" s="4443"/>
      <c r="S68" s="4443"/>
      <c r="T68" s="4443"/>
      <c r="U68" s="4443"/>
      <c r="V68" s="4443"/>
      <c r="W68" s="4443"/>
      <c r="X68" s="2560" t="s">
        <v>251</v>
      </c>
      <c r="Y68" s="995"/>
      <c r="Z68" s="966"/>
      <c r="AA68" s="966"/>
      <c r="AB68" s="966"/>
      <c r="AC68" s="966"/>
      <c r="AD68" s="1470" t="s">
        <v>722</v>
      </c>
      <c r="AE68" s="966"/>
      <c r="AF68" s="966"/>
      <c r="AG68" s="2564" t="s">
        <v>251</v>
      </c>
    </row>
    <row r="82" spans="20:20">
      <c r="T82" s="922"/>
    </row>
  </sheetData>
  <mergeCells count="101">
    <mergeCell ref="N32:Q32"/>
    <mergeCell ref="H17:I17"/>
    <mergeCell ref="D46:M46"/>
    <mergeCell ref="J39:S39"/>
    <mergeCell ref="J51:S51"/>
    <mergeCell ref="AF49:AG49"/>
    <mergeCell ref="T49:AE49"/>
    <mergeCell ref="Y34:Z34"/>
    <mergeCell ref="AE35:AG35"/>
    <mergeCell ref="AA34:AD34"/>
    <mergeCell ref="X35:Y35"/>
    <mergeCell ref="K45:P45"/>
    <mergeCell ref="P48:AG48"/>
    <mergeCell ref="Q50:T50"/>
    <mergeCell ref="U50:V50"/>
    <mergeCell ref="N44:T44"/>
    <mergeCell ref="A11:C11"/>
    <mergeCell ref="A12:C12"/>
    <mergeCell ref="A13:C13"/>
    <mergeCell ref="A20:C20"/>
    <mergeCell ref="A14:C14"/>
    <mergeCell ref="A15:C15"/>
    <mergeCell ref="A17:C17"/>
    <mergeCell ref="A18:C18"/>
    <mergeCell ref="A19:C19"/>
    <mergeCell ref="A16:C16"/>
    <mergeCell ref="A21:C21"/>
    <mergeCell ref="A29:A31"/>
    <mergeCell ref="A32:A37"/>
    <mergeCell ref="W31:X31"/>
    <mergeCell ref="O12:P12"/>
    <mergeCell ref="F41:X41"/>
    <mergeCell ref="G32:I32"/>
    <mergeCell ref="D42:V42"/>
    <mergeCell ref="O27:AG27"/>
    <mergeCell ref="U26:AG26"/>
    <mergeCell ref="Y24:Z24"/>
    <mergeCell ref="E24:P24"/>
    <mergeCell ref="AA13:AE13"/>
    <mergeCell ref="A27:A28"/>
    <mergeCell ref="A22:C22"/>
    <mergeCell ref="T23:U23"/>
    <mergeCell ref="M20:X20"/>
    <mergeCell ref="AA20:AG20"/>
    <mergeCell ref="G30:K30"/>
    <mergeCell ref="AA24:AE24"/>
    <mergeCell ref="AF24:AG24"/>
    <mergeCell ref="AA23:AC23"/>
    <mergeCell ref="Y41:AF41"/>
    <mergeCell ref="M36:Z36"/>
    <mergeCell ref="A10:C10"/>
    <mergeCell ref="A1:C1"/>
    <mergeCell ref="D1:AG1"/>
    <mergeCell ref="A2:C2"/>
    <mergeCell ref="A3:C3"/>
    <mergeCell ref="A4:C4"/>
    <mergeCell ref="A6:C6"/>
    <mergeCell ref="A7:C7"/>
    <mergeCell ref="A5:C5"/>
    <mergeCell ref="V4:W4"/>
    <mergeCell ref="A9:C9"/>
    <mergeCell ref="A8:C8"/>
    <mergeCell ref="AF64:AG64"/>
    <mergeCell ref="O64:P64"/>
    <mergeCell ref="O63:P63"/>
    <mergeCell ref="D50:P50"/>
    <mergeCell ref="Y64:Z64"/>
    <mergeCell ref="J59:U59"/>
    <mergeCell ref="D45:J45"/>
    <mergeCell ref="N49:R49"/>
    <mergeCell ref="H53:N53"/>
    <mergeCell ref="N46:V46"/>
    <mergeCell ref="AD58:AE58"/>
    <mergeCell ref="AD60:AE60"/>
    <mergeCell ref="Y57:Z57"/>
    <mergeCell ref="AA57:AD57"/>
    <mergeCell ref="O62:P62"/>
    <mergeCell ref="A67:A68"/>
    <mergeCell ref="A62:A66"/>
    <mergeCell ref="A38:A54"/>
    <mergeCell ref="A55:A57"/>
    <mergeCell ref="A58:A61"/>
    <mergeCell ref="Y66:Z66"/>
    <mergeCell ref="AA66:AE66"/>
    <mergeCell ref="E68:W68"/>
    <mergeCell ref="M56:AG56"/>
    <mergeCell ref="AE54:AG54"/>
    <mergeCell ref="AF63:AG63"/>
    <mergeCell ref="AA63:AE63"/>
    <mergeCell ref="Y63:Z63"/>
    <mergeCell ref="AA64:AE64"/>
    <mergeCell ref="AA67:AG67"/>
    <mergeCell ref="Y65:Z65"/>
    <mergeCell ref="AA65:AE65"/>
    <mergeCell ref="AF65:AG65"/>
    <mergeCell ref="AF66:AG66"/>
    <mergeCell ref="P55:W55"/>
    <mergeCell ref="O66:P66"/>
    <mergeCell ref="O65:P65"/>
    <mergeCell ref="H54:N54"/>
    <mergeCell ref="D41:E41"/>
  </mergeCells>
  <pageMargins left="0.7" right="0.7" top="0.75" bottom="0.75" header="0.3" footer="0.3"/>
  <pageSetup scale="4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0B51-0554-4488-A061-685FFBC81B39}">
  <sheetPr>
    <pageSetUpPr fitToPage="1"/>
  </sheetPr>
  <dimension ref="A1:AH71"/>
  <sheetViews>
    <sheetView showGridLines="0" workbookViewId="0">
      <pane ySplit="1" topLeftCell="A68" activePane="bottomLeft" state="frozen"/>
      <selection pane="bottomLeft" activeCell="T68" sqref="T68:AA68"/>
    </sheetView>
  </sheetViews>
  <sheetFormatPr defaultRowHeight="15"/>
  <cols>
    <col min="3" max="3" width="11.42578125" bestFit="1" customWidth="1"/>
  </cols>
  <sheetData>
    <row r="1" spans="1:34">
      <c r="A1" s="5065" t="s">
        <v>29</v>
      </c>
      <c r="B1" s="5066"/>
      <c r="C1" s="5066"/>
      <c r="D1" s="5891" t="s">
        <v>988</v>
      </c>
      <c r="E1" s="5892"/>
      <c r="F1" s="5892"/>
      <c r="G1" s="5892"/>
      <c r="H1" s="5892"/>
      <c r="I1" s="5892"/>
      <c r="J1" s="5892"/>
      <c r="K1" s="5892"/>
      <c r="L1" s="5892"/>
      <c r="M1" s="5892"/>
      <c r="N1" s="5892"/>
      <c r="O1" s="5892"/>
      <c r="P1" s="5892"/>
      <c r="Q1" s="5892"/>
      <c r="R1" s="5892"/>
      <c r="S1" s="5892"/>
      <c r="T1" s="5892"/>
      <c r="U1" s="5892"/>
      <c r="V1" s="5892"/>
      <c r="W1" s="5892"/>
      <c r="X1" s="5892"/>
      <c r="Y1" s="5892"/>
      <c r="Z1" s="5892"/>
      <c r="AA1" s="5892"/>
      <c r="AB1" s="5892"/>
      <c r="AC1" s="5892"/>
      <c r="AD1" s="5892"/>
      <c r="AE1" s="5892"/>
      <c r="AF1" s="5892"/>
      <c r="AG1" s="5892"/>
      <c r="AH1" s="5893"/>
    </row>
    <row r="2" spans="1:34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5070" t="s">
        <v>32</v>
      </c>
      <c r="B3" s="4378"/>
      <c r="C3" s="4378"/>
      <c r="D3" s="3703" t="s">
        <v>33</v>
      </c>
      <c r="E3" s="3703" t="s">
        <v>35</v>
      </c>
      <c r="F3" s="19" t="s">
        <v>36</v>
      </c>
      <c r="G3" s="19" t="s">
        <v>36</v>
      </c>
      <c r="H3" s="3703" t="s">
        <v>37</v>
      </c>
      <c r="I3" s="3703" t="s">
        <v>33</v>
      </c>
      <c r="J3" s="3703" t="s">
        <v>34</v>
      </c>
      <c r="K3" s="3703" t="s">
        <v>33</v>
      </c>
      <c r="L3" s="3703" t="s">
        <v>35</v>
      </c>
      <c r="M3" s="19" t="s">
        <v>36</v>
      </c>
      <c r="N3" s="19" t="s">
        <v>36</v>
      </c>
      <c r="O3" s="3703" t="s">
        <v>37</v>
      </c>
      <c r="P3" s="3703" t="s">
        <v>33</v>
      </c>
      <c r="Q3" s="3703" t="s">
        <v>34</v>
      </c>
      <c r="R3" s="3703" t="s">
        <v>33</v>
      </c>
      <c r="S3" s="3703" t="s">
        <v>35</v>
      </c>
      <c r="T3" s="19" t="s">
        <v>36</v>
      </c>
      <c r="U3" s="19" t="s">
        <v>36</v>
      </c>
      <c r="V3" s="3703" t="s">
        <v>37</v>
      </c>
      <c r="W3" s="3703" t="s">
        <v>33</v>
      </c>
      <c r="X3" s="3703" t="s">
        <v>34</v>
      </c>
      <c r="Y3" s="40" t="s">
        <v>33</v>
      </c>
      <c r="Z3" s="3703" t="s">
        <v>35</v>
      </c>
      <c r="AA3" s="19" t="s">
        <v>36</v>
      </c>
      <c r="AB3" s="19" t="s">
        <v>36</v>
      </c>
      <c r="AC3" s="3703" t="s">
        <v>37</v>
      </c>
      <c r="AD3" s="41" t="s">
        <v>33</v>
      </c>
      <c r="AE3" s="41" t="s">
        <v>34</v>
      </c>
      <c r="AF3" s="41" t="s">
        <v>33</v>
      </c>
      <c r="AG3" s="41" t="s">
        <v>35</v>
      </c>
      <c r="AH3" s="1928" t="s">
        <v>36</v>
      </c>
    </row>
    <row r="4" spans="1:34" ht="15.75">
      <c r="A4" s="4831" t="s">
        <v>38</v>
      </c>
      <c r="B4" s="4250"/>
      <c r="C4" s="4250"/>
      <c r="D4" s="1001" t="s">
        <v>26</v>
      </c>
      <c r="E4" s="1002"/>
      <c r="F4" s="1002"/>
      <c r="G4" s="1002"/>
      <c r="H4" s="1002"/>
      <c r="I4" s="1002"/>
      <c r="J4" s="1012"/>
      <c r="K4" s="1002"/>
      <c r="L4" s="1002"/>
      <c r="M4" s="1002"/>
      <c r="N4" s="1002"/>
      <c r="O4" s="1002"/>
      <c r="P4" s="1002"/>
      <c r="Q4" s="1002"/>
      <c r="R4" s="1002"/>
      <c r="S4" s="1002"/>
      <c r="T4" s="1002"/>
      <c r="U4" s="1002"/>
      <c r="V4" s="1002"/>
      <c r="W4" s="1002"/>
      <c r="X4" s="1002"/>
      <c r="Y4" s="1002"/>
      <c r="Z4" s="1017"/>
      <c r="AA4" s="363"/>
      <c r="AB4" s="363"/>
      <c r="AC4" s="363"/>
      <c r="AD4" s="363"/>
      <c r="AE4" s="363"/>
      <c r="AF4" s="363"/>
      <c r="AG4" s="363"/>
      <c r="AH4" s="2324" t="s">
        <v>534</v>
      </c>
    </row>
    <row r="5" spans="1:34">
      <c r="A5" s="4061" t="s">
        <v>165</v>
      </c>
      <c r="B5" s="4062"/>
      <c r="C5" s="4062"/>
      <c r="D5" s="860"/>
      <c r="E5" s="363"/>
      <c r="F5" s="363"/>
      <c r="G5" s="363"/>
      <c r="H5" s="363"/>
      <c r="I5" s="363"/>
      <c r="J5" s="402"/>
      <c r="K5" s="370"/>
      <c r="L5" s="370"/>
      <c r="M5" s="370"/>
      <c r="N5" s="370"/>
      <c r="O5" s="363"/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437"/>
      <c r="AA5" s="363"/>
      <c r="AB5" s="363"/>
      <c r="AC5" s="363"/>
      <c r="AD5" s="363"/>
      <c r="AE5" s="363"/>
      <c r="AF5" s="363"/>
      <c r="AG5" s="363"/>
      <c r="AH5" s="865"/>
    </row>
    <row r="6" spans="1:34">
      <c r="A6" s="4265" t="s">
        <v>407</v>
      </c>
      <c r="B6" s="4266"/>
      <c r="C6" s="4266"/>
      <c r="D6" s="860"/>
      <c r="E6" s="363"/>
      <c r="F6" s="363"/>
      <c r="G6" s="363"/>
      <c r="H6" s="363"/>
      <c r="I6" s="363"/>
      <c r="J6" s="2821"/>
      <c r="K6" s="2"/>
      <c r="L6" s="2"/>
      <c r="M6" s="2"/>
      <c r="N6" s="2"/>
      <c r="O6" s="713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672"/>
      <c r="AA6" s="363"/>
      <c r="AB6" s="363"/>
      <c r="AC6" s="363"/>
      <c r="AD6" s="363"/>
      <c r="AE6" s="363"/>
      <c r="AF6" s="363"/>
      <c r="AG6" s="363"/>
      <c r="AH6" s="1004"/>
    </row>
    <row r="7" spans="1:34">
      <c r="A7" s="4533" t="s">
        <v>262</v>
      </c>
      <c r="B7" s="4533"/>
      <c r="C7" s="4533"/>
      <c r="D7" s="860"/>
      <c r="E7" s="363"/>
      <c r="F7" s="363"/>
      <c r="G7" s="363"/>
      <c r="H7" s="363"/>
      <c r="I7" s="363"/>
      <c r="J7" s="402"/>
      <c r="K7" s="371"/>
      <c r="L7" s="371"/>
      <c r="M7" s="371"/>
      <c r="N7" s="371"/>
      <c r="O7" s="363"/>
      <c r="P7" s="363"/>
      <c r="Q7" s="363"/>
      <c r="R7" s="363"/>
      <c r="S7" s="363"/>
      <c r="T7" s="363"/>
      <c r="U7" s="363"/>
      <c r="V7" s="363"/>
      <c r="W7" s="363"/>
      <c r="X7" s="363"/>
      <c r="Y7" s="363"/>
      <c r="Z7" s="437"/>
      <c r="AA7" s="363"/>
      <c r="AB7" s="363"/>
      <c r="AC7" s="363"/>
      <c r="AD7" s="363"/>
      <c r="AE7" s="363"/>
      <c r="AF7" s="363"/>
      <c r="AG7" s="363"/>
      <c r="AH7" s="865"/>
    </row>
    <row r="8" spans="1:34">
      <c r="A8" s="5289" t="s">
        <v>702</v>
      </c>
      <c r="B8" s="5290"/>
      <c r="C8" s="5291"/>
      <c r="D8" s="860"/>
      <c r="E8" s="363"/>
      <c r="F8" s="363"/>
      <c r="G8" s="363"/>
      <c r="H8" s="363"/>
      <c r="I8" s="363"/>
      <c r="J8" s="714"/>
      <c r="K8" s="370"/>
      <c r="L8" s="370"/>
      <c r="M8" s="370"/>
      <c r="N8" s="370"/>
      <c r="O8" s="370"/>
      <c r="P8" s="370"/>
      <c r="Q8" s="370"/>
      <c r="R8" s="370"/>
      <c r="S8" s="370"/>
      <c r="T8" s="370"/>
      <c r="U8" s="370"/>
      <c r="V8" s="370"/>
      <c r="W8" s="370"/>
      <c r="X8" s="370"/>
      <c r="Y8" s="370"/>
      <c r="Z8" s="671"/>
      <c r="AA8" s="363"/>
      <c r="AB8" s="363"/>
      <c r="AC8" s="363"/>
      <c r="AD8" s="363"/>
      <c r="AE8" s="363"/>
      <c r="AF8" s="363"/>
      <c r="AG8" s="363"/>
      <c r="AH8" s="1006"/>
    </row>
    <row r="9" spans="1:34">
      <c r="A9" s="4391" t="s">
        <v>225</v>
      </c>
      <c r="B9" s="4391"/>
      <c r="C9" s="4391"/>
      <c r="D9" s="860"/>
      <c r="E9" s="363"/>
      <c r="F9" s="363"/>
      <c r="G9" s="363"/>
      <c r="H9" s="363"/>
      <c r="I9" s="363"/>
      <c r="J9" s="714"/>
      <c r="K9" s="370"/>
      <c r="L9" s="370"/>
      <c r="M9" s="370"/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671"/>
      <c r="AA9" s="363"/>
      <c r="AB9" s="363"/>
      <c r="AC9" s="363"/>
      <c r="AD9" s="363"/>
      <c r="AE9" s="363"/>
      <c r="AF9" s="363"/>
      <c r="AG9" s="363"/>
      <c r="AH9" s="1006"/>
    </row>
    <row r="10" spans="1:34">
      <c r="A10" s="4381" t="s">
        <v>272</v>
      </c>
      <c r="B10" s="4382"/>
      <c r="C10" s="4382"/>
      <c r="D10" s="860"/>
      <c r="E10" s="363"/>
      <c r="F10" s="363"/>
      <c r="G10" s="363"/>
      <c r="H10" s="2399" t="s">
        <v>704</v>
      </c>
      <c r="I10" s="363"/>
      <c r="J10" s="402"/>
      <c r="K10" s="363"/>
      <c r="L10" s="363"/>
      <c r="M10" s="363"/>
      <c r="N10" s="363"/>
      <c r="O10" s="363"/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437"/>
      <c r="AA10" s="363"/>
      <c r="AB10" s="363"/>
      <c r="AC10" s="363"/>
      <c r="AD10" s="363"/>
      <c r="AE10" s="363"/>
      <c r="AF10" s="363"/>
      <c r="AG10" s="363"/>
      <c r="AH10" s="865"/>
    </row>
    <row r="11" spans="1:34">
      <c r="A11" s="4380" t="s">
        <v>265</v>
      </c>
      <c r="B11" s="4532"/>
      <c r="C11" s="4532"/>
      <c r="D11" s="860"/>
      <c r="E11" s="363"/>
      <c r="F11" s="363"/>
      <c r="G11" s="363"/>
      <c r="H11" s="363"/>
      <c r="I11" s="363"/>
      <c r="J11" s="713"/>
      <c r="K11" s="438"/>
      <c r="L11" s="438"/>
      <c r="M11" s="438"/>
      <c r="N11" s="438"/>
      <c r="O11" s="438"/>
      <c r="P11" s="438"/>
      <c r="Q11" s="438"/>
      <c r="R11" s="438"/>
      <c r="S11" s="438"/>
      <c r="T11" s="438"/>
      <c r="U11" s="438"/>
      <c r="V11" s="438"/>
      <c r="W11" s="438"/>
      <c r="X11" s="438"/>
      <c r="Y11" s="438"/>
      <c r="Z11" s="672"/>
      <c r="AA11" s="363"/>
      <c r="AB11" s="363"/>
      <c r="AC11" s="363"/>
      <c r="AD11" s="363"/>
      <c r="AE11" s="363"/>
      <c r="AF11" s="363"/>
      <c r="AG11" s="363"/>
      <c r="AH11" s="1004"/>
    </row>
    <row r="12" spans="1:34" ht="15.75" customHeight="1">
      <c r="A12" s="4583" t="s">
        <v>60</v>
      </c>
      <c r="B12" s="5894"/>
      <c r="C12" s="5894"/>
      <c r="D12" s="860"/>
      <c r="E12" s="363"/>
      <c r="F12" s="363"/>
      <c r="G12" s="363"/>
      <c r="H12" s="363"/>
      <c r="I12" s="363"/>
      <c r="J12" s="714"/>
      <c r="K12" s="370"/>
      <c r="L12" s="370"/>
      <c r="M12" s="370"/>
      <c r="N12" s="370"/>
      <c r="O12" s="370"/>
      <c r="P12" s="370"/>
      <c r="Q12" s="2720" t="s">
        <v>989</v>
      </c>
      <c r="R12" s="370"/>
      <c r="S12" s="370"/>
      <c r="T12" s="370"/>
      <c r="U12" s="370"/>
      <c r="V12" s="370"/>
      <c r="W12" s="370"/>
      <c r="X12" s="370"/>
      <c r="Y12" s="370"/>
      <c r="Z12" s="671"/>
      <c r="AA12" s="363"/>
      <c r="AB12" s="363"/>
      <c r="AC12" s="363"/>
      <c r="AD12" s="363"/>
      <c r="AE12" s="363"/>
      <c r="AF12" s="363"/>
      <c r="AG12" s="363"/>
      <c r="AH12" s="1006"/>
    </row>
    <row r="13" spans="1:34">
      <c r="A13" s="4622" t="s">
        <v>63</v>
      </c>
      <c r="B13" s="4623"/>
      <c r="C13" s="4766"/>
      <c r="D13" s="860"/>
      <c r="E13" s="363"/>
      <c r="F13" s="363"/>
      <c r="G13" s="363"/>
      <c r="H13" s="363"/>
      <c r="I13" s="363"/>
      <c r="J13" s="402"/>
      <c r="K13" s="363"/>
      <c r="L13" s="363"/>
      <c r="M13" s="370"/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671"/>
      <c r="AA13" s="363"/>
      <c r="AB13" s="363"/>
      <c r="AC13" s="363"/>
      <c r="AD13" s="363"/>
      <c r="AE13" s="363"/>
      <c r="AF13" s="363"/>
      <c r="AG13" s="363"/>
      <c r="AH13" s="1006"/>
    </row>
    <row r="14" spans="1:34">
      <c r="A14" s="5895" t="s">
        <v>990</v>
      </c>
      <c r="B14" s="5552"/>
      <c r="C14" s="5896"/>
      <c r="D14" s="860"/>
      <c r="E14" s="363"/>
      <c r="F14" s="363"/>
      <c r="G14" s="363"/>
      <c r="H14" s="363"/>
      <c r="I14" s="363"/>
      <c r="J14" s="402"/>
      <c r="K14" s="363"/>
      <c r="L14" s="437"/>
      <c r="M14" s="363"/>
      <c r="N14" s="363"/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402"/>
      <c r="AB14" s="363"/>
      <c r="AC14" s="5901" t="s">
        <v>991</v>
      </c>
      <c r="AD14" s="5902"/>
      <c r="AE14" s="5902"/>
      <c r="AF14" s="5902"/>
      <c r="AG14" s="5902"/>
      <c r="AH14" s="5903"/>
    </row>
    <row r="15" spans="1:34">
      <c r="A15" s="5288" t="s">
        <v>54</v>
      </c>
      <c r="B15" s="4535"/>
      <c r="C15" s="4535"/>
      <c r="D15" s="860"/>
      <c r="E15" s="363"/>
      <c r="F15" s="363"/>
      <c r="G15" s="363"/>
      <c r="H15" s="363"/>
      <c r="I15" s="363"/>
      <c r="J15" s="48"/>
      <c r="K15" s="48"/>
      <c r="L15" s="742"/>
      <c r="M15" s="363"/>
      <c r="N15" s="363"/>
      <c r="O15" s="363"/>
      <c r="P15" s="363"/>
      <c r="Q15" s="363"/>
      <c r="R15" s="363"/>
      <c r="S15" s="363"/>
      <c r="T15" s="363"/>
      <c r="U15" s="363"/>
      <c r="V15" s="363"/>
      <c r="W15" s="363"/>
      <c r="X15" s="363"/>
      <c r="Y15" s="363"/>
      <c r="Z15" s="363"/>
      <c r="AA15" s="402"/>
      <c r="AB15" s="363"/>
      <c r="AC15" s="363"/>
      <c r="AD15" s="363"/>
      <c r="AE15" s="363"/>
      <c r="AF15" s="363"/>
      <c r="AG15" s="437"/>
      <c r="AH15" s="863"/>
    </row>
    <row r="16" spans="1:34">
      <c r="A16" s="5033" t="s">
        <v>365</v>
      </c>
      <c r="B16" s="4360"/>
      <c r="C16" s="4360"/>
      <c r="D16" s="860"/>
      <c r="E16" s="363"/>
      <c r="F16" s="363"/>
      <c r="G16" s="363"/>
      <c r="H16" s="363"/>
      <c r="I16" s="363"/>
      <c r="J16" s="48"/>
      <c r="K16" s="48"/>
      <c r="L16" s="48"/>
      <c r="M16" s="438"/>
      <c r="N16" s="438"/>
      <c r="O16" s="438"/>
      <c r="P16" s="438"/>
      <c r="Q16" s="438"/>
      <c r="R16" s="438"/>
      <c r="S16" s="438"/>
      <c r="T16" s="438"/>
      <c r="U16" s="438"/>
      <c r="V16" s="438"/>
      <c r="W16" s="438"/>
      <c r="X16" s="438"/>
      <c r="Y16" s="438"/>
      <c r="Z16" s="672"/>
      <c r="AA16" s="363"/>
      <c r="AB16" s="363"/>
      <c r="AC16" s="363"/>
      <c r="AD16" s="363"/>
      <c r="AE16" s="363"/>
      <c r="AF16" s="363"/>
      <c r="AG16" s="363"/>
      <c r="AH16" s="1004"/>
    </row>
    <row r="17" spans="1:34" ht="15" customHeight="1">
      <c r="A17" s="5041" t="s">
        <v>705</v>
      </c>
      <c r="B17" s="4763"/>
      <c r="C17" s="4764"/>
      <c r="D17" s="860"/>
      <c r="E17" s="363"/>
      <c r="F17" s="363"/>
      <c r="G17" s="363"/>
      <c r="H17" s="363"/>
      <c r="I17" s="363"/>
      <c r="J17" s="48"/>
      <c r="K17" s="363"/>
      <c r="L17" s="363"/>
      <c r="M17" s="363"/>
      <c r="N17" s="363"/>
      <c r="O17" s="370"/>
      <c r="P17" s="370"/>
      <c r="Q17" s="370"/>
      <c r="R17" s="370"/>
      <c r="S17" s="370"/>
      <c r="T17" s="363"/>
      <c r="U17" s="363"/>
      <c r="V17" s="370"/>
      <c r="W17" s="370"/>
      <c r="X17" s="370"/>
      <c r="Y17" s="370"/>
      <c r="Z17" s="671"/>
      <c r="AA17" s="363"/>
      <c r="AB17" s="363"/>
      <c r="AC17" s="363"/>
      <c r="AD17" s="363"/>
      <c r="AE17" s="363"/>
      <c r="AF17" s="363"/>
      <c r="AG17" s="437"/>
      <c r="AH17" s="863"/>
    </row>
    <row r="18" spans="1:34" ht="15.75" customHeight="1">
      <c r="A18" s="4361" t="s">
        <v>366</v>
      </c>
      <c r="B18" s="4361"/>
      <c r="C18" s="4361"/>
      <c r="D18" s="860"/>
      <c r="E18" s="363"/>
      <c r="F18" s="363"/>
      <c r="G18" s="363"/>
      <c r="H18" s="363"/>
      <c r="I18" s="363"/>
      <c r="J18" s="48"/>
      <c r="K18" s="48"/>
      <c r="L18" s="48"/>
      <c r="M18" s="438"/>
      <c r="N18" s="672"/>
      <c r="O18" s="4314"/>
      <c r="P18" s="4314"/>
      <c r="Q18" s="4314"/>
      <c r="R18" s="4314"/>
      <c r="S18" s="4314"/>
      <c r="T18" s="713"/>
      <c r="U18" s="672"/>
      <c r="V18" s="4314"/>
      <c r="W18" s="4314"/>
      <c r="X18" s="4314"/>
      <c r="Y18" s="4314"/>
      <c r="Z18" s="4314"/>
      <c r="AA18" s="402"/>
      <c r="AB18" s="363"/>
      <c r="AC18" s="363"/>
      <c r="AD18" s="363"/>
      <c r="AE18" s="363"/>
      <c r="AF18" s="363"/>
      <c r="AG18" s="437"/>
      <c r="AH18" s="863"/>
    </row>
    <row r="19" spans="1:34" ht="15.75">
      <c r="A19" s="5897" t="s">
        <v>315</v>
      </c>
      <c r="B19" s="5898"/>
      <c r="C19" s="5899"/>
      <c r="D19" s="860"/>
      <c r="E19" s="363"/>
      <c r="F19" s="363"/>
      <c r="G19" s="363"/>
      <c r="H19" s="363"/>
      <c r="I19" s="48"/>
      <c r="J19" s="48"/>
      <c r="K19" s="48"/>
      <c r="L19" s="48"/>
      <c r="M19" s="370"/>
      <c r="N19" s="370"/>
      <c r="O19" s="438"/>
      <c r="P19" s="438"/>
      <c r="Q19" s="438"/>
      <c r="R19" s="438"/>
      <c r="S19" s="438"/>
      <c r="T19" s="370"/>
      <c r="U19" s="370"/>
      <c r="V19" s="438"/>
      <c r="W19" s="438"/>
      <c r="X19" s="438"/>
      <c r="Y19" s="438"/>
      <c r="Z19" s="672"/>
      <c r="AA19" s="363"/>
      <c r="AB19" s="363"/>
      <c r="AC19" s="363"/>
      <c r="AD19" s="363"/>
      <c r="AE19" s="363"/>
      <c r="AF19" s="363"/>
      <c r="AG19" s="363"/>
      <c r="AH19" s="1004"/>
    </row>
    <row r="20" spans="1:34">
      <c r="A20" s="4405" t="s">
        <v>540</v>
      </c>
      <c r="B20" s="4529"/>
      <c r="C20" s="4530"/>
      <c r="D20" s="860"/>
      <c r="E20" s="363"/>
      <c r="F20" s="363"/>
      <c r="G20" s="363"/>
      <c r="H20" s="363"/>
      <c r="I20" s="363"/>
      <c r="J20" s="48"/>
      <c r="K20" s="48"/>
      <c r="L20" s="48"/>
      <c r="M20" s="370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671"/>
      <c r="AA20" s="363"/>
      <c r="AB20" s="363"/>
      <c r="AC20" s="363"/>
      <c r="AD20" s="363"/>
      <c r="AE20" s="363"/>
      <c r="AF20" s="363"/>
      <c r="AG20" s="363"/>
      <c r="AH20" s="1006"/>
    </row>
    <row r="21" spans="1:34">
      <c r="A21" s="4399" t="s">
        <v>992</v>
      </c>
      <c r="B21" s="4316"/>
      <c r="C21" s="4531"/>
      <c r="D21" s="860"/>
      <c r="E21" s="363"/>
      <c r="F21" s="363"/>
      <c r="G21" s="363"/>
      <c r="H21" s="363"/>
      <c r="I21" s="363"/>
      <c r="J21" s="48"/>
      <c r="K21" s="363"/>
      <c r="L21" s="363"/>
      <c r="M21" s="363"/>
      <c r="N21" s="363"/>
      <c r="O21" s="363"/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437"/>
      <c r="AA21" s="363"/>
      <c r="AB21" s="363"/>
      <c r="AC21" s="363"/>
      <c r="AD21" s="363"/>
      <c r="AE21" s="363"/>
      <c r="AF21" s="363"/>
      <c r="AG21" s="363"/>
      <c r="AH21" s="1006"/>
    </row>
    <row r="22" spans="1:34">
      <c r="A22" s="5300" t="s">
        <v>993</v>
      </c>
      <c r="B22" s="5900"/>
      <c r="C22" s="5900"/>
      <c r="D22" s="860"/>
      <c r="E22" s="363"/>
      <c r="F22" s="363"/>
      <c r="G22" s="363"/>
      <c r="H22" s="363"/>
      <c r="I22" s="363"/>
      <c r="J22" s="48"/>
      <c r="K22" s="48"/>
      <c r="L22" s="48"/>
      <c r="M22" s="438"/>
      <c r="N22" s="438"/>
      <c r="O22" s="438"/>
      <c r="P22" s="438"/>
      <c r="Q22" s="438"/>
      <c r="R22" s="438"/>
      <c r="S22" s="438"/>
      <c r="T22" s="438"/>
      <c r="U22" s="438"/>
      <c r="V22" s="5300" t="s">
        <v>994</v>
      </c>
      <c r="W22" s="5900"/>
      <c r="X22" s="5900"/>
      <c r="Y22" s="5900"/>
      <c r="Z22" s="5907"/>
      <c r="AA22" s="363"/>
      <c r="AB22" s="363"/>
      <c r="AC22" s="363"/>
      <c r="AD22" s="363"/>
      <c r="AE22" s="363"/>
      <c r="AF22" s="363"/>
      <c r="AG22" s="437"/>
      <c r="AH22" s="863"/>
    </row>
    <row r="23" spans="1:34">
      <c r="A23" s="4828" t="s">
        <v>64</v>
      </c>
      <c r="B23" s="4574"/>
      <c r="C23" s="4767"/>
      <c r="D23" s="1015" t="s">
        <v>26</v>
      </c>
      <c r="E23" s="370"/>
      <c r="F23" s="370"/>
      <c r="G23" s="713"/>
      <c r="H23" s="48"/>
      <c r="I23" s="48"/>
      <c r="J23" s="48"/>
      <c r="K23" s="48"/>
      <c r="L23" s="48"/>
      <c r="M23" s="370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  <c r="AA23" s="438"/>
      <c r="AB23" s="438"/>
      <c r="AC23" s="438"/>
      <c r="AD23" s="438"/>
      <c r="AE23" s="438"/>
      <c r="AF23" s="866"/>
      <c r="AG23" s="672"/>
      <c r="AH23" s="863"/>
    </row>
    <row r="24" spans="1:34">
      <c r="A24" s="950" t="s">
        <v>66</v>
      </c>
      <c r="B24" s="812" t="s">
        <v>67</v>
      </c>
      <c r="C24" s="2477" t="s">
        <v>74</v>
      </c>
      <c r="D24" s="2805"/>
      <c r="E24" s="1003"/>
      <c r="F24" s="1003"/>
      <c r="G24" s="1003"/>
      <c r="H24" s="252"/>
      <c r="I24" s="2696" t="s">
        <v>222</v>
      </c>
      <c r="J24" s="2798"/>
      <c r="K24" s="2798"/>
      <c r="L24" s="2798"/>
      <c r="M24" s="2798"/>
      <c r="N24" s="2798"/>
      <c r="O24" s="2798"/>
      <c r="P24" s="2798"/>
      <c r="Q24" s="2798"/>
      <c r="R24" s="2798"/>
      <c r="S24" s="2798"/>
      <c r="T24" s="2798"/>
      <c r="U24" s="2798"/>
      <c r="V24" s="2798"/>
      <c r="W24" s="2798"/>
      <c r="X24" s="2798"/>
      <c r="Y24" s="2798"/>
      <c r="Z24" s="2798"/>
      <c r="AA24" s="2798"/>
      <c r="AB24" s="2798"/>
      <c r="AC24" s="2798"/>
      <c r="AD24" s="2798"/>
      <c r="AE24" s="2798"/>
      <c r="AF24" s="2798"/>
      <c r="AG24" s="2798"/>
      <c r="AH24" s="2799"/>
    </row>
    <row r="25" spans="1:34">
      <c r="A25" s="951" t="s">
        <v>73</v>
      </c>
      <c r="B25" s="813" t="s">
        <v>67</v>
      </c>
      <c r="C25" s="676" t="s">
        <v>458</v>
      </c>
      <c r="D25" s="860"/>
      <c r="E25" s="363"/>
      <c r="F25" s="363"/>
      <c r="G25" s="363"/>
      <c r="H25" s="48"/>
      <c r="I25" s="880" t="s">
        <v>222</v>
      </c>
      <c r="J25" s="48"/>
      <c r="K25" s="48"/>
      <c r="L25" s="363"/>
      <c r="M25" s="363"/>
      <c r="N25" s="363"/>
      <c r="O25" s="363"/>
      <c r="P25" s="2"/>
      <c r="Q25" s="2"/>
      <c r="R25" s="363"/>
      <c r="S25" s="363"/>
      <c r="T25" s="363"/>
      <c r="U25" s="363"/>
      <c r="V25" s="2657" t="s">
        <v>251</v>
      </c>
      <c r="W25" s="4475" t="s">
        <v>995</v>
      </c>
      <c r="X25" s="4475"/>
      <c r="Y25" s="4475"/>
      <c r="Z25" s="2657" t="s">
        <v>251</v>
      </c>
      <c r="AA25" s="363"/>
      <c r="AB25" s="363"/>
      <c r="AC25" s="363"/>
      <c r="AD25" s="363"/>
      <c r="AE25" s="363"/>
      <c r="AF25" s="363"/>
      <c r="AG25" s="363"/>
      <c r="AH25" s="863"/>
    </row>
    <row r="26" spans="1:34">
      <c r="A26" s="990" t="s">
        <v>713</v>
      </c>
      <c r="B26" s="2481" t="s">
        <v>67</v>
      </c>
      <c r="C26" s="426" t="s">
        <v>714</v>
      </c>
      <c r="D26" s="860"/>
      <c r="E26" s="363"/>
      <c r="F26" s="363"/>
      <c r="G26" s="363"/>
      <c r="H26" s="2399" t="s">
        <v>704</v>
      </c>
      <c r="I26" s="880" t="s">
        <v>222</v>
      </c>
      <c r="J26" s="48"/>
      <c r="K26" s="2"/>
      <c r="L26" s="2"/>
      <c r="M26" s="2"/>
      <c r="N26" s="2"/>
      <c r="O26" s="363"/>
      <c r="P26" s="363"/>
      <c r="Q26" s="2797" t="s">
        <v>989</v>
      </c>
      <c r="R26" s="2"/>
      <c r="S26" s="363"/>
      <c r="T26" s="363"/>
      <c r="U26" s="363"/>
      <c r="V26" s="363"/>
      <c r="W26" s="363"/>
      <c r="X26" s="363"/>
      <c r="Y26" s="363"/>
      <c r="Z26" s="363"/>
      <c r="AA26" s="363"/>
      <c r="AB26" s="363"/>
      <c r="AC26" s="363"/>
      <c r="AD26" s="363"/>
      <c r="AE26" s="363"/>
      <c r="AF26" s="363"/>
      <c r="AG26" s="363"/>
      <c r="AH26" s="863"/>
    </row>
    <row r="27" spans="1:34" s="1704" customFormat="1" ht="15.75" customHeight="1">
      <c r="A27" s="1417" t="s">
        <v>599</v>
      </c>
      <c r="B27" s="2689" t="s">
        <v>543</v>
      </c>
      <c r="C27" s="2802" t="s">
        <v>544</v>
      </c>
      <c r="D27" s="860"/>
      <c r="E27" s="363"/>
      <c r="F27" s="2657" t="s">
        <v>251</v>
      </c>
      <c r="G27" s="4475" t="s">
        <v>996</v>
      </c>
      <c r="H27" s="4475"/>
      <c r="I27" s="4475"/>
      <c r="J27" s="4475"/>
      <c r="K27" s="4475"/>
      <c r="L27" s="4475"/>
      <c r="M27" s="4475"/>
      <c r="N27" s="2657" t="s">
        <v>251</v>
      </c>
      <c r="O27" s="3685"/>
      <c r="P27" s="3685"/>
      <c r="Q27" s="3685"/>
      <c r="R27" s="3685"/>
      <c r="S27" s="3685"/>
      <c r="T27" s="3685"/>
      <c r="U27" s="3685"/>
      <c r="V27" s="3685"/>
      <c r="W27" s="3685"/>
      <c r="X27" s="3685"/>
      <c r="Y27" s="3685"/>
      <c r="Z27" s="3685"/>
      <c r="AA27" s="3685"/>
      <c r="AB27" s="3685"/>
      <c r="AC27" s="3685"/>
      <c r="AD27" s="3685"/>
      <c r="AE27" s="3685"/>
      <c r="AF27" s="3685"/>
      <c r="AG27" s="2"/>
      <c r="AH27" s="696"/>
    </row>
    <row r="28" spans="1:34">
      <c r="A28" s="3689" t="s">
        <v>84</v>
      </c>
      <c r="B28" s="928" t="s">
        <v>85</v>
      </c>
      <c r="C28" s="2557" t="s">
        <v>716</v>
      </c>
      <c r="D28" s="965"/>
      <c r="E28" s="966"/>
      <c r="F28" s="966"/>
      <c r="G28" s="966"/>
      <c r="H28" s="1376"/>
      <c r="I28" s="2698" t="s">
        <v>222</v>
      </c>
      <c r="J28" s="1376"/>
      <c r="K28" s="1376"/>
      <c r="L28" s="1376"/>
      <c r="M28" s="966"/>
      <c r="N28" s="968"/>
      <c r="O28" s="968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4419" t="s">
        <v>112</v>
      </c>
      <c r="AD28" s="4515"/>
      <c r="AE28" s="966"/>
      <c r="AF28" s="966"/>
      <c r="AG28" s="2771"/>
      <c r="AH28" s="322"/>
    </row>
    <row r="29" spans="1:34" ht="15.75">
      <c r="A29" s="4403" t="s">
        <v>92</v>
      </c>
      <c r="B29" s="2800" t="s">
        <v>95</v>
      </c>
      <c r="C29" s="2809" t="s">
        <v>243</v>
      </c>
      <c r="D29" s="1008"/>
      <c r="E29" s="371"/>
      <c r="F29" s="2810"/>
      <c r="G29" s="2810"/>
      <c r="H29" s="2810"/>
      <c r="I29" s="2810"/>
      <c r="J29" s="2810"/>
      <c r="K29" s="2810"/>
      <c r="L29" s="2810"/>
      <c r="M29" s="2810"/>
      <c r="N29" s="2810"/>
      <c r="O29" s="2810"/>
      <c r="P29" s="2810"/>
      <c r="Q29" s="2810"/>
      <c r="R29" s="2810"/>
      <c r="S29" s="2810"/>
      <c r="T29" s="2810"/>
      <c r="U29" s="2810"/>
      <c r="V29" s="2810"/>
      <c r="W29" s="2810"/>
      <c r="X29" s="2810"/>
      <c r="Y29" s="2810"/>
      <c r="Z29" s="2810"/>
      <c r="AA29" s="2810"/>
      <c r="AB29" s="2810"/>
      <c r="AC29" s="2810"/>
      <c r="AD29" s="2810"/>
      <c r="AE29" s="2810"/>
      <c r="AF29" s="2810"/>
      <c r="AG29" s="2810"/>
      <c r="AH29" s="2727"/>
    </row>
    <row r="30" spans="1:34" ht="15.75">
      <c r="A30" s="4403"/>
      <c r="B30" s="2800" t="s">
        <v>326</v>
      </c>
      <c r="C30" s="2803" t="s">
        <v>327</v>
      </c>
      <c r="D30" s="2806"/>
      <c r="E30" s="1924"/>
      <c r="F30" s="2434" t="s">
        <v>722</v>
      </c>
      <c r="G30" s="363"/>
      <c r="H30" s="363"/>
      <c r="I30" s="880" t="s">
        <v>222</v>
      </c>
      <c r="J30" s="363"/>
      <c r="K30" s="2"/>
      <c r="L30" s="2"/>
      <c r="M30" s="2"/>
      <c r="N30" s="2"/>
      <c r="O30" s="363"/>
      <c r="P30" s="363"/>
      <c r="Q30" s="2434" t="s">
        <v>720</v>
      </c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/>
      <c r="AC30" s="363"/>
      <c r="AD30" s="363"/>
      <c r="AE30" s="363"/>
      <c r="AF30" s="363"/>
      <c r="AG30" s="363"/>
      <c r="AH30" s="863"/>
    </row>
    <row r="31" spans="1:34" ht="15.75">
      <c r="A31" s="4404"/>
      <c r="B31" s="2811" t="s">
        <v>606</v>
      </c>
      <c r="C31" s="2812" t="s">
        <v>98</v>
      </c>
      <c r="D31" s="2813"/>
      <c r="E31" s="967"/>
      <c r="F31" s="967"/>
      <c r="G31" s="2443" t="s">
        <v>720</v>
      </c>
      <c r="H31" s="1376"/>
      <c r="I31" s="2698" t="s">
        <v>222</v>
      </c>
      <c r="J31" s="1376" t="s">
        <v>720</v>
      </c>
      <c r="K31" s="2443"/>
      <c r="L31" s="1376"/>
      <c r="M31" s="770"/>
      <c r="N31" s="770"/>
      <c r="O31" s="770"/>
      <c r="P31" s="2443" t="s">
        <v>722</v>
      </c>
      <c r="Q31" s="770"/>
      <c r="R31" s="770"/>
      <c r="S31" s="770"/>
      <c r="T31" s="770"/>
      <c r="U31" s="770"/>
      <c r="V31" s="770"/>
      <c r="W31" s="770"/>
      <c r="X31" s="2443"/>
      <c r="Y31" s="770"/>
      <c r="Z31" s="770"/>
      <c r="AA31" s="770"/>
      <c r="AB31" s="770"/>
      <c r="AC31" s="770"/>
      <c r="AD31" s="770"/>
      <c r="AE31" s="770"/>
      <c r="AF31" s="770"/>
      <c r="AG31" s="770"/>
      <c r="AH31" s="2829" t="s">
        <v>997</v>
      </c>
    </row>
    <row r="32" spans="1:34">
      <c r="A32" s="4403" t="s">
        <v>99</v>
      </c>
      <c r="B32" s="1474" t="s">
        <v>100</v>
      </c>
      <c r="C32" s="949" t="s">
        <v>725</v>
      </c>
      <c r="D32" s="2814"/>
      <c r="E32" s="902"/>
      <c r="F32" s="902"/>
      <c r="G32" s="536"/>
      <c r="H32" s="536"/>
      <c r="I32" s="2697" t="s">
        <v>222</v>
      </c>
      <c r="J32" s="536"/>
      <c r="K32" s="906"/>
      <c r="L32" s="906"/>
      <c r="M32" s="778"/>
      <c r="N32" s="778"/>
      <c r="O32" s="906"/>
      <c r="P32" s="906"/>
      <c r="Q32" s="906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371"/>
      <c r="AH32" s="3629" t="s">
        <v>112</v>
      </c>
    </row>
    <row r="33" spans="1:34">
      <c r="A33" s="4403"/>
      <c r="B33" s="2196" t="s">
        <v>95</v>
      </c>
      <c r="C33" s="676" t="s">
        <v>726</v>
      </c>
      <c r="D33" s="2807"/>
      <c r="E33" s="901"/>
      <c r="F33" s="901"/>
      <c r="G33" s="363"/>
      <c r="H33" s="48"/>
      <c r="I33" s="880" t="s">
        <v>222</v>
      </c>
      <c r="J33" s="48"/>
      <c r="K33" s="48"/>
      <c r="L33" s="48"/>
      <c r="M33" s="779"/>
      <c r="N33" s="779"/>
      <c r="O33" s="363"/>
      <c r="P33" s="363"/>
      <c r="Q33" s="363"/>
      <c r="R33" s="363"/>
      <c r="S33" s="363"/>
      <c r="T33" s="363"/>
      <c r="U33" s="363"/>
      <c r="V33" s="363"/>
      <c r="W33" s="363"/>
      <c r="X33" s="363"/>
      <c r="Y33" s="363"/>
      <c r="Z33" s="363"/>
      <c r="AA33" s="363"/>
      <c r="AB33" s="363"/>
      <c r="AC33" s="363"/>
      <c r="AD33" s="363"/>
      <c r="AE33" s="363"/>
      <c r="AF33" s="363"/>
      <c r="AG33" s="363"/>
      <c r="AH33" s="863"/>
    </row>
    <row r="34" spans="1:34">
      <c r="A34" s="4403"/>
      <c r="B34" s="948" t="s">
        <v>95</v>
      </c>
      <c r="C34" s="676" t="s">
        <v>548</v>
      </c>
      <c r="D34" s="861"/>
      <c r="E34" s="2434" t="s">
        <v>722</v>
      </c>
      <c r="F34" s="380"/>
      <c r="G34" s="363"/>
      <c r="H34" s="2399" t="s">
        <v>704</v>
      </c>
      <c r="I34" s="880" t="s">
        <v>222</v>
      </c>
      <c r="J34" s="48"/>
      <c r="K34" s="48"/>
      <c r="L34" s="2434" t="s">
        <v>720</v>
      </c>
      <c r="M34" s="363"/>
      <c r="N34" s="363"/>
      <c r="O34" s="363"/>
      <c r="P34" s="363"/>
      <c r="Q34" s="2797" t="s">
        <v>989</v>
      </c>
      <c r="R34" s="363"/>
      <c r="S34" s="363"/>
      <c r="T34" s="363"/>
      <c r="U34" s="363"/>
      <c r="V34" s="363"/>
      <c r="W34" s="2456" t="s">
        <v>722</v>
      </c>
      <c r="X34" s="363"/>
      <c r="Y34" s="363"/>
      <c r="Z34" s="363"/>
      <c r="AA34" s="363"/>
      <c r="AB34" s="4475" t="s">
        <v>697</v>
      </c>
      <c r="AC34" s="4475"/>
      <c r="AD34" s="4475"/>
      <c r="AE34" s="4475"/>
      <c r="AF34" s="4475"/>
      <c r="AG34" s="4475"/>
      <c r="AH34" s="863"/>
    </row>
    <row r="35" spans="1:34">
      <c r="A35" s="4403"/>
      <c r="B35" s="813" t="s">
        <v>106</v>
      </c>
      <c r="C35" s="676" t="s">
        <v>107</v>
      </c>
      <c r="D35" s="861"/>
      <c r="E35" s="380"/>
      <c r="F35" s="380"/>
      <c r="G35" s="363"/>
      <c r="H35" s="2434" t="s">
        <v>722</v>
      </c>
      <c r="I35" s="880"/>
      <c r="J35" s="363"/>
      <c r="K35" s="48"/>
      <c r="L35" s="48"/>
      <c r="M35" s="779"/>
      <c r="N35" s="779"/>
      <c r="O35" s="363"/>
      <c r="P35" s="363"/>
      <c r="Q35" s="363"/>
      <c r="R35" s="363"/>
      <c r="S35" s="363"/>
      <c r="T35" s="363"/>
      <c r="U35" s="363"/>
      <c r="V35" s="363"/>
      <c r="W35" s="363"/>
      <c r="X35" s="363"/>
      <c r="Y35" s="363"/>
      <c r="Z35" s="363"/>
      <c r="AA35" s="2434" t="s">
        <v>720</v>
      </c>
      <c r="AB35" s="2434"/>
      <c r="AC35" s="363"/>
      <c r="AD35" s="363"/>
      <c r="AE35" s="363"/>
      <c r="AF35" s="363"/>
      <c r="AG35" s="363"/>
      <c r="AH35" s="863"/>
    </row>
    <row r="36" spans="1:34">
      <c r="A36" s="4404"/>
      <c r="B36" s="814" t="s">
        <v>108</v>
      </c>
      <c r="C36" s="2478" t="s">
        <v>109</v>
      </c>
      <c r="D36" s="2813"/>
      <c r="E36" s="967"/>
      <c r="F36" s="967"/>
      <c r="G36" s="770"/>
      <c r="H36" s="1376"/>
      <c r="I36" s="2698" t="s">
        <v>222</v>
      </c>
      <c r="J36" s="1376"/>
      <c r="K36" s="2443" t="s">
        <v>722</v>
      </c>
      <c r="L36" s="1376"/>
      <c r="M36" s="770"/>
      <c r="N36" s="770"/>
      <c r="O36" s="770"/>
      <c r="P36" s="770"/>
      <c r="Q36" s="770"/>
      <c r="R36" s="2443"/>
      <c r="S36" s="2443"/>
      <c r="T36" s="770"/>
      <c r="U36" s="2443" t="s">
        <v>722</v>
      </c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  <c r="AF36" s="770"/>
      <c r="AG36" s="4443" t="s">
        <v>998</v>
      </c>
      <c r="AH36" s="5086"/>
    </row>
    <row r="37" spans="1:34">
      <c r="A37" s="5030" t="s">
        <v>110</v>
      </c>
      <c r="B37" s="1994" t="s">
        <v>283</v>
      </c>
      <c r="C37" s="1948" t="s">
        <v>201</v>
      </c>
      <c r="D37" s="934"/>
      <c r="E37" s="2437" t="s">
        <v>720</v>
      </c>
      <c r="F37" s="778"/>
      <c r="G37" s="778"/>
      <c r="H37" s="778"/>
      <c r="I37" s="2697" t="s">
        <v>222</v>
      </c>
      <c r="J37" s="778"/>
      <c r="K37" s="778"/>
      <c r="L37" s="778"/>
      <c r="M37" s="778"/>
      <c r="N37" s="778"/>
      <c r="O37" s="2437" t="s">
        <v>720</v>
      </c>
      <c r="P37" s="2437"/>
      <c r="Q37" s="778"/>
      <c r="R37" s="778"/>
      <c r="S37" s="778"/>
      <c r="T37" s="778"/>
      <c r="U37" s="778"/>
      <c r="V37" s="2437"/>
      <c r="W37" s="778"/>
      <c r="X37" s="778"/>
      <c r="Y37" s="778"/>
      <c r="Z37" s="778"/>
      <c r="AA37" s="778"/>
      <c r="AB37" s="778"/>
      <c r="AC37" s="778"/>
      <c r="AD37" s="778"/>
      <c r="AE37" s="778"/>
      <c r="AF37" s="778"/>
      <c r="AG37" s="778"/>
      <c r="AH37" s="805"/>
    </row>
    <row r="38" spans="1:34">
      <c r="A38" s="5030"/>
      <c r="B38" s="1994" t="s">
        <v>283</v>
      </c>
      <c r="C38" s="2242" t="s">
        <v>610</v>
      </c>
      <c r="D38" s="935"/>
      <c r="E38" s="779"/>
      <c r="F38" s="779"/>
      <c r="G38" s="779"/>
      <c r="H38" s="2434" t="s">
        <v>720</v>
      </c>
      <c r="I38" s="880" t="s">
        <v>222</v>
      </c>
      <c r="J38" s="48"/>
      <c r="K38" s="48"/>
      <c r="L38" s="48"/>
      <c r="M38" s="779"/>
      <c r="N38" s="779"/>
      <c r="O38" s="779"/>
      <c r="P38" s="779"/>
      <c r="Q38" s="779"/>
      <c r="R38" s="779"/>
      <c r="S38" s="2434" t="s">
        <v>720</v>
      </c>
      <c r="T38" s="779"/>
      <c r="U38" s="779"/>
      <c r="V38" s="779"/>
      <c r="W38" s="779"/>
      <c r="X38" s="779"/>
      <c r="Y38" s="779"/>
      <c r="Z38" s="779"/>
      <c r="AA38" s="779"/>
      <c r="AB38" s="779"/>
      <c r="AC38" s="779"/>
      <c r="AD38" s="2434" t="s">
        <v>720</v>
      </c>
      <c r="AE38" s="779"/>
      <c r="AF38" s="779"/>
      <c r="AG38" s="779"/>
      <c r="AH38" s="2699" t="s">
        <v>997</v>
      </c>
    </row>
    <row r="39" spans="1:34">
      <c r="A39" s="5030"/>
      <c r="B39" s="1994" t="s">
        <v>95</v>
      </c>
      <c r="C39" s="2368" t="s">
        <v>249</v>
      </c>
      <c r="D39" s="935"/>
      <c r="E39" s="779"/>
      <c r="F39" s="779"/>
      <c r="G39" s="2434"/>
      <c r="H39" s="48"/>
      <c r="I39" s="880" t="s">
        <v>222</v>
      </c>
      <c r="J39" s="48"/>
      <c r="K39" s="2762"/>
      <c r="L39" s="2762"/>
      <c r="M39" s="2762"/>
      <c r="N39" s="2762"/>
      <c r="O39" s="779"/>
      <c r="P39" s="2434" t="s">
        <v>720</v>
      </c>
      <c r="Q39" s="779"/>
      <c r="R39" s="779"/>
      <c r="S39" s="779"/>
      <c r="T39" s="779"/>
      <c r="U39" s="779"/>
      <c r="V39" s="779"/>
      <c r="W39" s="779"/>
      <c r="X39" s="779"/>
      <c r="Y39" s="779"/>
      <c r="Z39" s="2434"/>
      <c r="AA39" s="2434" t="s">
        <v>720</v>
      </c>
      <c r="AB39" s="779"/>
      <c r="AC39" s="779"/>
      <c r="AD39" s="2434"/>
      <c r="AE39" s="779"/>
      <c r="AF39" s="2434" t="s">
        <v>722</v>
      </c>
      <c r="AG39" s="779"/>
      <c r="AH39" s="2699" t="s">
        <v>997</v>
      </c>
    </row>
    <row r="40" spans="1:34">
      <c r="A40" s="5030"/>
      <c r="B40" s="1972" t="s">
        <v>113</v>
      </c>
      <c r="C40" s="1945" t="s">
        <v>116</v>
      </c>
      <c r="D40" s="935"/>
      <c r="E40" s="779"/>
      <c r="F40" s="779"/>
      <c r="G40" s="779"/>
      <c r="H40" s="48"/>
      <c r="I40" s="880" t="s">
        <v>222</v>
      </c>
      <c r="J40" s="48"/>
      <c r="K40" s="48"/>
      <c r="L40" s="48"/>
      <c r="M40" s="779"/>
      <c r="N40" s="2434" t="s">
        <v>720</v>
      </c>
      <c r="O40" s="779"/>
      <c r="P40" s="779"/>
      <c r="Q40" s="779"/>
      <c r="R40" s="779"/>
      <c r="S40" s="2434"/>
      <c r="T40" s="779"/>
      <c r="U40" s="779"/>
      <c r="V40" s="779"/>
      <c r="W40" s="779"/>
      <c r="X40" s="779"/>
      <c r="Y40" s="779"/>
      <c r="Z40" s="2434"/>
      <c r="AA40" s="779"/>
      <c r="AB40" s="2434" t="s">
        <v>720</v>
      </c>
      <c r="AC40" s="779"/>
      <c r="AD40" s="2443" t="s">
        <v>722</v>
      </c>
      <c r="AE40" s="779"/>
      <c r="AF40" s="779"/>
      <c r="AG40" s="779"/>
      <c r="AH40" s="804"/>
    </row>
    <row r="41" spans="1:34">
      <c r="A41" s="5030"/>
      <c r="B41" s="1972" t="s">
        <v>118</v>
      </c>
      <c r="C41" s="1945" t="s">
        <v>119</v>
      </c>
      <c r="D41" s="5904" t="s">
        <v>999</v>
      </c>
      <c r="E41" s="5905"/>
      <c r="F41" s="5905"/>
      <c r="G41" s="5905"/>
      <c r="H41" s="5905"/>
      <c r="I41" s="5905"/>
      <c r="J41" s="5905"/>
      <c r="K41" s="5905"/>
      <c r="L41" s="5905"/>
      <c r="M41" s="5905"/>
      <c r="N41" s="3684" t="s">
        <v>251</v>
      </c>
      <c r="O41" s="779"/>
      <c r="P41" s="779"/>
      <c r="Q41" s="779"/>
      <c r="R41" s="779"/>
      <c r="S41" s="779"/>
      <c r="T41" s="779"/>
      <c r="U41" s="779"/>
      <c r="V41" s="779"/>
      <c r="W41" s="779"/>
      <c r="X41" s="779"/>
      <c r="Y41" s="779"/>
      <c r="Z41" s="779"/>
      <c r="AA41" s="779"/>
      <c r="AB41" s="779"/>
      <c r="AC41" s="779"/>
      <c r="AD41" s="779"/>
      <c r="AE41" s="779"/>
      <c r="AF41" s="779"/>
      <c r="AG41" s="779"/>
      <c r="AH41" s="804"/>
    </row>
    <row r="42" spans="1:34">
      <c r="A42" s="5030"/>
      <c r="B42" s="1972" t="s">
        <v>500</v>
      </c>
      <c r="C42" s="1945" t="s">
        <v>126</v>
      </c>
      <c r="D42" s="4514" t="s">
        <v>112</v>
      </c>
      <c r="E42" s="4475"/>
      <c r="F42" s="4475"/>
      <c r="G42" s="4475"/>
      <c r="H42" s="4475"/>
      <c r="I42" s="3684" t="s">
        <v>251</v>
      </c>
      <c r="J42" s="48"/>
      <c r="K42" s="48"/>
      <c r="L42" s="2434" t="s">
        <v>722</v>
      </c>
      <c r="M42" s="779"/>
      <c r="N42" s="779"/>
      <c r="O42" s="779"/>
      <c r="P42" s="779"/>
      <c r="Q42" s="779"/>
      <c r="R42" s="779"/>
      <c r="S42" s="779"/>
      <c r="T42" s="779"/>
      <c r="U42" s="2434" t="s">
        <v>720</v>
      </c>
      <c r="V42" s="779"/>
      <c r="W42" s="779"/>
      <c r="X42" s="779"/>
      <c r="Y42" s="779"/>
      <c r="Z42" s="2434" t="s">
        <v>722</v>
      </c>
      <c r="AA42" s="779"/>
      <c r="AB42" s="779"/>
      <c r="AC42" s="779"/>
      <c r="AD42" s="779"/>
      <c r="AE42" s="779"/>
      <c r="AF42" s="779"/>
      <c r="AG42" s="779"/>
      <c r="AH42" s="2699" t="s">
        <v>997</v>
      </c>
    </row>
    <row r="43" spans="1:34">
      <c r="A43" s="5030"/>
      <c r="B43" s="1981" t="s">
        <v>120</v>
      </c>
      <c r="C43" s="1946" t="s">
        <v>121</v>
      </c>
      <c r="D43" s="5775" t="s">
        <v>732</v>
      </c>
      <c r="E43" s="5270"/>
      <c r="F43" s="5270"/>
      <c r="G43" s="5270"/>
      <c r="H43" s="48"/>
      <c r="I43" s="880"/>
      <c r="J43" s="48"/>
      <c r="K43" s="48"/>
      <c r="L43" s="48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779"/>
      <c r="AG43" s="779"/>
      <c r="AH43" s="804"/>
    </row>
    <row r="44" spans="1:34">
      <c r="A44" s="5030"/>
      <c r="B44" s="2196" t="s">
        <v>122</v>
      </c>
      <c r="C44" s="1953" t="s">
        <v>123</v>
      </c>
      <c r="D44" s="5904" t="s">
        <v>999</v>
      </c>
      <c r="E44" s="5905"/>
      <c r="F44" s="5905"/>
      <c r="G44" s="5905"/>
      <c r="H44" s="5905"/>
      <c r="I44" s="5905"/>
      <c r="J44" s="5905"/>
      <c r="K44" s="3684" t="s">
        <v>251</v>
      </c>
      <c r="L44" s="2735"/>
      <c r="M44" s="3702"/>
      <c r="N44" s="2260"/>
      <c r="O44" s="2259"/>
      <c r="P44" s="2259"/>
      <c r="Q44" s="2259"/>
      <c r="R44" s="2434" t="s">
        <v>720</v>
      </c>
      <c r="S44" s="779"/>
      <c r="T44" s="779"/>
      <c r="U44" s="779"/>
      <c r="V44" s="779"/>
      <c r="W44" s="779"/>
      <c r="X44" s="779"/>
      <c r="Y44" s="779"/>
      <c r="Z44" s="779"/>
      <c r="AA44" s="779"/>
      <c r="AB44" s="2434" t="s">
        <v>722</v>
      </c>
      <c r="AC44" s="779"/>
      <c r="AD44" s="779"/>
      <c r="AE44" s="779"/>
      <c r="AF44" s="779"/>
      <c r="AG44" s="779"/>
      <c r="AH44" s="2444" t="s">
        <v>720</v>
      </c>
    </row>
    <row r="45" spans="1:34">
      <c r="A45" s="5030"/>
      <c r="B45" s="2196" t="s">
        <v>122</v>
      </c>
      <c r="C45" s="1953" t="s">
        <v>553</v>
      </c>
      <c r="D45" s="2580"/>
      <c r="E45" s="2260"/>
      <c r="F45" s="2260"/>
      <c r="G45" s="2260"/>
      <c r="H45" s="48"/>
      <c r="I45" s="880"/>
      <c r="J45" s="2"/>
      <c r="K45" s="2"/>
      <c r="L45" s="5906" t="s">
        <v>251</v>
      </c>
      <c r="M45" s="5906"/>
      <c r="N45" s="2"/>
      <c r="O45" s="2"/>
      <c r="P45" s="5905" t="s">
        <v>1000</v>
      </c>
      <c r="Q45" s="5905"/>
      <c r="R45" s="5905"/>
      <c r="S45" s="5905"/>
      <c r="T45" s="5905"/>
      <c r="U45" s="5905"/>
      <c r="V45" s="5905"/>
      <c r="W45" s="779"/>
      <c r="X45" s="3684" t="s">
        <v>251</v>
      </c>
      <c r="Y45" s="779"/>
      <c r="Z45" s="779"/>
      <c r="AA45" s="779"/>
      <c r="AB45" s="779"/>
      <c r="AC45" s="779"/>
      <c r="AD45" s="779"/>
      <c r="AE45" s="779"/>
      <c r="AF45" s="779"/>
      <c r="AG45" s="779"/>
      <c r="AH45" s="804"/>
    </row>
    <row r="46" spans="1:34">
      <c r="A46" s="5030"/>
      <c r="B46" s="2196" t="s">
        <v>124</v>
      </c>
      <c r="C46" s="1953" t="s">
        <v>125</v>
      </c>
      <c r="D46" s="5904" t="s">
        <v>999</v>
      </c>
      <c r="E46" s="5905"/>
      <c r="F46" s="5905"/>
      <c r="G46" s="5905"/>
      <c r="H46" s="5905"/>
      <c r="I46" s="5905"/>
      <c r="J46" s="5905"/>
      <c r="K46" s="5905"/>
      <c r="L46" s="5905"/>
      <c r="M46" s="5905"/>
      <c r="N46" s="3684" t="s">
        <v>251</v>
      </c>
      <c r="O46" s="4313" t="s">
        <v>1001</v>
      </c>
      <c r="P46" s="4313"/>
      <c r="Q46" s="4313"/>
      <c r="R46" s="4313"/>
      <c r="S46" s="4313"/>
      <c r="T46" s="4313"/>
      <c r="U46" s="4313"/>
      <c r="V46" s="4313"/>
      <c r="W46" s="4313"/>
      <c r="X46" s="4313"/>
      <c r="Y46" s="4313"/>
      <c r="Z46" s="4313"/>
      <c r="AA46" s="4313"/>
      <c r="AB46" s="4313"/>
      <c r="AC46" s="4313"/>
      <c r="AD46" s="4313"/>
      <c r="AE46" s="4313"/>
      <c r="AF46" s="4313"/>
      <c r="AG46" s="4313"/>
      <c r="AH46" s="804"/>
    </row>
    <row r="47" spans="1:34">
      <c r="A47" s="5030"/>
      <c r="B47" s="2196" t="s">
        <v>293</v>
      </c>
      <c r="C47" s="2242" t="s">
        <v>733</v>
      </c>
      <c r="D47" s="2235"/>
      <c r="E47" s="779"/>
      <c r="F47" s="779"/>
      <c r="G47" s="779"/>
      <c r="H47" s="779"/>
      <c r="I47" s="880" t="s">
        <v>222</v>
      </c>
      <c r="J47" s="779"/>
      <c r="K47" s="48"/>
      <c r="L47" s="48"/>
      <c r="M47" s="779"/>
      <c r="N47" s="779"/>
      <c r="O47" s="779"/>
      <c r="P47" s="779"/>
      <c r="Q47" s="779"/>
      <c r="R47" s="779"/>
      <c r="S47" s="779"/>
      <c r="T47" s="779"/>
      <c r="U47" s="779"/>
      <c r="V47" s="779"/>
      <c r="W47" s="779"/>
      <c r="X47" s="779"/>
      <c r="Y47" s="779"/>
      <c r="Z47" s="779"/>
      <c r="AA47" s="779"/>
      <c r="AB47" s="2434"/>
      <c r="AC47" s="779"/>
      <c r="AD47" s="779"/>
      <c r="AE47" s="779"/>
      <c r="AF47" s="779"/>
      <c r="AG47" s="779"/>
      <c r="AH47" s="804"/>
    </row>
    <row r="48" spans="1:34">
      <c r="A48" s="5030"/>
      <c r="B48" s="2196" t="s">
        <v>692</v>
      </c>
      <c r="C48" s="1953" t="s">
        <v>693</v>
      </c>
      <c r="D48" s="2235"/>
      <c r="E48" s="779"/>
      <c r="F48" s="779"/>
      <c r="G48" s="779"/>
      <c r="H48" s="48"/>
      <c r="I48" s="880" t="s">
        <v>222</v>
      </c>
      <c r="J48" s="48"/>
      <c r="K48" s="48"/>
      <c r="L48" s="48"/>
      <c r="M48" s="779"/>
      <c r="N48" s="779"/>
      <c r="O48" s="779"/>
      <c r="P48" s="779"/>
      <c r="Q48" s="779"/>
      <c r="R48" s="779"/>
      <c r="S48" s="779"/>
      <c r="T48" s="779"/>
      <c r="U48" s="779"/>
      <c r="V48" s="779"/>
      <c r="W48" s="779"/>
      <c r="X48" s="779"/>
      <c r="Y48" s="779"/>
      <c r="Z48" s="779"/>
      <c r="AA48" s="779"/>
      <c r="AB48" s="779"/>
      <c r="AC48" s="779"/>
      <c r="AD48" s="779"/>
      <c r="AE48" s="779"/>
      <c r="AF48" s="779"/>
      <c r="AG48" s="779"/>
      <c r="AH48" s="804"/>
    </row>
    <row r="49" spans="1:34">
      <c r="A49" s="5030"/>
      <c r="B49" s="1977" t="s">
        <v>127</v>
      </c>
      <c r="C49" s="2242" t="s">
        <v>657</v>
      </c>
      <c r="D49" s="4514" t="s">
        <v>158</v>
      </c>
      <c r="E49" s="4475"/>
      <c r="F49" s="4475"/>
      <c r="G49" s="4475"/>
      <c r="H49" s="48"/>
      <c r="I49" s="880" t="s">
        <v>222</v>
      </c>
      <c r="J49" s="779"/>
      <c r="K49" s="779"/>
      <c r="L49" s="5906" t="s">
        <v>251</v>
      </c>
      <c r="M49" s="5906"/>
      <c r="N49" s="779"/>
      <c r="O49" s="779"/>
      <c r="P49" s="5905" t="s">
        <v>862</v>
      </c>
      <c r="Q49" s="5905"/>
      <c r="R49" s="5905"/>
      <c r="S49" s="5905"/>
      <c r="T49" s="5905"/>
      <c r="U49" s="5905"/>
      <c r="V49" s="5905"/>
      <c r="W49" s="779"/>
      <c r="X49" s="3684" t="s">
        <v>251</v>
      </c>
      <c r="Y49" s="779"/>
      <c r="Z49" s="779"/>
      <c r="AA49" s="779"/>
      <c r="AB49" s="779"/>
      <c r="AC49" s="779"/>
      <c r="AD49" s="779"/>
      <c r="AE49" s="779"/>
      <c r="AF49" s="779"/>
      <c r="AG49" s="779"/>
      <c r="AH49" s="804"/>
    </row>
    <row r="50" spans="1:34">
      <c r="A50" s="5030"/>
      <c r="B50" s="1972" t="s">
        <v>554</v>
      </c>
      <c r="C50" s="1945" t="s">
        <v>555</v>
      </c>
      <c r="D50" s="935"/>
      <c r="E50" s="779"/>
      <c r="F50" s="779"/>
      <c r="G50" s="779"/>
      <c r="H50" s="48"/>
      <c r="I50" s="880" t="s">
        <v>222</v>
      </c>
      <c r="J50" s="779"/>
      <c r="K50" s="779"/>
      <c r="L50" s="779"/>
      <c r="M50" s="779"/>
      <c r="N50" s="779"/>
      <c r="O50" s="779"/>
      <c r="P50" s="779"/>
      <c r="Q50" s="779"/>
      <c r="R50" s="779"/>
      <c r="S50" s="779"/>
      <c r="T50" s="779"/>
      <c r="U50" s="779"/>
      <c r="V50" s="779"/>
      <c r="W50" s="779"/>
      <c r="X50" s="779"/>
      <c r="Y50" s="779"/>
      <c r="Z50" s="779"/>
      <c r="AA50" s="779"/>
      <c r="AB50" s="779"/>
      <c r="AC50" s="779"/>
      <c r="AD50" s="779"/>
      <c r="AE50" s="779"/>
      <c r="AF50" s="779"/>
      <c r="AG50" s="779"/>
      <c r="AH50" s="804"/>
    </row>
    <row r="51" spans="1:34">
      <c r="A51" s="5030"/>
      <c r="B51" s="1972" t="s">
        <v>129</v>
      </c>
      <c r="C51" s="1945" t="s">
        <v>474</v>
      </c>
      <c r="D51" s="2808"/>
      <c r="E51" s="2735"/>
      <c r="F51" s="2735"/>
      <c r="G51" s="2735"/>
      <c r="H51" s="4475" t="s">
        <v>112</v>
      </c>
      <c r="I51" s="4475"/>
      <c r="J51" s="4475"/>
      <c r="K51" s="4475"/>
      <c r="L51" s="48"/>
      <c r="M51" s="779"/>
      <c r="N51" s="779"/>
      <c r="O51" s="779"/>
      <c r="P51" s="2434"/>
      <c r="Q51" s="779"/>
      <c r="R51" s="779"/>
      <c r="S51" s="4475" t="s">
        <v>1002</v>
      </c>
      <c r="T51" s="4475"/>
      <c r="U51" s="4475"/>
      <c r="V51" s="4475"/>
      <c r="W51" s="4475"/>
      <c r="X51" s="4475"/>
      <c r="Y51" s="4475"/>
      <c r="Z51" s="4475"/>
      <c r="AA51" s="4475"/>
      <c r="AB51" s="4475"/>
      <c r="AC51" s="4475"/>
      <c r="AD51" s="4475"/>
      <c r="AE51" s="4475"/>
      <c r="AF51" s="4475"/>
      <c r="AG51" s="4475"/>
      <c r="AH51" s="804"/>
    </row>
    <row r="52" spans="1:34">
      <c r="A52" s="5030"/>
      <c r="B52" s="1972" t="s">
        <v>134</v>
      </c>
      <c r="C52" s="1945" t="s">
        <v>135</v>
      </c>
      <c r="D52" s="935"/>
      <c r="E52" s="779"/>
      <c r="F52" s="779"/>
      <c r="G52" s="779"/>
      <c r="H52" s="48"/>
      <c r="I52" s="904" t="s">
        <v>222</v>
      </c>
      <c r="J52" s="48"/>
      <c r="K52" s="48"/>
      <c r="L52" s="48"/>
      <c r="M52" s="2434" t="s">
        <v>722</v>
      </c>
      <c r="N52" s="779"/>
      <c r="O52" s="779"/>
      <c r="P52" s="779"/>
      <c r="Q52" s="779"/>
      <c r="R52" s="779"/>
      <c r="S52" s="779"/>
      <c r="T52" s="779"/>
      <c r="U52" s="779"/>
      <c r="V52" s="2434" t="s">
        <v>722</v>
      </c>
      <c r="W52" s="779"/>
      <c r="X52" s="779"/>
      <c r="Y52" s="779"/>
      <c r="Z52" s="779"/>
      <c r="AA52" s="779"/>
      <c r="AB52" s="779"/>
      <c r="AC52" s="779"/>
      <c r="AD52" s="779"/>
      <c r="AE52" s="779"/>
      <c r="AF52" s="779"/>
      <c r="AG52" s="779"/>
      <c r="AH52" s="804"/>
    </row>
    <row r="53" spans="1:34">
      <c r="A53" s="5031"/>
      <c r="B53" s="1973" t="s">
        <v>333</v>
      </c>
      <c r="C53" s="2604" t="s">
        <v>334</v>
      </c>
      <c r="D53" s="2766" t="s">
        <v>720</v>
      </c>
      <c r="E53" s="782"/>
      <c r="F53" s="782"/>
      <c r="G53" s="2443" t="s">
        <v>722</v>
      </c>
      <c r="H53" s="1376"/>
      <c r="I53" s="1052" t="s">
        <v>222</v>
      </c>
      <c r="J53" s="1376"/>
      <c r="K53" s="1376"/>
      <c r="L53" s="4443" t="s">
        <v>158</v>
      </c>
      <c r="M53" s="4443"/>
      <c r="N53" s="4443"/>
      <c r="O53" s="4443"/>
      <c r="P53" s="2367"/>
      <c r="Q53" s="2765" t="s">
        <v>722</v>
      </c>
      <c r="R53" s="782"/>
      <c r="S53" s="782"/>
      <c r="T53" s="782"/>
      <c r="U53" s="782"/>
      <c r="V53" s="782"/>
      <c r="W53" s="782"/>
      <c r="X53" s="782"/>
      <c r="Y53" s="782"/>
      <c r="Z53" s="782"/>
      <c r="AA53" s="782"/>
      <c r="AB53" s="782"/>
      <c r="AC53" s="782"/>
      <c r="AD53" s="782"/>
      <c r="AE53" s="782"/>
      <c r="AF53" s="782"/>
      <c r="AG53" s="782"/>
      <c r="AH53" s="807"/>
    </row>
    <row r="54" spans="1:34">
      <c r="A54" s="4676" t="s">
        <v>136</v>
      </c>
      <c r="B54" s="2269" t="s">
        <v>77</v>
      </c>
      <c r="C54" s="2213" t="s">
        <v>153</v>
      </c>
      <c r="D54" s="2815"/>
      <c r="E54" s="371"/>
      <c r="F54" s="371"/>
      <c r="G54" s="371"/>
      <c r="H54" s="906"/>
      <c r="I54" s="2697" t="s">
        <v>222</v>
      </c>
      <c r="J54" s="2437" t="s">
        <v>720</v>
      </c>
      <c r="K54" s="906"/>
      <c r="L54" s="371"/>
      <c r="M54" s="371"/>
      <c r="N54" s="371"/>
      <c r="O54" s="371"/>
      <c r="P54" s="371"/>
      <c r="Q54" s="371"/>
      <c r="R54" s="371"/>
      <c r="S54" s="371"/>
      <c r="T54" s="371"/>
      <c r="U54" s="371"/>
      <c r="V54" s="371"/>
      <c r="W54" s="371"/>
      <c r="X54" s="2437" t="s">
        <v>720</v>
      </c>
      <c r="Y54" s="2437" t="s">
        <v>720</v>
      </c>
      <c r="Z54" s="371"/>
      <c r="AA54" s="371"/>
      <c r="AB54" s="371"/>
      <c r="AC54" s="2437"/>
      <c r="AD54" s="371"/>
      <c r="AE54" s="2437" t="s">
        <v>720</v>
      </c>
      <c r="AF54" s="371"/>
      <c r="AG54" s="371"/>
      <c r="AH54" s="864"/>
    </row>
    <row r="55" spans="1:34">
      <c r="A55" s="4676"/>
      <c r="B55" s="2801" t="s">
        <v>95</v>
      </c>
      <c r="C55" s="1946" t="s">
        <v>738</v>
      </c>
      <c r="D55" s="860"/>
      <c r="E55" s="363"/>
      <c r="F55" s="363"/>
      <c r="G55" s="363"/>
      <c r="H55" s="363"/>
      <c r="I55" s="363"/>
      <c r="J55" s="363"/>
      <c r="K55" s="363"/>
      <c r="L55" s="48"/>
      <c r="M55" s="779"/>
      <c r="N55" s="779"/>
      <c r="O55" s="779"/>
      <c r="P55" s="779"/>
      <c r="Q55" s="779"/>
      <c r="R55" s="779"/>
      <c r="S55" s="779"/>
      <c r="T55" s="779"/>
      <c r="U55" s="779"/>
      <c r="V55" s="779"/>
      <c r="W55" s="779"/>
      <c r="X55" s="363"/>
      <c r="Y55" s="363"/>
      <c r="Z55" s="363"/>
      <c r="AA55" s="363"/>
      <c r="AB55" s="363"/>
      <c r="AC55" s="363"/>
      <c r="AD55" s="363"/>
      <c r="AE55" s="363"/>
      <c r="AF55" s="363"/>
      <c r="AG55" s="363"/>
      <c r="AH55" s="863"/>
    </row>
    <row r="56" spans="1:34">
      <c r="A56" s="4677"/>
      <c r="B56" s="2816" t="s">
        <v>739</v>
      </c>
      <c r="C56" s="2604" t="s">
        <v>740</v>
      </c>
      <c r="D56" s="5884" t="s">
        <v>208</v>
      </c>
      <c r="E56" s="5885"/>
      <c r="F56" s="5885"/>
      <c r="G56" s="5885"/>
      <c r="H56" s="5885"/>
      <c r="I56" s="5885"/>
      <c r="J56" s="5885"/>
      <c r="K56" s="5885"/>
      <c r="L56" s="5885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  <c r="AF56" s="770"/>
      <c r="AG56" s="770"/>
      <c r="AH56" s="867"/>
    </row>
    <row r="57" spans="1:34">
      <c r="A57" s="4403" t="s">
        <v>144</v>
      </c>
      <c r="B57" s="2481" t="s">
        <v>145</v>
      </c>
      <c r="C57" s="2804" t="s">
        <v>618</v>
      </c>
      <c r="D57" s="1008"/>
      <c r="E57" s="371"/>
      <c r="F57" s="371"/>
      <c r="G57" s="371"/>
      <c r="H57" s="906"/>
      <c r="I57" s="2697" t="s">
        <v>222</v>
      </c>
      <c r="J57" s="906"/>
      <c r="K57" s="2437"/>
      <c r="L57" s="906"/>
      <c r="M57" s="371"/>
      <c r="N57" s="371"/>
      <c r="O57" s="371"/>
      <c r="P57" s="371"/>
      <c r="Q57" s="371"/>
      <c r="R57" s="371"/>
      <c r="S57" s="371"/>
      <c r="T57" s="371"/>
      <c r="U57" s="371"/>
      <c r="V57" s="4645" t="s">
        <v>329</v>
      </c>
      <c r="W57" s="5887"/>
      <c r="X57" s="5887"/>
      <c r="Y57" s="5887"/>
      <c r="Z57" s="5887"/>
      <c r="AA57" s="371"/>
      <c r="AB57" s="371"/>
      <c r="AC57" s="371"/>
      <c r="AD57" s="371"/>
      <c r="AE57" s="371"/>
      <c r="AF57" s="2437" t="s">
        <v>720</v>
      </c>
      <c r="AG57" s="371"/>
      <c r="AH57" s="864"/>
    </row>
    <row r="58" spans="1:34">
      <c r="A58" s="4403"/>
      <c r="B58" s="927" t="s">
        <v>145</v>
      </c>
      <c r="C58" s="929" t="s">
        <v>148</v>
      </c>
      <c r="D58" s="860"/>
      <c r="E58" s="363"/>
      <c r="F58" s="363"/>
      <c r="G58" s="363"/>
      <c r="H58" s="2399" t="s">
        <v>704</v>
      </c>
      <c r="I58" s="2434" t="s">
        <v>720</v>
      </c>
      <c r="J58" s="48"/>
      <c r="K58" s="48"/>
      <c r="L58" s="48"/>
      <c r="M58" s="363"/>
      <c r="N58" s="363"/>
      <c r="O58" s="363"/>
      <c r="P58" s="2423"/>
      <c r="Q58" s="2423"/>
      <c r="R58" s="2434"/>
      <c r="S58" s="363"/>
      <c r="T58" s="2434" t="s">
        <v>720</v>
      </c>
      <c r="U58" s="363"/>
      <c r="V58" s="363"/>
      <c r="W58" s="363"/>
      <c r="X58" s="2434"/>
      <c r="Y58" s="363"/>
      <c r="Z58" s="363"/>
      <c r="AA58" s="363"/>
      <c r="AB58" s="363"/>
      <c r="AC58" s="2434" t="s">
        <v>722</v>
      </c>
      <c r="AD58" s="363"/>
      <c r="AE58" s="363"/>
      <c r="AF58" s="2434"/>
      <c r="AG58" s="363"/>
      <c r="AH58" s="863"/>
    </row>
    <row r="59" spans="1:34">
      <c r="A59" s="4403"/>
      <c r="B59" s="927" t="s">
        <v>149</v>
      </c>
      <c r="C59" s="929" t="s">
        <v>744</v>
      </c>
      <c r="D59" s="860" t="s">
        <v>26</v>
      </c>
      <c r="E59" s="363"/>
      <c r="F59" s="363"/>
      <c r="G59" s="363"/>
      <c r="H59" s="2"/>
      <c r="I59" s="880" t="s">
        <v>222</v>
      </c>
      <c r="J59" s="363"/>
      <c r="K59" s="48"/>
      <c r="L59" s="48"/>
      <c r="M59" s="363"/>
      <c r="N59" s="363"/>
      <c r="O59" s="363"/>
      <c r="P59" s="363"/>
      <c r="Q59" s="363"/>
      <c r="R59" s="363"/>
      <c r="S59" s="363"/>
      <c r="T59" s="363"/>
      <c r="U59" s="363"/>
      <c r="V59" s="363"/>
      <c r="W59" s="363"/>
      <c r="X59" s="363"/>
      <c r="Y59" s="363"/>
      <c r="Z59" s="363"/>
      <c r="AA59" s="363"/>
      <c r="AB59" s="363"/>
      <c r="AC59" s="363"/>
      <c r="AD59" s="363"/>
      <c r="AE59" s="363"/>
      <c r="AF59" s="363" t="s">
        <v>1003</v>
      </c>
      <c r="AG59" s="363"/>
      <c r="AH59" s="863"/>
    </row>
    <row r="60" spans="1:34">
      <c r="A60" s="4404"/>
      <c r="B60" s="928" t="s">
        <v>149</v>
      </c>
      <c r="C60" s="2557" t="s">
        <v>151</v>
      </c>
      <c r="D60" s="1007"/>
      <c r="E60" s="770"/>
      <c r="F60" s="770"/>
      <c r="G60" s="770"/>
      <c r="H60" s="1376"/>
      <c r="I60" s="2443" t="s">
        <v>722</v>
      </c>
      <c r="J60" s="1376"/>
      <c r="K60" s="1376"/>
      <c r="L60" s="1376"/>
      <c r="M60" s="770"/>
      <c r="N60" s="770"/>
      <c r="O60" s="770"/>
      <c r="P60" s="2817"/>
      <c r="Q60" s="2818" t="s">
        <v>989</v>
      </c>
      <c r="R60" s="770"/>
      <c r="S60" s="770"/>
      <c r="T60" s="2443" t="s">
        <v>722</v>
      </c>
      <c r="U60" s="770"/>
      <c r="V60" s="4443" t="s">
        <v>1004</v>
      </c>
      <c r="W60" s="4443"/>
      <c r="X60" s="4443"/>
      <c r="Y60" s="4443"/>
      <c r="Z60" s="4443"/>
      <c r="AA60" s="770"/>
      <c r="AB60" s="770"/>
      <c r="AC60" s="770"/>
      <c r="AD60" s="770"/>
      <c r="AE60" s="770"/>
      <c r="AF60" s="770"/>
      <c r="AG60" s="770"/>
      <c r="AH60" s="867"/>
    </row>
    <row r="61" spans="1:34">
      <c r="A61" s="3595"/>
      <c r="B61" s="2481" t="s">
        <v>100</v>
      </c>
      <c r="C61" s="2804" t="s">
        <v>78</v>
      </c>
      <c r="D61" s="5645" t="s">
        <v>112</v>
      </c>
      <c r="E61" s="4502"/>
      <c r="F61" s="4502"/>
      <c r="G61" s="4502"/>
      <c r="H61" s="4502"/>
      <c r="I61" s="4502"/>
      <c r="J61" s="4502"/>
      <c r="K61" s="4502"/>
      <c r="L61" s="4502"/>
      <c r="M61" s="4502"/>
      <c r="N61" s="4502"/>
      <c r="O61" s="4502"/>
      <c r="P61" s="4502"/>
      <c r="Q61" s="4502"/>
      <c r="R61" s="4502"/>
      <c r="S61" s="4502"/>
      <c r="T61" s="4502"/>
      <c r="U61" s="4502"/>
      <c r="V61" s="4502"/>
      <c r="W61" s="4502"/>
      <c r="X61" s="4502"/>
      <c r="Y61" s="4502"/>
      <c r="Z61" s="4502"/>
      <c r="AA61" s="4502"/>
      <c r="AB61" s="4502"/>
      <c r="AC61" s="4502"/>
      <c r="AD61" s="4502"/>
      <c r="AE61" s="4502"/>
      <c r="AF61" s="4502"/>
      <c r="AG61" s="4502"/>
      <c r="AH61" s="4552"/>
    </row>
    <row r="62" spans="1:34" ht="15.75" customHeight="1">
      <c r="A62" s="5452" t="s">
        <v>745</v>
      </c>
      <c r="B62" s="927" t="s">
        <v>283</v>
      </c>
      <c r="C62" s="929" t="s">
        <v>1005</v>
      </c>
      <c r="D62" s="2430" t="s">
        <v>717</v>
      </c>
      <c r="E62" s="363"/>
      <c r="F62" s="363"/>
      <c r="G62" s="363"/>
      <c r="H62" s="2399" t="s">
        <v>704</v>
      </c>
      <c r="I62" s="880"/>
      <c r="J62" s="48"/>
      <c r="K62" s="48"/>
      <c r="L62" s="48"/>
      <c r="M62" s="363"/>
      <c r="N62" s="363"/>
      <c r="O62" s="363"/>
      <c r="P62" s="2423"/>
      <c r="Q62" s="2797" t="s">
        <v>989</v>
      </c>
      <c r="R62" s="363"/>
      <c r="S62" s="363"/>
      <c r="T62" s="363"/>
      <c r="U62" s="363"/>
      <c r="V62" s="3600" t="s">
        <v>483</v>
      </c>
      <c r="W62" s="363"/>
      <c r="X62" s="363"/>
      <c r="Y62" s="48"/>
      <c r="Z62" s="2847" t="s">
        <v>1006</v>
      </c>
      <c r="AA62" s="48"/>
      <c r="AB62" s="48"/>
      <c r="AC62" s="48"/>
      <c r="AD62" s="2434" t="s">
        <v>717</v>
      </c>
      <c r="AE62" s="363"/>
      <c r="AF62" s="363"/>
      <c r="AG62" s="363"/>
      <c r="AH62" s="863"/>
    </row>
    <row r="63" spans="1:34">
      <c r="A63" s="5452"/>
      <c r="B63" s="927" t="s">
        <v>95</v>
      </c>
      <c r="C63" s="929" t="s">
        <v>620</v>
      </c>
      <c r="D63" s="4514" t="s">
        <v>749</v>
      </c>
      <c r="E63" s="4475"/>
      <c r="F63" s="4475"/>
      <c r="G63" s="4475"/>
      <c r="H63" s="4475"/>
      <c r="I63" s="4475"/>
      <c r="J63" s="4475"/>
      <c r="K63" s="4475"/>
      <c r="L63" s="4475"/>
      <c r="M63" s="4475"/>
      <c r="N63" s="4475"/>
      <c r="O63" s="4475"/>
      <c r="P63" s="4475"/>
      <c r="Q63" s="4475"/>
      <c r="R63" s="4475"/>
      <c r="S63" s="363"/>
      <c r="T63" s="363"/>
      <c r="U63" s="363"/>
      <c r="V63" s="363"/>
      <c r="W63" s="2434" t="s">
        <v>720</v>
      </c>
      <c r="X63" s="363"/>
      <c r="Y63" s="4449" t="s">
        <v>89</v>
      </c>
      <c r="Z63" s="4757"/>
      <c r="AA63" s="48"/>
      <c r="AB63" s="48"/>
      <c r="AC63" s="48"/>
      <c r="AD63" s="48"/>
      <c r="AE63" s="363"/>
      <c r="AF63" s="363"/>
      <c r="AG63" s="2826" t="s">
        <v>1007</v>
      </c>
      <c r="AH63" s="2444" t="s">
        <v>722</v>
      </c>
    </row>
    <row r="64" spans="1:34">
      <c r="A64" s="5452"/>
      <c r="B64" s="2246" t="s">
        <v>127</v>
      </c>
      <c r="C64" s="2610" t="s">
        <v>128</v>
      </c>
      <c r="D64" s="2430" t="s">
        <v>722</v>
      </c>
      <c r="E64" s="2"/>
      <c r="F64" s="2"/>
      <c r="G64" s="2"/>
      <c r="H64" s="2399" t="s">
        <v>704</v>
      </c>
      <c r="I64" s="880" t="s">
        <v>222</v>
      </c>
      <c r="J64" s="2434"/>
      <c r="K64" s="2"/>
      <c r="L64" s="2"/>
      <c r="M64" s="2"/>
      <c r="N64" s="2434" t="s">
        <v>722</v>
      </c>
      <c r="O64" s="363"/>
      <c r="P64" s="2423"/>
      <c r="Q64" s="2797" t="s">
        <v>989</v>
      </c>
      <c r="R64" s="363"/>
      <c r="S64" s="2"/>
      <c r="T64" s="2"/>
      <c r="U64" s="2"/>
      <c r="V64" s="2"/>
      <c r="W64" s="2"/>
      <c r="X64" s="5774" t="s">
        <v>1008</v>
      </c>
      <c r="Y64" s="5774"/>
      <c r="Z64" s="5774"/>
      <c r="AA64" s="5774"/>
      <c r="AB64" s="5774"/>
      <c r="AC64" s="5774"/>
      <c r="AD64" s="5774"/>
      <c r="AE64" s="5774"/>
      <c r="AF64" s="5774"/>
      <c r="AG64" s="5774"/>
      <c r="AH64" s="5886"/>
    </row>
    <row r="65" spans="1:34">
      <c r="A65" s="5452"/>
      <c r="B65" s="2246" t="s">
        <v>90</v>
      </c>
      <c r="C65" s="2610" t="s">
        <v>660</v>
      </c>
      <c r="D65" s="2235"/>
      <c r="E65" s="2"/>
      <c r="F65" s="2"/>
      <c r="G65" s="2"/>
      <c r="H65" s="2399" t="s">
        <v>704</v>
      </c>
      <c r="I65" s="880" t="s">
        <v>222</v>
      </c>
      <c r="J65" s="2"/>
      <c r="K65" s="2"/>
      <c r="L65" s="2"/>
      <c r="M65" s="2"/>
      <c r="N65" s="2"/>
      <c r="O65" s="2434" t="s">
        <v>720</v>
      </c>
      <c r="P65" s="2423"/>
      <c r="Q65" s="2797" t="s">
        <v>989</v>
      </c>
      <c r="R65" s="2434" t="s">
        <v>722</v>
      </c>
      <c r="S65" s="2"/>
      <c r="T65" s="2"/>
      <c r="U65" s="2434" t="s">
        <v>720</v>
      </c>
      <c r="V65" s="2826" t="s">
        <v>1007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434" t="s">
        <v>722</v>
      </c>
      <c r="AH65" s="863"/>
    </row>
    <row r="66" spans="1:34" ht="15.75" customHeight="1">
      <c r="A66" s="5453"/>
      <c r="B66" s="928" t="s">
        <v>81</v>
      </c>
      <c r="C66" s="2557" t="s">
        <v>396</v>
      </c>
      <c r="D66" s="1007"/>
      <c r="E66" s="770"/>
      <c r="F66" s="2443" t="s">
        <v>720</v>
      </c>
      <c r="G66" s="321"/>
      <c r="H66" s="2819" t="s">
        <v>704</v>
      </c>
      <c r="I66" s="2698" t="s">
        <v>222</v>
      </c>
      <c r="J66" s="2443" t="s">
        <v>722</v>
      </c>
      <c r="K66" s="321"/>
      <c r="L66" s="321"/>
      <c r="M66" s="770"/>
      <c r="N66" s="770"/>
      <c r="O66" s="770"/>
      <c r="P66" s="2817"/>
      <c r="Q66" s="2818" t="s">
        <v>989</v>
      </c>
      <c r="R66" s="770"/>
      <c r="S66" s="2437" t="s">
        <v>722</v>
      </c>
      <c r="T66" s="2820"/>
      <c r="U66" s="2820"/>
      <c r="V66" s="2820"/>
      <c r="W66" s="2820"/>
      <c r="X66" s="2820"/>
      <c r="Y66" s="2820"/>
      <c r="Z66" s="2820"/>
      <c r="AA66" s="770"/>
      <c r="AB66" s="770"/>
      <c r="AC66" s="770"/>
      <c r="AD66" s="2443"/>
      <c r="AE66" s="770"/>
      <c r="AF66" s="770"/>
      <c r="AG66" s="770"/>
      <c r="AH66" s="867"/>
    </row>
    <row r="67" spans="1:34">
      <c r="A67" s="5452" t="s">
        <v>751</v>
      </c>
      <c r="B67" s="2481" t="s">
        <v>561</v>
      </c>
      <c r="C67" s="2804" t="s">
        <v>303</v>
      </c>
      <c r="D67" s="2744" t="s">
        <v>754</v>
      </c>
      <c r="E67" s="2743" t="s">
        <v>251</v>
      </c>
      <c r="F67" s="371"/>
      <c r="G67" s="371"/>
      <c r="H67" s="371"/>
      <c r="I67" s="2697" t="s">
        <v>222</v>
      </c>
      <c r="J67" s="371"/>
      <c r="K67" s="371"/>
      <c r="L67" s="371"/>
      <c r="M67" s="2437" t="s">
        <v>720</v>
      </c>
      <c r="N67" s="371"/>
      <c r="O67" s="371"/>
      <c r="P67" s="371"/>
      <c r="Q67" s="371"/>
      <c r="R67" s="776"/>
      <c r="S67" s="2437"/>
      <c r="T67" s="371"/>
      <c r="U67" s="371"/>
      <c r="V67" s="371"/>
      <c r="W67" s="371"/>
      <c r="X67" s="371"/>
      <c r="Y67" s="2437"/>
      <c r="Z67" s="2437" t="s">
        <v>722</v>
      </c>
      <c r="AA67" s="371"/>
      <c r="AB67" s="371"/>
      <c r="AC67" s="371"/>
      <c r="AD67" s="371"/>
      <c r="AE67" s="371"/>
      <c r="AF67" s="371"/>
      <c r="AG67" s="371"/>
      <c r="AH67" s="864"/>
    </row>
    <row r="68" spans="1:34">
      <c r="A68" s="5453"/>
      <c r="B68" s="928" t="s">
        <v>155</v>
      </c>
      <c r="C68" s="2347" t="s">
        <v>532</v>
      </c>
      <c r="D68" s="1007"/>
      <c r="E68" s="770"/>
      <c r="F68" s="770"/>
      <c r="G68" s="2742" t="s">
        <v>251</v>
      </c>
      <c r="H68" s="5883" t="s">
        <v>1009</v>
      </c>
      <c r="I68" s="5883"/>
      <c r="J68" s="5883"/>
      <c r="K68" s="5883"/>
      <c r="L68" s="5883"/>
      <c r="M68" s="2742" t="s">
        <v>251</v>
      </c>
      <c r="N68" s="770"/>
      <c r="O68" s="2443" t="s">
        <v>722</v>
      </c>
      <c r="P68" s="770"/>
      <c r="Q68" s="2443"/>
      <c r="R68" s="770"/>
      <c r="S68" s="770"/>
      <c r="T68" s="2742" t="s">
        <v>251</v>
      </c>
      <c r="U68" s="5888" t="s">
        <v>1009</v>
      </c>
      <c r="V68" s="5889"/>
      <c r="W68" s="5889"/>
      <c r="X68" s="5889"/>
      <c r="Y68" s="5889"/>
      <c r="Z68" s="5890"/>
      <c r="AA68" s="2742" t="s">
        <v>251</v>
      </c>
      <c r="AB68" s="770"/>
      <c r="AC68" s="770"/>
      <c r="AD68" s="770"/>
      <c r="AE68" s="770"/>
      <c r="AF68" s="770"/>
      <c r="AG68" s="770"/>
      <c r="AH68" s="867"/>
    </row>
    <row r="69" spans="1:34">
      <c r="A69" s="283"/>
      <c r="B69" s="283"/>
      <c r="C69" s="283"/>
    </row>
    <row r="70" spans="1:34">
      <c r="B70" s="283"/>
      <c r="C70" s="283"/>
    </row>
    <row r="71" spans="1:34">
      <c r="Y71" s="3583"/>
    </row>
  </sheetData>
  <mergeCells count="63">
    <mergeCell ref="H51:K51"/>
    <mergeCell ref="P45:V45"/>
    <mergeCell ref="P49:V49"/>
    <mergeCell ref="AB34:AG34"/>
    <mergeCell ref="S51:AG51"/>
    <mergeCell ref="AC14:AH14"/>
    <mergeCell ref="D49:G49"/>
    <mergeCell ref="D46:M46"/>
    <mergeCell ref="D44:J44"/>
    <mergeCell ref="O46:AG46"/>
    <mergeCell ref="L45:M45"/>
    <mergeCell ref="L49:M49"/>
    <mergeCell ref="D43:G43"/>
    <mergeCell ref="D42:H42"/>
    <mergeCell ref="W25:Y25"/>
    <mergeCell ref="G27:M27"/>
    <mergeCell ref="D41:M41"/>
    <mergeCell ref="AG36:AH36"/>
    <mergeCell ref="AC28:AD28"/>
    <mergeCell ref="V22:Z22"/>
    <mergeCell ref="A29:A31"/>
    <mergeCell ref="A32:A36"/>
    <mergeCell ref="A37:A53"/>
    <mergeCell ref="A19:C19"/>
    <mergeCell ref="A20:C20"/>
    <mergeCell ref="A21:C21"/>
    <mergeCell ref="A22:C22"/>
    <mergeCell ref="A23:C23"/>
    <mergeCell ref="A10:C10"/>
    <mergeCell ref="A12:C12"/>
    <mergeCell ref="A17:C17"/>
    <mergeCell ref="A18:C18"/>
    <mergeCell ref="A14:C14"/>
    <mergeCell ref="A16:C16"/>
    <mergeCell ref="L53:O53"/>
    <mergeCell ref="D1:AH1"/>
    <mergeCell ref="O18:S18"/>
    <mergeCell ref="V18:Z18"/>
    <mergeCell ref="A11:C11"/>
    <mergeCell ref="A1:C1"/>
    <mergeCell ref="A2:C2"/>
    <mergeCell ref="A3:C3"/>
    <mergeCell ref="A4:C4"/>
    <mergeCell ref="A5:C5"/>
    <mergeCell ref="A6:C6"/>
    <mergeCell ref="A7:C7"/>
    <mergeCell ref="A9:C9"/>
    <mergeCell ref="A8:C8"/>
    <mergeCell ref="A13:C13"/>
    <mergeCell ref="A15:C15"/>
    <mergeCell ref="H68:L68"/>
    <mergeCell ref="D56:L56"/>
    <mergeCell ref="A67:A68"/>
    <mergeCell ref="A54:A56"/>
    <mergeCell ref="A57:A60"/>
    <mergeCell ref="D63:R63"/>
    <mergeCell ref="D61:AH61"/>
    <mergeCell ref="V60:Z60"/>
    <mergeCell ref="A62:A66"/>
    <mergeCell ref="X64:AH64"/>
    <mergeCell ref="V57:Z57"/>
    <mergeCell ref="Y63:Z63"/>
    <mergeCell ref="U68:Z68"/>
  </mergeCells>
  <printOptions horizontalCentered="1" verticalCentered="1"/>
  <pageMargins left="0.7" right="0.7" top="0.75" bottom="0.75" header="0.3" footer="0.3"/>
  <pageSetup fitToHeight="0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B3F9D-868F-45F1-A3A1-E1C06FEE9164}">
  <sheetPr>
    <pageSetUpPr fitToPage="1"/>
  </sheetPr>
  <dimension ref="A1:AJ69"/>
  <sheetViews>
    <sheetView workbookViewId="0">
      <pane ySplit="1" topLeftCell="A28" activePane="bottomLeft" state="frozen"/>
      <selection pane="bottomLeft" activeCell="AH28" sqref="AH28"/>
    </sheetView>
  </sheetViews>
  <sheetFormatPr defaultRowHeight="15"/>
  <cols>
    <col min="3" max="3" width="11.5703125" bestFit="1" customWidth="1"/>
    <col min="27" max="27" width="10.140625" bestFit="1" customWidth="1"/>
  </cols>
  <sheetData>
    <row r="1" spans="1:34">
      <c r="A1" s="5065" t="s">
        <v>29</v>
      </c>
      <c r="B1" s="5066"/>
      <c r="C1" s="5066"/>
      <c r="D1" s="5891" t="s">
        <v>1010</v>
      </c>
      <c r="E1" s="5892"/>
      <c r="F1" s="5892"/>
      <c r="G1" s="5892"/>
      <c r="H1" s="5892"/>
      <c r="I1" s="5892"/>
      <c r="J1" s="5892"/>
      <c r="K1" s="5892"/>
      <c r="L1" s="5892"/>
      <c r="M1" s="5892"/>
      <c r="N1" s="5892"/>
      <c r="O1" s="5892"/>
      <c r="P1" s="5892"/>
      <c r="Q1" s="5892"/>
      <c r="R1" s="5892"/>
      <c r="S1" s="5892"/>
      <c r="T1" s="5892"/>
      <c r="U1" s="5892"/>
      <c r="V1" s="5892"/>
      <c r="W1" s="5892"/>
      <c r="X1" s="5892"/>
      <c r="Y1" s="5892"/>
      <c r="Z1" s="5892"/>
      <c r="AA1" s="5892"/>
      <c r="AB1" s="5892"/>
      <c r="AC1" s="5892"/>
      <c r="AD1" s="5892"/>
      <c r="AE1" s="5892"/>
      <c r="AF1" s="5892"/>
      <c r="AG1" s="5893"/>
    </row>
    <row r="2" spans="1:34">
      <c r="A2" s="5068" t="s">
        <v>31</v>
      </c>
      <c r="B2" s="4377"/>
      <c r="C2" s="4377"/>
      <c r="D2" s="3697">
        <v>1</v>
      </c>
      <c r="E2" s="3698">
        <v>2</v>
      </c>
      <c r="F2" s="3698">
        <v>3</v>
      </c>
      <c r="G2" s="3698">
        <v>4</v>
      </c>
      <c r="H2" s="3698">
        <v>5</v>
      </c>
      <c r="I2" s="3698">
        <v>6</v>
      </c>
      <c r="J2" s="3698">
        <v>7</v>
      </c>
      <c r="K2" s="3698">
        <v>8</v>
      </c>
      <c r="L2" s="3698">
        <v>9</v>
      </c>
      <c r="M2" s="3698">
        <v>10</v>
      </c>
      <c r="N2" s="3698">
        <v>11</v>
      </c>
      <c r="O2" s="3698">
        <v>12</v>
      </c>
      <c r="P2" s="3698">
        <v>13</v>
      </c>
      <c r="Q2" s="3698">
        <v>14</v>
      </c>
      <c r="R2" s="3698">
        <v>15</v>
      </c>
      <c r="S2" s="3698">
        <v>16</v>
      </c>
      <c r="T2" s="3698">
        <v>17</v>
      </c>
      <c r="U2" s="3698">
        <v>18</v>
      </c>
      <c r="V2" s="3698">
        <v>19</v>
      </c>
      <c r="W2" s="3698">
        <v>20</v>
      </c>
      <c r="X2" s="3698">
        <v>21</v>
      </c>
      <c r="Y2" s="3698">
        <v>22</v>
      </c>
      <c r="Z2" s="3698">
        <v>23</v>
      </c>
      <c r="AA2" s="1494">
        <v>24</v>
      </c>
      <c r="AB2" s="1494">
        <v>25</v>
      </c>
      <c r="AC2" s="1494">
        <v>26</v>
      </c>
      <c r="AD2" s="1494">
        <v>27</v>
      </c>
      <c r="AE2" s="1495">
        <v>28</v>
      </c>
      <c r="AF2" s="1495">
        <v>29</v>
      </c>
      <c r="AG2" s="1495">
        <v>30</v>
      </c>
    </row>
    <row r="3" spans="1:34">
      <c r="A3" s="5070" t="s">
        <v>32</v>
      </c>
      <c r="B3" s="4378"/>
      <c r="C3" s="4378"/>
      <c r="D3" s="1496" t="s">
        <v>36</v>
      </c>
      <c r="E3" s="1496" t="s">
        <v>37</v>
      </c>
      <c r="F3" s="1496" t="s">
        <v>33</v>
      </c>
      <c r="G3" s="3703" t="s">
        <v>34</v>
      </c>
      <c r="H3" s="3703" t="s">
        <v>33</v>
      </c>
      <c r="I3" s="3703" t="s">
        <v>35</v>
      </c>
      <c r="J3" s="19" t="s">
        <v>36</v>
      </c>
      <c r="K3" s="19" t="s">
        <v>36</v>
      </c>
      <c r="L3" s="2670" t="s">
        <v>37</v>
      </c>
      <c r="M3" s="2670" t="s">
        <v>33</v>
      </c>
      <c r="N3" s="3703" t="s">
        <v>34</v>
      </c>
      <c r="O3" s="40" t="s">
        <v>33</v>
      </c>
      <c r="P3" s="3703" t="s">
        <v>35</v>
      </c>
      <c r="Q3" s="19" t="s">
        <v>36</v>
      </c>
      <c r="R3" s="19" t="s">
        <v>36</v>
      </c>
      <c r="S3" s="3703" t="s">
        <v>37</v>
      </c>
      <c r="T3" s="3703" t="s">
        <v>33</v>
      </c>
      <c r="U3" s="41" t="s">
        <v>34</v>
      </c>
      <c r="V3" s="41" t="s">
        <v>33</v>
      </c>
      <c r="W3" s="41" t="s">
        <v>35</v>
      </c>
      <c r="X3" s="19" t="s">
        <v>36</v>
      </c>
      <c r="Y3" s="19" t="s">
        <v>36</v>
      </c>
      <c r="Z3" s="3703" t="s">
        <v>37</v>
      </c>
      <c r="AA3" s="41" t="s">
        <v>33</v>
      </c>
      <c r="AB3" s="41" t="s">
        <v>34</v>
      </c>
      <c r="AC3" s="41" t="s">
        <v>33</v>
      </c>
      <c r="AD3" s="41" t="s">
        <v>35</v>
      </c>
      <c r="AE3" s="19" t="s">
        <v>36</v>
      </c>
      <c r="AF3" s="19" t="s">
        <v>36</v>
      </c>
      <c r="AG3" s="41" t="s">
        <v>37</v>
      </c>
    </row>
    <row r="4" spans="1:34" ht="15.75">
      <c r="A4" s="5943" t="s">
        <v>38</v>
      </c>
      <c r="B4" s="4251"/>
      <c r="C4" s="5944"/>
      <c r="D4" s="5945" t="s">
        <v>1011</v>
      </c>
      <c r="E4" s="5946"/>
      <c r="F4" s="5946"/>
      <c r="G4" s="937"/>
      <c r="H4" s="937"/>
      <c r="I4" s="937"/>
      <c r="J4" s="937"/>
      <c r="K4" s="937"/>
      <c r="L4" s="937"/>
      <c r="M4" s="937"/>
      <c r="N4" s="973"/>
      <c r="O4" s="973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73"/>
      <c r="AD4" s="973"/>
      <c r="AE4" s="937"/>
      <c r="AF4" s="937"/>
      <c r="AG4" s="1333"/>
    </row>
    <row r="5" spans="1:34">
      <c r="A5" s="4569" t="s">
        <v>165</v>
      </c>
      <c r="B5" s="4310"/>
      <c r="C5" s="5947"/>
      <c r="D5" s="822"/>
      <c r="E5" s="779"/>
      <c r="F5" s="779"/>
      <c r="G5" s="779"/>
      <c r="H5" s="779"/>
      <c r="I5" s="779"/>
      <c r="J5" s="779"/>
      <c r="K5" s="779"/>
      <c r="L5" s="779"/>
      <c r="M5" s="779"/>
      <c r="N5" s="750"/>
      <c r="O5" s="779"/>
      <c r="P5" s="779"/>
      <c r="Q5" s="779"/>
      <c r="R5" s="779"/>
      <c r="S5" s="779"/>
      <c r="T5" s="779"/>
      <c r="U5" s="779"/>
      <c r="V5" s="750"/>
      <c r="W5" s="779"/>
      <c r="X5" s="779"/>
      <c r="Y5" s="779"/>
      <c r="Z5" s="779"/>
      <c r="AA5" s="779"/>
      <c r="AB5" s="779"/>
      <c r="AC5" s="380"/>
      <c r="AD5" s="380"/>
      <c r="AE5" s="779"/>
      <c r="AF5" s="779"/>
      <c r="AG5" s="804"/>
    </row>
    <row r="6" spans="1:34">
      <c r="A6" s="4618" t="s">
        <v>407</v>
      </c>
      <c r="B6" s="4307"/>
      <c r="C6" s="5948"/>
      <c r="D6" s="756"/>
      <c r="E6" s="380"/>
      <c r="F6" s="2"/>
      <c r="G6" s="2"/>
      <c r="H6" s="5831" t="s">
        <v>1012</v>
      </c>
      <c r="I6" s="5911"/>
      <c r="J6" s="779"/>
      <c r="K6" s="779"/>
      <c r="L6" s="2845" t="s">
        <v>1012</v>
      </c>
      <c r="M6" s="2741"/>
      <c r="N6" s="380"/>
      <c r="O6" s="380"/>
      <c r="P6" s="779"/>
      <c r="Q6" s="779"/>
      <c r="R6" s="779"/>
      <c r="S6" s="779"/>
      <c r="T6" s="779"/>
      <c r="U6" s="779"/>
      <c r="V6" s="779"/>
      <c r="W6" s="779"/>
      <c r="X6" s="779"/>
      <c r="Y6" s="779"/>
      <c r="Z6" s="779"/>
      <c r="AA6" s="779"/>
      <c r="AB6" s="779"/>
      <c r="AC6" s="380"/>
      <c r="AD6" s="380"/>
      <c r="AE6" s="779"/>
      <c r="AF6" s="779"/>
      <c r="AG6" s="804"/>
    </row>
    <row r="7" spans="1:34">
      <c r="A7" s="4557" t="s">
        <v>262</v>
      </c>
      <c r="B7" s="4558"/>
      <c r="C7" s="5954"/>
      <c r="D7" s="822"/>
      <c r="E7" s="779"/>
      <c r="F7" s="779"/>
      <c r="G7" s="779"/>
      <c r="H7" s="779"/>
      <c r="I7" s="779"/>
      <c r="J7" s="779"/>
      <c r="K7" s="779"/>
      <c r="L7" s="779"/>
      <c r="M7" s="779"/>
      <c r="N7" s="380"/>
      <c r="O7" s="380"/>
      <c r="P7" s="779"/>
      <c r="Q7" s="779"/>
      <c r="R7" s="779"/>
      <c r="S7" s="779"/>
      <c r="T7" s="779"/>
      <c r="U7" s="779"/>
      <c r="V7" s="750"/>
      <c r="W7" s="779"/>
      <c r="X7" s="779"/>
      <c r="Y7" s="779"/>
      <c r="Z7" s="779"/>
      <c r="AA7" s="779"/>
      <c r="AB7" s="779"/>
      <c r="AC7" s="380"/>
      <c r="AD7" s="380"/>
      <c r="AE7" s="779"/>
      <c r="AF7" s="779"/>
      <c r="AG7" s="804"/>
    </row>
    <row r="8" spans="1:34">
      <c r="A8" s="5955" t="s">
        <v>702</v>
      </c>
      <c r="B8" s="5956"/>
      <c r="C8" s="5957"/>
      <c r="D8" s="822"/>
      <c r="E8" s="779"/>
      <c r="F8" s="779"/>
      <c r="G8" s="779"/>
      <c r="H8" s="779"/>
      <c r="I8" s="779"/>
      <c r="J8" s="5914" t="s">
        <v>164</v>
      </c>
      <c r="K8" s="5914"/>
      <c r="L8" s="5914"/>
      <c r="M8" s="5914"/>
      <c r="N8" s="5914"/>
      <c r="O8" s="5914"/>
      <c r="P8" s="5914"/>
      <c r="Q8" s="779"/>
      <c r="R8" s="779"/>
      <c r="S8" s="779"/>
      <c r="T8" s="2"/>
      <c r="U8" s="2"/>
      <c r="V8" s="2"/>
      <c r="W8" s="2"/>
      <c r="X8" s="5796" t="s">
        <v>1013</v>
      </c>
      <c r="Y8" s="5796"/>
      <c r="Z8" s="5796"/>
      <c r="AA8" s="779"/>
      <c r="AB8" s="779"/>
      <c r="AC8" s="380"/>
      <c r="AD8" s="380"/>
      <c r="AE8" s="779"/>
      <c r="AF8" s="779"/>
      <c r="AG8" s="804"/>
    </row>
    <row r="9" spans="1:34">
      <c r="A9" s="5958" t="s">
        <v>225</v>
      </c>
      <c r="B9" s="4306"/>
      <c r="C9" s="5959"/>
      <c r="D9" s="822"/>
      <c r="E9" s="779"/>
      <c r="F9" s="779"/>
      <c r="G9" s="779"/>
      <c r="H9" s="779"/>
      <c r="I9" s="779"/>
      <c r="J9" s="779"/>
      <c r="K9" s="779"/>
      <c r="L9" s="779"/>
      <c r="M9" s="779"/>
      <c r="N9" s="750"/>
      <c r="O9" s="779"/>
      <c r="P9" s="779"/>
      <c r="Q9" s="779"/>
      <c r="R9" s="779"/>
      <c r="S9" s="779"/>
      <c r="T9" s="779"/>
      <c r="U9" s="2735"/>
      <c r="V9" s="2735"/>
      <c r="W9" s="2735"/>
      <c r="X9" s="779"/>
      <c r="Y9" s="779"/>
      <c r="Z9" s="779"/>
      <c r="AA9" s="779"/>
      <c r="AB9" s="779"/>
      <c r="AC9" s="380"/>
      <c r="AD9" s="380"/>
      <c r="AE9" s="779"/>
      <c r="AF9" s="779"/>
      <c r="AG9" s="804"/>
    </row>
    <row r="10" spans="1:34">
      <c r="A10" s="5960" t="s">
        <v>272</v>
      </c>
      <c r="B10" s="5961"/>
      <c r="C10" s="5962"/>
      <c r="D10" s="822"/>
      <c r="E10" s="779"/>
      <c r="F10" s="779"/>
      <c r="G10" s="779"/>
      <c r="H10" s="779"/>
      <c r="I10" s="779"/>
      <c r="J10" s="779"/>
      <c r="K10" s="779"/>
      <c r="L10" s="779"/>
      <c r="M10" s="779"/>
      <c r="N10" s="380"/>
      <c r="O10" s="380"/>
      <c r="P10" s="779"/>
      <c r="Q10" s="779"/>
      <c r="R10" s="779"/>
      <c r="S10" s="779"/>
      <c r="T10" s="779"/>
      <c r="U10" s="779"/>
      <c r="V10" s="750"/>
      <c r="W10" s="779"/>
      <c r="X10" s="779"/>
      <c r="Y10" s="779"/>
      <c r="Z10" s="779"/>
      <c r="AA10" s="779"/>
      <c r="AB10" s="779"/>
      <c r="AC10" s="380"/>
      <c r="AD10" s="380"/>
      <c r="AE10" s="779"/>
      <c r="AF10" s="779"/>
      <c r="AG10" s="2835" t="s">
        <v>1014</v>
      </c>
    </row>
    <row r="11" spans="1:34">
      <c r="A11" s="4597" t="s">
        <v>265</v>
      </c>
      <c r="B11" s="4309"/>
      <c r="C11" s="5963"/>
      <c r="D11" s="822"/>
      <c r="E11" s="779"/>
      <c r="F11" s="779"/>
      <c r="G11" s="779"/>
      <c r="H11" s="779"/>
      <c r="I11" s="779"/>
      <c r="J11" s="779"/>
      <c r="K11" s="779"/>
      <c r="L11" s="779"/>
      <c r="M11" s="779"/>
      <c r="N11" s="750"/>
      <c r="O11" s="779"/>
      <c r="P11" s="779"/>
      <c r="Q11" s="779"/>
      <c r="R11" s="779"/>
      <c r="S11" s="779"/>
      <c r="T11" s="779"/>
      <c r="U11" s="779"/>
      <c r="V11" s="750"/>
      <c r="W11" s="779"/>
      <c r="X11" s="779"/>
      <c r="Y11" s="779"/>
      <c r="Z11" s="779"/>
      <c r="AA11" s="779"/>
      <c r="AB11" s="779"/>
      <c r="AC11" s="380"/>
      <c r="AD11" s="380"/>
      <c r="AE11" s="779"/>
      <c r="AF11" s="779"/>
      <c r="AG11" s="804"/>
    </row>
    <row r="12" spans="1:34" ht="15.75">
      <c r="A12" s="5949" t="s">
        <v>60</v>
      </c>
      <c r="B12" s="4850"/>
      <c r="C12" s="5950"/>
      <c r="D12" s="822"/>
      <c r="E12" s="779"/>
      <c r="F12" s="779"/>
      <c r="G12" s="779"/>
      <c r="H12" s="779"/>
      <c r="I12" s="779"/>
      <c r="J12" s="779"/>
      <c r="K12" s="779"/>
      <c r="L12" s="779"/>
      <c r="M12" s="779"/>
      <c r="N12" s="380"/>
      <c r="O12" s="380"/>
      <c r="P12" s="779"/>
      <c r="Q12" s="779"/>
      <c r="R12" s="779"/>
      <c r="S12" s="779"/>
      <c r="T12" s="779"/>
      <c r="U12" s="5912" t="s">
        <v>1015</v>
      </c>
      <c r="V12" s="5912"/>
      <c r="W12" s="779"/>
      <c r="X12" s="779"/>
      <c r="Y12" s="779"/>
      <c r="Z12" s="779"/>
      <c r="AA12" s="779"/>
      <c r="AB12" s="779"/>
      <c r="AC12" s="380"/>
      <c r="AD12" s="380"/>
      <c r="AE12" s="779"/>
      <c r="AF12" s="779"/>
      <c r="AG12" s="804"/>
    </row>
    <row r="13" spans="1:34" ht="15.75">
      <c r="A13" s="5951" t="s">
        <v>593</v>
      </c>
      <c r="B13" s="5952"/>
      <c r="C13" s="5953"/>
      <c r="D13" s="822"/>
      <c r="E13" s="779"/>
      <c r="F13" s="779"/>
      <c r="G13" s="779"/>
      <c r="H13" s="779"/>
      <c r="I13" s="779"/>
      <c r="J13" s="779"/>
      <c r="K13" s="779"/>
      <c r="L13" s="779"/>
      <c r="M13" s="779"/>
      <c r="N13" s="750"/>
      <c r="O13" s="779"/>
      <c r="P13" s="779"/>
      <c r="Q13" s="779"/>
      <c r="R13" s="779"/>
      <c r="S13" s="779"/>
      <c r="T13" s="779"/>
      <c r="U13" s="779"/>
      <c r="V13" s="750"/>
      <c r="W13" s="779"/>
      <c r="X13" s="779"/>
      <c r="Y13" s="779"/>
      <c r="Z13" s="779"/>
      <c r="AA13" s="779"/>
      <c r="AB13" s="779"/>
      <c r="AC13" s="380"/>
      <c r="AD13" s="380"/>
      <c r="AE13" s="779"/>
      <c r="AF13" s="779"/>
      <c r="AG13" s="804"/>
    </row>
    <row r="14" spans="1:34">
      <c r="A14" s="5287" t="s">
        <v>63</v>
      </c>
      <c r="B14" s="4313"/>
      <c r="C14" s="5966"/>
      <c r="D14" s="822"/>
      <c r="E14" s="779"/>
      <c r="F14" s="779"/>
      <c r="G14" s="779"/>
      <c r="H14" s="779"/>
      <c r="I14" s="779"/>
      <c r="J14" s="779"/>
      <c r="K14" s="779"/>
      <c r="L14" s="779"/>
      <c r="M14" s="779"/>
      <c r="N14" s="750"/>
      <c r="O14" s="779"/>
      <c r="P14" s="779"/>
      <c r="Q14" s="779"/>
      <c r="R14" s="779"/>
      <c r="S14" s="779"/>
      <c r="T14" s="779"/>
      <c r="U14" s="779"/>
      <c r="V14" s="750"/>
      <c r="W14" s="779"/>
      <c r="X14" s="779"/>
      <c r="Y14" s="779"/>
      <c r="Z14" s="779"/>
      <c r="AA14" s="779"/>
      <c r="AB14" s="779"/>
      <c r="AC14" s="380"/>
      <c r="AD14" s="380"/>
      <c r="AE14" s="779"/>
      <c r="AF14" s="779"/>
      <c r="AG14" s="804"/>
    </row>
    <row r="15" spans="1:34">
      <c r="A15" s="5968" t="s">
        <v>990</v>
      </c>
      <c r="B15" s="5969"/>
      <c r="C15" s="5970"/>
      <c r="D15" s="5913" t="s">
        <v>1016</v>
      </c>
      <c r="E15" s="5475"/>
      <c r="F15" s="5475"/>
      <c r="G15" s="5475"/>
      <c r="H15" s="5475"/>
      <c r="I15" s="5475"/>
      <c r="J15" s="779"/>
      <c r="K15" s="779"/>
      <c r="L15" s="779"/>
      <c r="M15" s="779"/>
      <c r="N15" s="750"/>
      <c r="O15" s="779"/>
      <c r="P15" s="779"/>
      <c r="Q15" s="779"/>
      <c r="R15" s="779"/>
      <c r="S15" s="779"/>
      <c r="T15" s="779"/>
      <c r="U15" s="779"/>
      <c r="V15" s="750"/>
      <c r="W15" s="779"/>
      <c r="X15" s="779"/>
      <c r="Y15" s="779"/>
      <c r="Z15" s="779"/>
      <c r="AA15" s="779"/>
      <c r="AB15" s="779"/>
      <c r="AC15" s="380"/>
      <c r="AD15" s="380"/>
      <c r="AE15" s="779"/>
      <c r="AF15" s="779"/>
      <c r="AG15" s="804"/>
    </row>
    <row r="16" spans="1:34">
      <c r="A16" s="4620" t="s">
        <v>54</v>
      </c>
      <c r="B16" s="4621"/>
      <c r="C16" s="5967"/>
      <c r="D16" s="822"/>
      <c r="E16" s="779"/>
      <c r="F16" s="779"/>
      <c r="G16" s="779"/>
      <c r="H16" s="779"/>
      <c r="I16" s="779"/>
      <c r="J16" s="779"/>
      <c r="K16" s="779"/>
      <c r="L16" s="779"/>
      <c r="M16" s="779"/>
      <c r="N16" s="380"/>
      <c r="O16" s="380"/>
      <c r="P16" s="779"/>
      <c r="Q16" s="779"/>
      <c r="R16" s="779"/>
      <c r="S16" s="779"/>
      <c r="T16" s="779"/>
      <c r="U16" s="779"/>
      <c r="V16" s="750"/>
      <c r="W16" s="779"/>
      <c r="X16" s="779"/>
      <c r="Y16" s="779"/>
      <c r="Z16" s="779"/>
      <c r="AA16" s="779"/>
      <c r="AB16" s="779"/>
      <c r="AC16" s="380"/>
      <c r="AD16" s="380"/>
      <c r="AE16" s="779"/>
      <c r="AF16" s="779"/>
      <c r="AG16" s="804"/>
      <c r="AH16" s="921"/>
    </row>
    <row r="17" spans="1:36">
      <c r="A17" s="4631" t="s">
        <v>365</v>
      </c>
      <c r="B17" s="4632"/>
      <c r="C17" s="5971"/>
      <c r="D17" s="822"/>
      <c r="E17" s="779"/>
      <c r="F17" s="779"/>
      <c r="G17" s="779"/>
      <c r="H17" s="779"/>
      <c r="I17" s="779"/>
      <c r="J17" s="779"/>
      <c r="K17" s="779"/>
      <c r="L17" s="779"/>
      <c r="M17" s="779"/>
      <c r="N17" s="750"/>
      <c r="O17" s="779"/>
      <c r="P17" s="779"/>
      <c r="Q17" s="779"/>
      <c r="R17" s="779"/>
      <c r="S17" s="779" t="s">
        <v>30</v>
      </c>
      <c r="T17" s="779"/>
      <c r="U17" s="779"/>
      <c r="V17" s="750"/>
      <c r="W17" s="779"/>
      <c r="X17" s="779"/>
      <c r="Y17" s="779"/>
      <c r="Z17" s="779"/>
      <c r="AA17" s="779"/>
      <c r="AB17" s="779"/>
      <c r="AC17" s="380"/>
      <c r="AD17" s="380"/>
      <c r="AE17" s="779"/>
      <c r="AF17" s="779"/>
      <c r="AG17" s="804"/>
    </row>
    <row r="18" spans="1:36">
      <c r="A18" s="5972" t="s">
        <v>520</v>
      </c>
      <c r="B18" s="5795"/>
      <c r="C18" s="5973"/>
      <c r="D18" s="822"/>
      <c r="E18" s="779"/>
      <c r="F18" s="779"/>
      <c r="G18" s="779"/>
      <c r="H18" s="779"/>
      <c r="I18" s="779"/>
      <c r="J18" s="779"/>
      <c r="K18" s="779"/>
      <c r="L18" s="779"/>
      <c r="M18" s="779"/>
      <c r="N18" s="750"/>
      <c r="O18" s="779"/>
      <c r="P18" s="779"/>
      <c r="Q18" s="779"/>
      <c r="R18" s="779"/>
      <c r="S18" s="779"/>
      <c r="T18" s="779"/>
      <c r="U18" s="779"/>
      <c r="V18" s="750"/>
      <c r="W18" s="779"/>
      <c r="X18" s="779"/>
      <c r="Y18" s="779"/>
      <c r="Z18" s="779"/>
      <c r="AA18" s="779"/>
      <c r="AB18" s="779"/>
      <c r="AC18" s="380"/>
      <c r="AD18" s="380"/>
      <c r="AE18" s="779"/>
      <c r="AF18" s="779"/>
      <c r="AG18" s="804"/>
      <c r="AJ18" s="3628" t="s">
        <v>251</v>
      </c>
    </row>
    <row r="19" spans="1:36">
      <c r="A19" s="4630" t="s">
        <v>366</v>
      </c>
      <c r="B19" s="4314"/>
      <c r="C19" s="5974"/>
      <c r="D19" s="822"/>
      <c r="E19" s="779"/>
      <c r="F19" s="779"/>
      <c r="G19" s="779"/>
      <c r="H19" s="779"/>
      <c r="I19" s="779"/>
      <c r="J19" s="779"/>
      <c r="K19" s="779"/>
      <c r="L19" s="779"/>
      <c r="M19" s="779"/>
      <c r="N19" s="380"/>
      <c r="O19" s="380"/>
      <c r="P19" s="779"/>
      <c r="Q19" s="779"/>
      <c r="R19" s="779"/>
      <c r="S19" s="779"/>
      <c r="T19" s="779"/>
      <c r="U19" s="779"/>
      <c r="V19" s="750"/>
      <c r="W19" s="779"/>
      <c r="X19" s="779"/>
      <c r="Y19" s="779"/>
      <c r="Z19" s="779"/>
      <c r="AA19" s="779"/>
      <c r="AB19" s="779"/>
      <c r="AC19" s="380"/>
      <c r="AD19" s="380"/>
      <c r="AE19" s="779"/>
      <c r="AF19" s="779"/>
      <c r="AG19" s="804"/>
    </row>
    <row r="20" spans="1:36">
      <c r="A20" s="5964" t="s">
        <v>1017</v>
      </c>
      <c r="B20" s="4315"/>
      <c r="C20" s="5965"/>
      <c r="D20" s="822"/>
      <c r="E20" s="779"/>
      <c r="F20" s="779"/>
      <c r="G20" s="779"/>
      <c r="H20" s="779"/>
      <c r="I20" s="779"/>
      <c r="J20" s="779"/>
      <c r="K20" s="779"/>
      <c r="L20" s="779"/>
      <c r="M20" s="779"/>
      <c r="N20" s="750"/>
      <c r="O20" s="779"/>
      <c r="P20" s="779"/>
      <c r="Q20" s="779"/>
      <c r="R20" s="779"/>
      <c r="S20" s="779"/>
      <c r="T20" s="779"/>
      <c r="U20" s="779"/>
      <c r="V20" s="750"/>
      <c r="W20" s="779"/>
      <c r="X20" s="779"/>
      <c r="Y20" s="779"/>
      <c r="Z20" s="2"/>
      <c r="AA20" s="779"/>
      <c r="AB20" s="779"/>
      <c r="AC20" s="380"/>
      <c r="AD20" s="380"/>
      <c r="AE20" s="779"/>
      <c r="AF20" s="779"/>
      <c r="AG20" s="804"/>
    </row>
    <row r="21" spans="1:36">
      <c r="A21" s="4399" t="s">
        <v>541</v>
      </c>
      <c r="B21" s="4316"/>
      <c r="C21" s="4667"/>
      <c r="D21" s="822"/>
      <c r="E21" s="779"/>
      <c r="F21" s="779"/>
      <c r="G21" s="779"/>
      <c r="H21" s="779"/>
      <c r="I21" s="779"/>
      <c r="J21" s="779"/>
      <c r="K21" s="779"/>
      <c r="L21" s="779"/>
      <c r="M21" s="779"/>
      <c r="N21" s="380"/>
      <c r="O21" s="380"/>
      <c r="P21" s="779"/>
      <c r="Q21" s="779"/>
      <c r="R21" s="779"/>
      <c r="S21" s="779"/>
      <c r="T21" s="779"/>
      <c r="U21" s="779"/>
      <c r="V21" s="750"/>
      <c r="W21" s="779"/>
      <c r="X21" s="779"/>
      <c r="Y21" s="779"/>
      <c r="Z21" s="779"/>
      <c r="AA21" s="779"/>
      <c r="AB21" s="779"/>
      <c r="AC21" s="380"/>
      <c r="AD21" s="380"/>
      <c r="AE21" s="779"/>
      <c r="AF21" s="779"/>
      <c r="AG21" s="804"/>
      <c r="AH21" s="283"/>
    </row>
    <row r="22" spans="1:36">
      <c r="A22" s="4629" t="s">
        <v>322</v>
      </c>
      <c r="B22" s="4318"/>
      <c r="C22" s="5935"/>
      <c r="D22" s="822"/>
      <c r="E22" s="779"/>
      <c r="F22" s="779"/>
      <c r="G22" s="779"/>
      <c r="H22" s="779"/>
      <c r="I22" s="779"/>
      <c r="J22" s="779"/>
      <c r="K22" s="779"/>
      <c r="L22" s="779"/>
      <c r="M22" s="779"/>
      <c r="N22" s="750"/>
      <c r="O22" s="779"/>
      <c r="P22" s="779"/>
      <c r="Q22" s="779"/>
      <c r="R22" s="779"/>
      <c r="S22" s="779"/>
      <c r="T22" s="779"/>
      <c r="U22" s="779"/>
      <c r="V22" s="750"/>
      <c r="W22" s="779"/>
      <c r="X22" s="779"/>
      <c r="Y22" s="779"/>
      <c r="Z22" s="779"/>
      <c r="AA22" s="779"/>
      <c r="AB22" s="779"/>
      <c r="AC22" s="380"/>
      <c r="AD22" s="380"/>
      <c r="AE22" s="779"/>
      <c r="AF22" s="779"/>
      <c r="AG22" s="804"/>
    </row>
    <row r="23" spans="1:36">
      <c r="A23" s="4356" t="s">
        <v>64</v>
      </c>
      <c r="B23" s="4626"/>
      <c r="C23" s="5936"/>
      <c r="D23" s="1404"/>
      <c r="E23" s="782"/>
      <c r="F23" s="782"/>
      <c r="G23" s="782"/>
      <c r="H23" s="782"/>
      <c r="I23" s="782"/>
      <c r="J23" s="782"/>
      <c r="K23" s="782"/>
      <c r="L23" s="782"/>
      <c r="M23" s="782"/>
      <c r="N23" s="782"/>
      <c r="O23" s="782"/>
      <c r="P23" s="782"/>
      <c r="Q23" s="782"/>
      <c r="R23" s="782"/>
      <c r="S23" s="782"/>
      <c r="T23" s="782"/>
      <c r="U23" s="782"/>
      <c r="V23" s="782"/>
      <c r="W23" s="782"/>
      <c r="X23" s="782"/>
      <c r="Y23" s="782"/>
      <c r="Z23" s="782"/>
      <c r="AA23" s="782"/>
      <c r="AB23" s="782"/>
      <c r="AC23" s="782"/>
      <c r="AD23" s="782"/>
      <c r="AE23" s="782"/>
      <c r="AF23" s="782"/>
      <c r="AG23" s="807"/>
    </row>
    <row r="24" spans="1:36">
      <c r="A24" s="2828" t="s">
        <v>66</v>
      </c>
      <c r="B24" s="34" t="s">
        <v>67</v>
      </c>
      <c r="C24" s="35" t="s">
        <v>458</v>
      </c>
      <c r="D24" s="934"/>
      <c r="E24" s="778"/>
      <c r="F24" s="785"/>
      <c r="G24" s="785"/>
      <c r="H24" s="778"/>
      <c r="I24" s="5275" t="s">
        <v>482</v>
      </c>
      <c r="J24" s="5276"/>
      <c r="K24" s="5276"/>
      <c r="L24" s="5276"/>
      <c r="M24" s="5276"/>
      <c r="N24" s="5277"/>
      <c r="O24" s="776"/>
      <c r="P24" s="778"/>
      <c r="Q24" s="778"/>
      <c r="R24" s="778"/>
      <c r="S24" s="779"/>
      <c r="T24" s="778"/>
      <c r="U24" s="778"/>
      <c r="V24" s="778"/>
      <c r="W24" s="2563" t="s">
        <v>251</v>
      </c>
      <c r="X24" s="2873" t="s">
        <v>1018</v>
      </c>
      <c r="Y24" s="2563" t="s">
        <v>251</v>
      </c>
      <c r="Z24" s="778"/>
      <c r="AA24" s="2563" t="s">
        <v>251</v>
      </c>
      <c r="AB24" s="5908" t="s">
        <v>1019</v>
      </c>
      <c r="AC24" s="5909"/>
      <c r="AD24" s="2563" t="s">
        <v>251</v>
      </c>
      <c r="AE24" s="2866" t="s">
        <v>1020</v>
      </c>
      <c r="AF24" s="3628" t="s">
        <v>251</v>
      </c>
      <c r="AG24" s="2848" t="s">
        <v>1021</v>
      </c>
    </row>
    <row r="25" spans="1:36">
      <c r="A25" s="2247" t="s">
        <v>73</v>
      </c>
      <c r="B25" s="28" t="s">
        <v>67</v>
      </c>
      <c r="C25" s="32" t="s">
        <v>714</v>
      </c>
      <c r="D25" s="935"/>
      <c r="E25" s="847"/>
      <c r="F25" s="2"/>
      <c r="G25" s="2"/>
      <c r="H25" s="3685"/>
      <c r="I25" s="3685"/>
      <c r="J25" s="779"/>
      <c r="K25" s="779"/>
      <c r="L25" s="779"/>
      <c r="M25" s="779" t="s">
        <v>7</v>
      </c>
      <c r="N25" s="779"/>
      <c r="O25" s="779"/>
      <c r="P25" s="779"/>
      <c r="Q25" s="779"/>
      <c r="R25" s="779"/>
      <c r="S25" s="3685"/>
      <c r="T25" s="3628" t="s">
        <v>251</v>
      </c>
      <c r="U25" s="2865" t="s">
        <v>1022</v>
      </c>
      <c r="V25" s="2563" t="s">
        <v>251</v>
      </c>
      <c r="W25" s="779"/>
      <c r="X25" s="779"/>
      <c r="Y25" s="779"/>
      <c r="Z25" s="779"/>
      <c r="AA25" s="779"/>
      <c r="AB25" s="779"/>
      <c r="AC25" s="779"/>
      <c r="AD25" s="779"/>
      <c r="AE25" s="779"/>
      <c r="AF25" s="779"/>
      <c r="AG25" s="2851"/>
    </row>
    <row r="26" spans="1:36" s="1704" customFormat="1" ht="15.75" customHeight="1">
      <c r="A26" s="1035" t="s">
        <v>599</v>
      </c>
      <c r="B26" s="1707" t="s">
        <v>543</v>
      </c>
      <c r="C26" s="1105" t="s">
        <v>544</v>
      </c>
      <c r="D26" s="1663"/>
      <c r="E26" s="3685"/>
      <c r="F26" s="2770"/>
      <c r="G26" s="2770"/>
      <c r="H26" s="3685"/>
      <c r="I26" s="3685"/>
      <c r="J26" s="3685"/>
      <c r="K26" s="3685"/>
      <c r="L26" s="3685"/>
      <c r="M26" s="3685"/>
      <c r="N26" s="3685"/>
      <c r="O26" s="3685"/>
      <c r="P26" s="3685"/>
      <c r="Q26" s="3685"/>
      <c r="S26" s="3685"/>
      <c r="U26" s="3685"/>
      <c r="V26" s="3685"/>
      <c r="W26" s="3685"/>
      <c r="X26" s="3685"/>
      <c r="Y26" s="3685"/>
      <c r="Z26" s="4463" t="s">
        <v>1023</v>
      </c>
      <c r="AA26" s="4414"/>
      <c r="AB26" s="3685"/>
      <c r="AC26" s="3685"/>
      <c r="AD26" s="3685"/>
      <c r="AE26" s="3685"/>
      <c r="AF26" s="3685"/>
      <c r="AG26" s="696"/>
      <c r="AH26"/>
    </row>
    <row r="27" spans="1:36">
      <c r="A27" s="2849" t="s">
        <v>84</v>
      </c>
      <c r="B27" s="952" t="s">
        <v>85</v>
      </c>
      <c r="C27" s="952" t="s">
        <v>716</v>
      </c>
      <c r="D27" s="965"/>
      <c r="E27" s="966"/>
      <c r="F27" s="966"/>
      <c r="G27" s="966"/>
      <c r="H27" s="966"/>
      <c r="I27" s="966"/>
      <c r="J27" s="966"/>
      <c r="K27" s="966"/>
      <c r="L27" s="966"/>
      <c r="M27" s="966"/>
      <c r="N27" s="968"/>
      <c r="O27" s="968"/>
      <c r="P27" s="3591" t="s">
        <v>112</v>
      </c>
      <c r="Q27" s="966"/>
      <c r="R27" s="966"/>
      <c r="S27" s="966"/>
      <c r="T27" s="966"/>
      <c r="U27" s="966"/>
      <c r="V27" s="966"/>
      <c r="W27" s="966"/>
      <c r="X27" s="966"/>
      <c r="Y27" s="966"/>
      <c r="Z27" s="966"/>
      <c r="AA27" s="782"/>
      <c r="AB27" s="782"/>
      <c r="AC27" s="966"/>
      <c r="AD27" s="966"/>
      <c r="AE27" s="966"/>
      <c r="AF27" s="966"/>
      <c r="AG27" s="3642" t="s">
        <v>112</v>
      </c>
    </row>
    <row r="28" spans="1:36">
      <c r="A28" s="5934" t="s">
        <v>92</v>
      </c>
      <c r="B28" s="2769" t="s">
        <v>561</v>
      </c>
      <c r="C28" s="2841" t="s">
        <v>718</v>
      </c>
      <c r="D28" s="934"/>
      <c r="E28" s="778"/>
      <c r="F28" s="778"/>
      <c r="G28" s="778"/>
      <c r="H28" s="778"/>
      <c r="I28" s="778"/>
      <c r="J28" s="778"/>
      <c r="K28" s="778"/>
      <c r="L28" s="778"/>
      <c r="M28" s="778"/>
      <c r="N28" s="159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1184"/>
      <c r="AB28" s="778"/>
      <c r="AC28" s="778"/>
      <c r="AD28" s="778"/>
      <c r="AE28" s="778"/>
      <c r="AF28" s="3628" t="s">
        <v>251</v>
      </c>
      <c r="AG28" s="2848" t="s">
        <v>1021</v>
      </c>
      <c r="AH28">
        <f t="shared" ref="AH28:AH69" si="0">COUNTIF($E28:$AG28,"D")</f>
        <v>0</v>
      </c>
      <c r="AI28">
        <f t="shared" ref="AI28:AI69" si="1">COUNTIF($E28:$AG28,"N")</f>
        <v>0</v>
      </c>
      <c r="AJ28">
        <f t="shared" ref="AJ28:AJ69" si="2">AH28+AI28</f>
        <v>0</v>
      </c>
    </row>
    <row r="29" spans="1:36">
      <c r="A29" s="5934"/>
      <c r="B29" s="927" t="s">
        <v>326</v>
      </c>
      <c r="C29" s="929" t="s">
        <v>327</v>
      </c>
      <c r="D29" s="2430" t="s">
        <v>722</v>
      </c>
      <c r="E29" s="779"/>
      <c r="F29" s="2"/>
      <c r="G29" s="2"/>
      <c r="H29" s="3685"/>
      <c r="I29" s="3685"/>
      <c r="J29" s="779"/>
      <c r="K29" s="779"/>
      <c r="L29" s="779"/>
      <c r="M29" s="2434" t="s">
        <v>722</v>
      </c>
      <c r="N29" s="2434"/>
      <c r="O29" s="2"/>
      <c r="P29" s="3685"/>
      <c r="Q29" s="3685"/>
      <c r="R29" s="3685"/>
      <c r="S29" s="3685"/>
      <c r="T29" s="3685"/>
      <c r="U29" s="779"/>
      <c r="V29" s="779"/>
      <c r="W29" s="3628" t="s">
        <v>251</v>
      </c>
      <c r="X29" s="5796" t="s">
        <v>1018</v>
      </c>
      <c r="Y29" s="5796"/>
      <c r="Z29" s="5796"/>
      <c r="AA29" s="3628" t="s">
        <v>251</v>
      </c>
      <c r="AB29" s="2434" t="s">
        <v>720</v>
      </c>
      <c r="AC29" s="2434"/>
      <c r="AD29" s="779"/>
      <c r="AE29" s="779"/>
      <c r="AF29" s="779"/>
      <c r="AG29" s="2444"/>
      <c r="AH29">
        <f t="shared" si="0"/>
        <v>1</v>
      </c>
      <c r="AI29">
        <f t="shared" si="1"/>
        <v>1</v>
      </c>
      <c r="AJ29">
        <f t="shared" si="2"/>
        <v>2</v>
      </c>
    </row>
    <row r="30" spans="1:36">
      <c r="A30" s="5934"/>
      <c r="B30" s="928" t="s">
        <v>606</v>
      </c>
      <c r="C30" s="2557" t="s">
        <v>98</v>
      </c>
      <c r="D30" s="5884" t="s">
        <v>997</v>
      </c>
      <c r="E30" s="4443"/>
      <c r="F30" s="782"/>
      <c r="G30" s="2443" t="s">
        <v>720</v>
      </c>
      <c r="H30" s="782"/>
      <c r="I30" s="782"/>
      <c r="J30" s="782"/>
      <c r="K30" s="782"/>
      <c r="L30" s="2443"/>
      <c r="M30" s="782"/>
      <c r="N30" s="782"/>
      <c r="O30" s="782"/>
      <c r="P30" s="782"/>
      <c r="Q30" s="782"/>
      <c r="R30" s="782"/>
      <c r="S30" s="782"/>
      <c r="T30" s="782"/>
      <c r="U30" s="782"/>
      <c r="V30" s="2443" t="s">
        <v>722</v>
      </c>
      <c r="W30" s="782"/>
      <c r="X30" s="782"/>
      <c r="Y30" s="782"/>
      <c r="Z30" s="2443" t="s">
        <v>722</v>
      </c>
      <c r="AA30" s="782"/>
      <c r="AB30" s="780"/>
      <c r="AC30" s="782"/>
      <c r="AD30" s="782"/>
      <c r="AE30" s="782"/>
      <c r="AF30" s="3628" t="s">
        <v>251</v>
      </c>
      <c r="AG30" s="2848" t="s">
        <v>1021</v>
      </c>
      <c r="AH30">
        <f t="shared" si="0"/>
        <v>1</v>
      </c>
      <c r="AI30">
        <f t="shared" si="1"/>
        <v>2</v>
      </c>
      <c r="AJ30">
        <f t="shared" si="2"/>
        <v>3</v>
      </c>
    </row>
    <row r="31" spans="1:36">
      <c r="A31" s="4410" t="s">
        <v>99</v>
      </c>
      <c r="B31" s="949" t="s">
        <v>100</v>
      </c>
      <c r="C31" s="35" t="s">
        <v>725</v>
      </c>
      <c r="D31" s="5457" t="s">
        <v>158</v>
      </c>
      <c r="E31" s="4645"/>
      <c r="F31" s="4645"/>
      <c r="G31" s="4645"/>
      <c r="H31" s="4645"/>
      <c r="I31" s="4645"/>
      <c r="J31" s="4645"/>
      <c r="K31" s="4645"/>
      <c r="L31" s="4645"/>
      <c r="M31" s="4645"/>
      <c r="N31" s="4645"/>
      <c r="O31" s="4645"/>
      <c r="P31" s="4645"/>
      <c r="Q31" s="4645"/>
      <c r="R31" s="4645"/>
      <c r="S31" s="4645"/>
      <c r="T31" s="778"/>
      <c r="U31" s="5910" t="s">
        <v>1024</v>
      </c>
      <c r="V31" s="4437"/>
      <c r="W31" s="4438"/>
      <c r="X31" s="778"/>
      <c r="Y31" s="778"/>
      <c r="Z31" s="778"/>
      <c r="AA31" s="2855"/>
      <c r="AB31" s="779"/>
      <c r="AC31" s="793"/>
      <c r="AD31" s="778"/>
      <c r="AE31" s="778"/>
      <c r="AF31" s="778"/>
      <c r="AG31" s="805"/>
      <c r="AH31">
        <f t="shared" si="0"/>
        <v>0</v>
      </c>
      <c r="AI31">
        <f t="shared" si="1"/>
        <v>0</v>
      </c>
      <c r="AJ31">
        <f t="shared" si="2"/>
        <v>0</v>
      </c>
    </row>
    <row r="32" spans="1:36">
      <c r="A32" s="4410"/>
      <c r="B32" s="1945" t="s">
        <v>95</v>
      </c>
      <c r="C32" s="32" t="s">
        <v>726</v>
      </c>
      <c r="D32" s="935"/>
      <c r="E32" s="779"/>
      <c r="F32" s="2840" t="s">
        <v>1025</v>
      </c>
      <c r="G32" s="5914" t="s">
        <v>1026</v>
      </c>
      <c r="H32" s="5914"/>
      <c r="I32" s="2840" t="s">
        <v>1025</v>
      </c>
      <c r="J32" s="779"/>
      <c r="K32" s="779"/>
      <c r="L32" s="779"/>
      <c r="M32" s="779"/>
      <c r="N32" s="779"/>
      <c r="O32" s="2"/>
      <c r="P32" s="3685"/>
      <c r="Q32" s="3685"/>
      <c r="R32" s="3685"/>
      <c r="S32" s="3685"/>
      <c r="T32" s="3685"/>
      <c r="U32" s="779"/>
      <c r="V32" s="779"/>
      <c r="W32" s="3628" t="s">
        <v>251</v>
      </c>
      <c r="X32" s="5796" t="s">
        <v>1018</v>
      </c>
      <c r="Y32" s="5796"/>
      <c r="Z32" s="5796"/>
      <c r="AA32" s="3659" t="s">
        <v>251</v>
      </c>
      <c r="AB32" s="779"/>
      <c r="AC32" s="822"/>
      <c r="AD32" s="779"/>
      <c r="AE32" s="779"/>
      <c r="AF32" s="3628" t="s">
        <v>251</v>
      </c>
      <c r="AG32" s="2835" t="s">
        <v>1014</v>
      </c>
      <c r="AH32">
        <f t="shared" si="0"/>
        <v>0</v>
      </c>
      <c r="AI32">
        <f t="shared" si="1"/>
        <v>0</v>
      </c>
      <c r="AJ32">
        <f t="shared" si="2"/>
        <v>0</v>
      </c>
    </row>
    <row r="33" spans="1:36" ht="15.75" customHeight="1">
      <c r="A33" s="4410"/>
      <c r="B33" s="2682" t="s">
        <v>95</v>
      </c>
      <c r="C33" s="929" t="s">
        <v>548</v>
      </c>
      <c r="D33" s="935"/>
      <c r="E33" s="779"/>
      <c r="F33" s="2"/>
      <c r="G33" s="2"/>
      <c r="H33" s="3685"/>
      <c r="I33" s="3685"/>
      <c r="J33" s="779"/>
      <c r="K33" s="779"/>
      <c r="L33" s="779"/>
      <c r="M33" s="779"/>
      <c r="N33" s="2434" t="s">
        <v>720</v>
      </c>
      <c r="O33" s="2735"/>
      <c r="P33" s="2735"/>
      <c r="Q33" s="2735"/>
      <c r="R33" s="2735"/>
      <c r="S33" s="779"/>
      <c r="T33" s="3628" t="s">
        <v>251</v>
      </c>
      <c r="U33" s="5912" t="s">
        <v>1015</v>
      </c>
      <c r="V33" s="5937"/>
      <c r="W33" s="4419" t="s">
        <v>1027</v>
      </c>
      <c r="X33" s="4468"/>
      <c r="Y33" s="4515"/>
      <c r="Z33" s="780"/>
      <c r="AA33" s="783"/>
      <c r="AB33" s="779"/>
      <c r="AC33" s="784"/>
      <c r="AD33" s="779"/>
      <c r="AE33" s="2434" t="s">
        <v>720</v>
      </c>
      <c r="AF33" s="779"/>
      <c r="AG33" s="2444"/>
      <c r="AH33">
        <f t="shared" si="0"/>
        <v>2</v>
      </c>
      <c r="AI33">
        <f t="shared" si="1"/>
        <v>0</v>
      </c>
      <c r="AJ33">
        <f t="shared" si="2"/>
        <v>2</v>
      </c>
    </row>
    <row r="34" spans="1:36">
      <c r="A34" s="4410"/>
      <c r="B34" s="676" t="s">
        <v>106</v>
      </c>
      <c r="C34" s="35" t="s">
        <v>107</v>
      </c>
      <c r="D34" s="2235"/>
      <c r="E34" s="2"/>
      <c r="F34" s="2735"/>
      <c r="G34" s="2735"/>
      <c r="H34" s="2735"/>
      <c r="I34" s="2735"/>
      <c r="J34" s="2"/>
      <c r="K34" s="2"/>
      <c r="L34" s="2434" t="s">
        <v>720</v>
      </c>
      <c r="M34" s="779"/>
      <c r="N34" s="779"/>
      <c r="O34" s="2"/>
      <c r="P34" s="3685"/>
      <c r="Q34" s="3685"/>
      <c r="R34" s="3685"/>
      <c r="S34" s="3685"/>
      <c r="T34" s="3685"/>
      <c r="U34" s="847"/>
      <c r="V34" s="779"/>
      <c r="W34" s="3628" t="s">
        <v>251</v>
      </c>
      <c r="X34" s="5796" t="s">
        <v>1018</v>
      </c>
      <c r="Y34" s="5796"/>
      <c r="Z34" s="5796"/>
      <c r="AA34" s="3659" t="s">
        <v>251</v>
      </c>
      <c r="AB34" s="2"/>
      <c r="AC34" s="822"/>
      <c r="AD34" s="822"/>
      <c r="AE34" s="779"/>
      <c r="AF34" s="779"/>
      <c r="AG34" s="2444" t="s">
        <v>722</v>
      </c>
      <c r="AH34">
        <f t="shared" si="0"/>
        <v>1</v>
      </c>
      <c r="AI34">
        <f t="shared" si="1"/>
        <v>1</v>
      </c>
      <c r="AJ34">
        <f t="shared" si="2"/>
        <v>2</v>
      </c>
    </row>
    <row r="35" spans="1:36">
      <c r="A35" s="4410"/>
      <c r="B35" s="38" t="s">
        <v>108</v>
      </c>
      <c r="C35" s="33" t="s">
        <v>109</v>
      </c>
      <c r="D35" s="936"/>
      <c r="E35" s="782"/>
      <c r="F35" s="321"/>
      <c r="G35" s="321"/>
      <c r="H35" s="321"/>
      <c r="I35" s="321"/>
      <c r="J35" s="782"/>
      <c r="K35" s="782"/>
      <c r="L35" s="782"/>
      <c r="M35" s="2443"/>
      <c r="N35" s="782"/>
      <c r="O35" s="2443" t="s">
        <v>722</v>
      </c>
      <c r="P35" s="782"/>
      <c r="Q35" s="782"/>
      <c r="R35" s="782"/>
      <c r="S35" s="782"/>
      <c r="T35" s="782"/>
      <c r="U35" s="782"/>
      <c r="V35" s="2712" t="s">
        <v>720</v>
      </c>
      <c r="W35" s="823"/>
      <c r="X35" s="823"/>
      <c r="Y35" s="823"/>
      <c r="Z35" s="823"/>
      <c r="AA35" s="2856"/>
      <c r="AB35" s="779"/>
      <c r="AC35" s="2857"/>
      <c r="AD35" s="782"/>
      <c r="AE35" s="2443" t="s">
        <v>722</v>
      </c>
      <c r="AF35" s="782"/>
      <c r="AG35" s="2837"/>
      <c r="AH35">
        <f t="shared" si="0"/>
        <v>1</v>
      </c>
      <c r="AI35">
        <f t="shared" si="1"/>
        <v>2</v>
      </c>
      <c r="AJ35">
        <f t="shared" si="2"/>
        <v>3</v>
      </c>
    </row>
    <row r="36" spans="1:36">
      <c r="A36" s="4666" t="s">
        <v>110</v>
      </c>
      <c r="B36" s="1937" t="s">
        <v>283</v>
      </c>
      <c r="C36" s="1937" t="s">
        <v>201</v>
      </c>
      <c r="D36" s="934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  <c r="X36" s="778"/>
      <c r="Y36" s="778"/>
      <c r="Z36" s="778"/>
      <c r="AA36" s="2855"/>
      <c r="AB36" s="779"/>
      <c r="AC36" s="793"/>
      <c r="AD36" s="778"/>
      <c r="AE36" s="778"/>
      <c r="AF36" s="778"/>
      <c r="AG36" s="805"/>
      <c r="AH36">
        <f t="shared" si="0"/>
        <v>0</v>
      </c>
      <c r="AI36">
        <f t="shared" si="1"/>
        <v>0</v>
      </c>
      <c r="AJ36">
        <f t="shared" si="2"/>
        <v>0</v>
      </c>
    </row>
    <row r="37" spans="1:36">
      <c r="A37" s="4666"/>
      <c r="B37" s="1969" t="s">
        <v>283</v>
      </c>
      <c r="C37" s="2267" t="s">
        <v>610</v>
      </c>
      <c r="D37" s="4514" t="s">
        <v>1028</v>
      </c>
      <c r="E37" s="4475"/>
      <c r="F37" s="4475"/>
      <c r="G37" s="779"/>
      <c r="H37" s="779"/>
      <c r="I37" s="4475" t="s">
        <v>1029</v>
      </c>
      <c r="J37" s="4475"/>
      <c r="K37" s="4475"/>
      <c r="L37" s="779"/>
      <c r="M37" s="2434" t="s">
        <v>720</v>
      </c>
      <c r="N37" s="779"/>
      <c r="O37" s="779"/>
      <c r="P37" s="2434"/>
      <c r="Q37" s="779"/>
      <c r="R37" s="779"/>
      <c r="S37" s="779"/>
      <c r="T37" s="2434" t="s">
        <v>720</v>
      </c>
      <c r="U37" s="779"/>
      <c r="V37" s="779"/>
      <c r="W37" s="779"/>
      <c r="X37" s="779"/>
      <c r="Y37" s="779"/>
      <c r="Z37" s="2434" t="s">
        <v>720</v>
      </c>
      <c r="AA37" s="779"/>
      <c r="AB37" s="2437"/>
      <c r="AC37" s="2434"/>
      <c r="AD37" s="2434"/>
      <c r="AE37" s="779"/>
      <c r="AF37" s="779"/>
      <c r="AG37" s="2444"/>
      <c r="AH37">
        <f t="shared" si="0"/>
        <v>3</v>
      </c>
      <c r="AI37">
        <f t="shared" si="1"/>
        <v>0</v>
      </c>
      <c r="AJ37">
        <f t="shared" si="2"/>
        <v>3</v>
      </c>
    </row>
    <row r="38" spans="1:36">
      <c r="A38" s="4666"/>
      <c r="B38" s="1969" t="s">
        <v>95</v>
      </c>
      <c r="C38" s="2526" t="s">
        <v>249</v>
      </c>
      <c r="D38" s="4514" t="s">
        <v>1030</v>
      </c>
      <c r="E38" s="4475"/>
      <c r="F38" s="4475"/>
      <c r="G38" s="779"/>
      <c r="H38" s="779"/>
      <c r="I38" s="2434" t="s">
        <v>720</v>
      </c>
      <c r="J38" s="779"/>
      <c r="K38" s="779"/>
      <c r="L38" s="779"/>
      <c r="M38" s="779"/>
      <c r="N38" s="779"/>
      <c r="O38" s="779"/>
      <c r="P38" s="779"/>
      <c r="Q38" s="779"/>
      <c r="R38" s="779"/>
      <c r="S38" s="2434" t="s">
        <v>720</v>
      </c>
      <c r="T38" s="779"/>
      <c r="U38" s="779"/>
      <c r="V38" s="779"/>
      <c r="W38" s="779"/>
      <c r="X38" s="779"/>
      <c r="Y38" s="779"/>
      <c r="Z38" s="2434"/>
      <c r="AA38" s="779"/>
      <c r="AB38" s="779"/>
      <c r="AC38" s="779"/>
      <c r="AD38" s="2434" t="s">
        <v>720</v>
      </c>
      <c r="AE38" s="779"/>
      <c r="AF38" s="779"/>
      <c r="AG38" s="804"/>
      <c r="AH38">
        <f t="shared" si="0"/>
        <v>3</v>
      </c>
      <c r="AI38">
        <f t="shared" si="1"/>
        <v>0</v>
      </c>
      <c r="AJ38">
        <f t="shared" si="2"/>
        <v>3</v>
      </c>
    </row>
    <row r="39" spans="1:36">
      <c r="A39" s="4666"/>
      <c r="B39" s="1939" t="s">
        <v>113</v>
      </c>
      <c r="C39" s="1939" t="s">
        <v>116</v>
      </c>
      <c r="D39" s="935"/>
      <c r="E39" s="779"/>
      <c r="F39" s="779"/>
      <c r="G39" s="779"/>
      <c r="H39" s="779"/>
      <c r="I39" s="779"/>
      <c r="J39" s="779"/>
      <c r="K39" s="779"/>
      <c r="L39" s="779"/>
      <c r="M39" s="779"/>
      <c r="N39" s="779"/>
      <c r="O39" s="779"/>
      <c r="P39" s="779"/>
      <c r="Q39" s="779"/>
      <c r="R39" s="2434"/>
      <c r="S39" s="2434" t="s">
        <v>722</v>
      </c>
      <c r="T39" s="779"/>
      <c r="U39" s="779"/>
      <c r="V39" s="779"/>
      <c r="W39" s="779"/>
      <c r="X39" s="779"/>
      <c r="Y39" s="779"/>
      <c r="Z39" s="4463" t="s">
        <v>1023</v>
      </c>
      <c r="AA39" s="4414"/>
      <c r="AB39" s="779"/>
      <c r="AC39" s="779"/>
      <c r="AD39" s="779"/>
      <c r="AE39" s="779"/>
      <c r="AF39" s="2434" t="s">
        <v>722</v>
      </c>
      <c r="AG39" s="2444"/>
      <c r="AH39">
        <f t="shared" si="0"/>
        <v>0</v>
      </c>
      <c r="AI39">
        <f t="shared" si="1"/>
        <v>2</v>
      </c>
      <c r="AJ39">
        <f t="shared" si="2"/>
        <v>2</v>
      </c>
    </row>
    <row r="40" spans="1:36">
      <c r="A40" s="4666"/>
      <c r="B40" s="1939" t="s">
        <v>118</v>
      </c>
      <c r="C40" s="1939" t="s">
        <v>119</v>
      </c>
      <c r="D40" s="935"/>
      <c r="E40" s="779"/>
      <c r="F40" s="779"/>
      <c r="G40" s="779"/>
      <c r="H40" s="779"/>
      <c r="I40" s="779"/>
      <c r="J40" s="779"/>
      <c r="K40" s="779"/>
      <c r="L40" s="779"/>
      <c r="M40" s="779"/>
      <c r="N40" s="779"/>
      <c r="O40" s="779"/>
      <c r="P40" s="779"/>
      <c r="Q40" s="779"/>
      <c r="R40" s="779"/>
      <c r="S40" s="779"/>
      <c r="T40" s="779"/>
      <c r="U40" s="779"/>
      <c r="V40" s="779"/>
      <c r="W40" s="779"/>
      <c r="X40" s="779"/>
      <c r="Y40" s="779"/>
      <c r="Z40" s="779"/>
      <c r="AA40" s="779"/>
      <c r="AB40" s="779"/>
      <c r="AC40" s="779"/>
      <c r="AD40" s="779"/>
      <c r="AE40" s="779"/>
      <c r="AF40" s="779"/>
      <c r="AG40" s="804"/>
      <c r="AH40">
        <f t="shared" si="0"/>
        <v>0</v>
      </c>
      <c r="AI40">
        <f t="shared" si="1"/>
        <v>0</v>
      </c>
      <c r="AJ40">
        <f t="shared" si="2"/>
        <v>0</v>
      </c>
    </row>
    <row r="41" spans="1:36">
      <c r="A41" s="4666"/>
      <c r="B41" s="1939" t="s">
        <v>500</v>
      </c>
      <c r="C41" s="1939" t="s">
        <v>126</v>
      </c>
      <c r="D41" s="4514" t="s">
        <v>1031</v>
      </c>
      <c r="E41" s="4475"/>
      <c r="F41" s="4475"/>
      <c r="G41" s="779"/>
      <c r="H41" s="779"/>
      <c r="I41" s="779"/>
      <c r="J41" s="779"/>
      <c r="K41" s="4475" t="s">
        <v>482</v>
      </c>
      <c r="L41" s="4475"/>
      <c r="M41" s="4475"/>
      <c r="N41" s="4475"/>
      <c r="O41" s="4475"/>
      <c r="P41" s="4475"/>
      <c r="Q41" s="4475"/>
      <c r="R41" s="779"/>
      <c r="S41" s="779"/>
      <c r="T41" s="2434" t="s">
        <v>722</v>
      </c>
      <c r="U41" s="779"/>
      <c r="V41" s="779"/>
      <c r="W41" s="779"/>
      <c r="X41" s="2434" t="s">
        <v>720</v>
      </c>
      <c r="Y41" s="779"/>
      <c r="Z41" s="779"/>
      <c r="AA41" s="1184"/>
      <c r="AB41" s="779"/>
      <c r="AC41" s="779"/>
      <c r="AD41" s="779"/>
      <c r="AE41" s="779"/>
      <c r="AF41" s="5938" t="s">
        <v>1032</v>
      </c>
      <c r="AG41" s="5939"/>
      <c r="AH41">
        <f t="shared" si="0"/>
        <v>1</v>
      </c>
      <c r="AI41">
        <f t="shared" si="1"/>
        <v>1</v>
      </c>
      <c r="AJ41">
        <f t="shared" si="2"/>
        <v>2</v>
      </c>
    </row>
    <row r="42" spans="1:36">
      <c r="A42" s="4666"/>
      <c r="B42" s="1949" t="s">
        <v>120</v>
      </c>
      <c r="C42" s="1949" t="s">
        <v>121</v>
      </c>
      <c r="D42" s="4514" t="s">
        <v>1033</v>
      </c>
      <c r="E42" s="4475"/>
      <c r="F42" s="4475"/>
      <c r="G42" s="4475"/>
      <c r="H42" s="4475"/>
      <c r="I42" s="4475"/>
      <c r="J42" s="4475"/>
      <c r="K42" s="4475"/>
      <c r="L42" s="4475"/>
      <c r="M42" s="4475"/>
      <c r="N42" s="4475"/>
      <c r="O42" s="4475"/>
      <c r="P42" s="4475"/>
      <c r="Q42" s="4475"/>
      <c r="R42" s="4475"/>
      <c r="S42" s="4475"/>
      <c r="T42" s="4475"/>
      <c r="U42" s="4475"/>
      <c r="V42" s="4475"/>
      <c r="W42" s="4475"/>
      <c r="X42" s="4475"/>
      <c r="Y42" s="4475"/>
      <c r="Z42" s="4475"/>
      <c r="AA42" s="4475"/>
      <c r="AB42" s="4475"/>
      <c r="AC42" s="4475"/>
      <c r="AD42" s="4475"/>
      <c r="AE42" s="4475"/>
      <c r="AF42" s="4475"/>
      <c r="AG42" s="4506"/>
      <c r="AH42">
        <f t="shared" si="0"/>
        <v>0</v>
      </c>
      <c r="AI42">
        <f t="shared" si="1"/>
        <v>0</v>
      </c>
      <c r="AJ42">
        <f t="shared" si="2"/>
        <v>0</v>
      </c>
    </row>
    <row r="43" spans="1:36">
      <c r="A43" s="4666"/>
      <c r="B43" s="1943" t="s">
        <v>122</v>
      </c>
      <c r="C43" s="1943" t="s">
        <v>123</v>
      </c>
      <c r="D43" s="935"/>
      <c r="E43" s="779"/>
      <c r="F43" s="779"/>
      <c r="G43" s="779"/>
      <c r="H43" s="779"/>
      <c r="I43" s="779"/>
      <c r="J43" s="2434" t="s">
        <v>722</v>
      </c>
      <c r="K43" s="779"/>
      <c r="L43" s="779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2434" t="s">
        <v>720</v>
      </c>
      <c r="Z43" s="779"/>
      <c r="AA43" s="779"/>
      <c r="AB43" s="779"/>
      <c r="AC43" s="779"/>
      <c r="AD43" s="779"/>
      <c r="AE43" s="779"/>
      <c r="AF43" s="779"/>
      <c r="AG43" s="804"/>
      <c r="AH43">
        <f t="shared" si="0"/>
        <v>1</v>
      </c>
      <c r="AI43">
        <f t="shared" si="1"/>
        <v>1</v>
      </c>
      <c r="AJ43">
        <f t="shared" si="2"/>
        <v>2</v>
      </c>
    </row>
    <row r="44" spans="1:36">
      <c r="A44" s="4666"/>
      <c r="B44" s="1943" t="s">
        <v>122</v>
      </c>
      <c r="C44" s="1943" t="s">
        <v>553</v>
      </c>
      <c r="D44" s="935"/>
      <c r="E44" s="779"/>
      <c r="F44" s="779"/>
      <c r="G44" s="779"/>
      <c r="H44" s="779"/>
      <c r="I44" s="779"/>
      <c r="J44" s="779"/>
      <c r="K44" s="779"/>
      <c r="L44" s="779"/>
      <c r="M44" s="779"/>
      <c r="N44" s="779"/>
      <c r="O44" s="779"/>
      <c r="P44" s="779"/>
      <c r="Q44" s="779"/>
      <c r="R44" s="779"/>
      <c r="S44" s="779"/>
      <c r="T44" s="779"/>
      <c r="U44" s="779"/>
      <c r="V44" s="779"/>
      <c r="W44" s="779"/>
      <c r="X44" s="779"/>
      <c r="Y44" s="2434"/>
      <c r="Z44" s="779"/>
      <c r="AA44" s="779"/>
      <c r="AB44" s="779"/>
      <c r="AC44" s="779"/>
      <c r="AD44" s="779"/>
      <c r="AE44" s="779"/>
      <c r="AF44" s="779"/>
      <c r="AG44" s="804"/>
      <c r="AH44">
        <f t="shared" si="0"/>
        <v>0</v>
      </c>
      <c r="AI44">
        <f t="shared" si="1"/>
        <v>0</v>
      </c>
      <c r="AJ44">
        <f t="shared" si="2"/>
        <v>0</v>
      </c>
    </row>
    <row r="45" spans="1:36">
      <c r="A45" s="4666"/>
      <c r="B45" s="1943" t="s">
        <v>124</v>
      </c>
      <c r="C45" s="1943" t="s">
        <v>125</v>
      </c>
      <c r="D45" s="935"/>
      <c r="E45" s="779"/>
      <c r="F45" s="2434" t="s">
        <v>722</v>
      </c>
      <c r="G45" s="779"/>
      <c r="H45" s="780"/>
      <c r="I45" s="2435" t="s">
        <v>722</v>
      </c>
      <c r="J45" s="780"/>
      <c r="K45" s="780"/>
      <c r="L45" s="5917" t="s">
        <v>1001</v>
      </c>
      <c r="M45" s="5917"/>
      <c r="N45" s="5917"/>
      <c r="O45" s="5917"/>
      <c r="P45" s="5917"/>
      <c r="Q45" s="5917"/>
      <c r="R45" s="5917"/>
      <c r="S45" s="5917"/>
      <c r="T45" s="4313"/>
      <c r="U45" s="5917"/>
      <c r="V45" s="5917"/>
      <c r="W45" s="5917"/>
      <c r="X45" s="5917"/>
      <c r="Y45" s="5917"/>
      <c r="Z45" s="5917"/>
      <c r="AA45" s="5917"/>
      <c r="AB45" s="4313"/>
      <c r="AC45" s="4313"/>
      <c r="AD45" s="4313"/>
      <c r="AE45" s="779"/>
      <c r="AF45" s="779"/>
      <c r="AG45" s="804"/>
      <c r="AH45">
        <f t="shared" si="0"/>
        <v>0</v>
      </c>
      <c r="AI45">
        <f t="shared" si="1"/>
        <v>2</v>
      </c>
      <c r="AJ45">
        <f t="shared" si="2"/>
        <v>2</v>
      </c>
    </row>
    <row r="46" spans="1:36">
      <c r="A46" s="4666"/>
      <c r="B46" s="1943" t="s">
        <v>293</v>
      </c>
      <c r="C46" s="2267" t="s">
        <v>733</v>
      </c>
      <c r="D46" s="935"/>
      <c r="E46" s="779"/>
      <c r="F46" s="2735"/>
      <c r="G46" s="2740"/>
      <c r="H46" s="2"/>
      <c r="I46" s="2"/>
      <c r="J46" s="2"/>
      <c r="K46" s="2"/>
      <c r="L46" s="5906" t="s">
        <v>251</v>
      </c>
      <c r="M46" s="5906"/>
      <c r="N46" s="5940" t="s">
        <v>1034</v>
      </c>
      <c r="O46" s="5941"/>
      <c r="P46" s="5941"/>
      <c r="Q46" s="5941"/>
      <c r="R46" s="5941"/>
      <c r="S46" s="5941"/>
      <c r="T46" s="5941"/>
      <c r="U46" s="5941"/>
      <c r="V46" s="5941"/>
      <c r="W46" s="5941"/>
      <c r="X46" s="5942"/>
      <c r="Y46" s="5796" t="s">
        <v>1018</v>
      </c>
      <c r="Z46" s="5796"/>
      <c r="AA46" s="5796"/>
      <c r="AB46" s="3628" t="s">
        <v>251</v>
      </c>
      <c r="AC46" s="779"/>
      <c r="AD46" s="779"/>
      <c r="AE46" s="779"/>
      <c r="AF46" s="779"/>
      <c r="AG46" s="804"/>
      <c r="AH46">
        <f t="shared" si="0"/>
        <v>0</v>
      </c>
      <c r="AI46">
        <f t="shared" si="1"/>
        <v>0</v>
      </c>
      <c r="AJ46">
        <f t="shared" si="2"/>
        <v>0</v>
      </c>
    </row>
    <row r="47" spans="1:36">
      <c r="A47" s="4666"/>
      <c r="B47" s="1943" t="s">
        <v>692</v>
      </c>
      <c r="C47" s="1943" t="s">
        <v>693</v>
      </c>
      <c r="D47" s="935"/>
      <c r="E47" s="779"/>
      <c r="F47" s="2"/>
      <c r="G47" s="2"/>
      <c r="H47" s="2770"/>
      <c r="I47" s="2770"/>
      <c r="J47" s="778"/>
      <c r="K47" s="778"/>
      <c r="L47" s="2854" t="s">
        <v>1012</v>
      </c>
      <c r="M47" s="778"/>
      <c r="N47" s="778"/>
      <c r="O47" s="778"/>
      <c r="P47" s="778"/>
      <c r="Q47" s="778"/>
      <c r="R47" s="778"/>
      <c r="S47" s="778"/>
      <c r="T47" s="3628" t="s">
        <v>251</v>
      </c>
      <c r="U47" s="5919" t="s">
        <v>1015</v>
      </c>
      <c r="V47" s="5919"/>
      <c r="W47" s="2563" t="s">
        <v>251</v>
      </c>
      <c r="X47" s="778"/>
      <c r="Y47" s="778"/>
      <c r="Z47" s="778"/>
      <c r="AA47" s="778"/>
      <c r="AB47" s="779"/>
      <c r="AC47" s="779"/>
      <c r="AD47" s="779"/>
      <c r="AE47" s="779"/>
      <c r="AF47" s="779"/>
      <c r="AG47" s="804"/>
      <c r="AH47">
        <f t="shared" si="0"/>
        <v>0</v>
      </c>
      <c r="AI47">
        <f t="shared" si="1"/>
        <v>0</v>
      </c>
      <c r="AJ47">
        <f t="shared" si="2"/>
        <v>0</v>
      </c>
    </row>
    <row r="48" spans="1:36">
      <c r="A48" s="4666"/>
      <c r="B48" s="2267" t="s">
        <v>127</v>
      </c>
      <c r="C48" s="2267" t="s">
        <v>657</v>
      </c>
      <c r="D48" s="935"/>
      <c r="E48" s="779"/>
      <c r="F48" s="779"/>
      <c r="G48" s="779"/>
      <c r="H48" s="779"/>
      <c r="I48" s="779"/>
      <c r="J48" s="779"/>
      <c r="K48" s="779"/>
      <c r="L48" s="780"/>
      <c r="M48" s="780"/>
      <c r="N48" s="780"/>
      <c r="O48" s="780"/>
      <c r="P48" s="780"/>
      <c r="Q48" s="780"/>
      <c r="R48" s="780"/>
      <c r="S48" s="780"/>
      <c r="T48" s="780"/>
      <c r="U48" s="780"/>
      <c r="V48" s="780"/>
      <c r="W48" s="780"/>
      <c r="X48" s="779"/>
      <c r="Y48" s="779"/>
      <c r="Z48" s="779"/>
      <c r="AA48" s="779"/>
      <c r="AB48" s="779"/>
      <c r="AC48" s="779"/>
      <c r="AD48" s="779"/>
      <c r="AE48" s="779"/>
      <c r="AF48" s="779"/>
      <c r="AG48" s="804"/>
      <c r="AH48">
        <f t="shared" si="0"/>
        <v>0</v>
      </c>
      <c r="AI48">
        <f t="shared" si="1"/>
        <v>0</v>
      </c>
      <c r="AJ48">
        <f t="shared" si="2"/>
        <v>0</v>
      </c>
    </row>
    <row r="49" spans="1:36">
      <c r="A49" s="4666"/>
      <c r="B49" s="1939" t="s">
        <v>554</v>
      </c>
      <c r="C49" s="1939" t="s">
        <v>555</v>
      </c>
      <c r="D49" s="935"/>
      <c r="E49" s="779"/>
      <c r="F49" s="779"/>
      <c r="G49" s="779"/>
      <c r="H49" s="779"/>
      <c r="I49" s="779"/>
      <c r="J49" s="779"/>
      <c r="K49" s="847"/>
      <c r="L49" s="2"/>
      <c r="M49" s="2"/>
      <c r="N49" s="2"/>
      <c r="O49" s="2"/>
      <c r="P49" s="2"/>
      <c r="Q49" s="2"/>
      <c r="R49" s="2"/>
      <c r="S49" s="2"/>
      <c r="T49" s="2"/>
      <c r="U49" s="2"/>
      <c r="V49" s="779"/>
      <c r="W49" s="779"/>
      <c r="X49" s="822"/>
      <c r="Y49" s="779"/>
      <c r="Z49" s="779"/>
      <c r="AA49" s="779"/>
      <c r="AB49" s="779"/>
      <c r="AC49" s="779"/>
      <c r="AD49" s="779"/>
      <c r="AE49" s="779"/>
      <c r="AF49" s="779"/>
      <c r="AG49" s="804"/>
      <c r="AH49">
        <f t="shared" si="0"/>
        <v>0</v>
      </c>
      <c r="AI49">
        <f t="shared" si="1"/>
        <v>0</v>
      </c>
      <c r="AJ49">
        <f t="shared" si="2"/>
        <v>0</v>
      </c>
    </row>
    <row r="50" spans="1:36" s="1" customFormat="1">
      <c r="A50" s="4666"/>
      <c r="B50" s="1939" t="s">
        <v>129</v>
      </c>
      <c r="C50" s="1939" t="s">
        <v>474</v>
      </c>
      <c r="D50" s="935"/>
      <c r="E50" s="779"/>
      <c r="F50" s="779"/>
      <c r="G50" s="779"/>
      <c r="H50" s="779"/>
      <c r="I50" s="779"/>
      <c r="J50" s="779"/>
      <c r="K50" s="779"/>
      <c r="L50" s="2437"/>
      <c r="M50" s="778"/>
      <c r="N50" s="2437"/>
      <c r="O50" s="778"/>
      <c r="P50" s="2437" t="s">
        <v>722</v>
      </c>
      <c r="Q50" s="778"/>
      <c r="R50" s="778"/>
      <c r="S50" s="2437"/>
      <c r="T50" s="778"/>
      <c r="U50" s="2437" t="s">
        <v>722</v>
      </c>
      <c r="V50" s="778"/>
      <c r="W50" s="778"/>
      <c r="X50" s="779"/>
      <c r="Y50" s="2434" t="s">
        <v>722</v>
      </c>
      <c r="Z50" s="779"/>
      <c r="AA50" s="779"/>
      <c r="AB50" s="779"/>
      <c r="AC50" s="779"/>
      <c r="AD50" s="779"/>
      <c r="AE50" s="779"/>
      <c r="AF50" s="779"/>
      <c r="AG50" s="804"/>
      <c r="AH50">
        <f t="shared" si="0"/>
        <v>0</v>
      </c>
      <c r="AI50">
        <f t="shared" si="1"/>
        <v>3</v>
      </c>
      <c r="AJ50">
        <f t="shared" si="2"/>
        <v>3</v>
      </c>
    </row>
    <row r="51" spans="1:36">
      <c r="A51" s="4666"/>
      <c r="B51" s="1939" t="s">
        <v>134</v>
      </c>
      <c r="C51" s="1939" t="s">
        <v>135</v>
      </c>
      <c r="D51" s="935"/>
      <c r="E51" s="2434" t="s">
        <v>720</v>
      </c>
      <c r="F51" s="2735"/>
      <c r="G51" s="2735"/>
      <c r="H51" s="2735"/>
      <c r="I51" s="2735"/>
      <c r="J51" s="779"/>
      <c r="K51" s="779"/>
      <c r="L51" s="779"/>
      <c r="M51" s="779"/>
      <c r="N51" s="779"/>
      <c r="O51" s="779"/>
      <c r="P51" s="779"/>
      <c r="Q51" s="779"/>
      <c r="R51" s="2434" t="s">
        <v>722</v>
      </c>
      <c r="S51" s="779"/>
      <c r="T51" s="779"/>
      <c r="U51" s="779"/>
      <c r="V51" s="779"/>
      <c r="W51" s="779"/>
      <c r="X51" s="779"/>
      <c r="Y51" s="779"/>
      <c r="Z51" s="779"/>
      <c r="AA51" s="779"/>
      <c r="AB51" s="779"/>
      <c r="AC51" s="779"/>
      <c r="AD51" s="779"/>
      <c r="AE51" s="779"/>
      <c r="AF51" s="779"/>
      <c r="AG51" s="804"/>
      <c r="AH51">
        <f t="shared" si="0"/>
        <v>1</v>
      </c>
      <c r="AI51">
        <f t="shared" si="1"/>
        <v>1</v>
      </c>
      <c r="AJ51">
        <f t="shared" si="2"/>
        <v>2</v>
      </c>
    </row>
    <row r="52" spans="1:36">
      <c r="A52" s="4666"/>
      <c r="B52" s="2268" t="s">
        <v>333</v>
      </c>
      <c r="C52" s="1949" t="s">
        <v>334</v>
      </c>
      <c r="D52" s="2766" t="s">
        <v>720</v>
      </c>
      <c r="E52" s="782"/>
      <c r="F52" s="782"/>
      <c r="G52" s="2443" t="s">
        <v>722</v>
      </c>
      <c r="H52" s="782"/>
      <c r="I52" s="782"/>
      <c r="J52" s="782"/>
      <c r="K52" s="782"/>
      <c r="L52" s="782"/>
      <c r="M52" s="782"/>
      <c r="N52" s="782"/>
      <c r="O52" s="782"/>
      <c r="P52" s="782"/>
      <c r="Q52" s="2443" t="s">
        <v>722</v>
      </c>
      <c r="R52" s="782"/>
      <c r="S52" s="782"/>
      <c r="T52" s="782"/>
      <c r="U52" s="782"/>
      <c r="V52" s="782"/>
      <c r="W52" s="782"/>
      <c r="X52" s="782"/>
      <c r="Y52" s="782"/>
      <c r="Z52" s="782"/>
      <c r="AA52" s="782"/>
      <c r="AB52" s="782"/>
      <c r="AC52" s="782"/>
      <c r="AD52" s="782"/>
      <c r="AE52" s="782"/>
      <c r="AF52" s="782"/>
      <c r="AG52" s="807"/>
      <c r="AH52">
        <f t="shared" si="0"/>
        <v>0</v>
      </c>
      <c r="AI52">
        <f t="shared" si="1"/>
        <v>2</v>
      </c>
      <c r="AJ52">
        <f t="shared" si="2"/>
        <v>2</v>
      </c>
    </row>
    <row r="53" spans="1:36">
      <c r="A53" s="5915" t="s">
        <v>136</v>
      </c>
      <c r="B53" s="31" t="s">
        <v>77</v>
      </c>
      <c r="C53" s="950" t="s">
        <v>153</v>
      </c>
      <c r="D53" s="934"/>
      <c r="E53" s="778"/>
      <c r="F53" s="2"/>
      <c r="G53" s="2"/>
      <c r="H53" s="3685"/>
      <c r="I53" s="3685"/>
      <c r="J53" s="779"/>
      <c r="K53" s="779"/>
      <c r="L53" s="4645" t="s">
        <v>1035</v>
      </c>
      <c r="M53" s="5271"/>
      <c r="N53" s="5271"/>
      <c r="O53" s="5271"/>
      <c r="P53" s="5271"/>
      <c r="Q53" s="5271"/>
      <c r="R53" s="5271"/>
      <c r="S53" s="5271"/>
      <c r="T53" s="5271"/>
      <c r="U53" s="5271"/>
      <c r="V53" s="5271"/>
      <c r="W53" s="5271"/>
      <c r="X53" s="778"/>
      <c r="Y53" s="778"/>
      <c r="Z53" s="778"/>
      <c r="AA53" s="1184"/>
      <c r="AB53" s="778"/>
      <c r="AC53" s="2437" t="s">
        <v>720</v>
      </c>
      <c r="AD53" s="778"/>
      <c r="AE53" s="778"/>
      <c r="AF53" s="785"/>
      <c r="AG53" s="2839" t="s">
        <v>720</v>
      </c>
      <c r="AH53">
        <f t="shared" si="0"/>
        <v>2</v>
      </c>
      <c r="AI53">
        <f t="shared" si="1"/>
        <v>0</v>
      </c>
      <c r="AJ53">
        <f t="shared" si="2"/>
        <v>2</v>
      </c>
    </row>
    <row r="54" spans="1:36">
      <c r="A54" s="4666"/>
      <c r="B54" s="35" t="s">
        <v>283</v>
      </c>
      <c r="C54" s="990" t="s">
        <v>1036</v>
      </c>
      <c r="D54" s="2458"/>
      <c r="E54" s="2459"/>
      <c r="F54" s="2459"/>
      <c r="G54" s="2459"/>
      <c r="H54" s="2459"/>
      <c r="I54" s="2459"/>
      <c r="J54" s="2459"/>
      <c r="K54" s="2459"/>
      <c r="L54" s="2459"/>
      <c r="M54" s="2459"/>
      <c r="N54" s="2459"/>
      <c r="O54" s="779"/>
      <c r="P54" s="779"/>
      <c r="Q54" s="779"/>
      <c r="R54" s="779"/>
      <c r="S54" s="779"/>
      <c r="T54" s="779"/>
      <c r="U54" s="779"/>
      <c r="V54" s="779"/>
      <c r="W54" s="779"/>
      <c r="X54" s="779"/>
      <c r="Y54" s="779"/>
      <c r="Z54" s="779"/>
      <c r="AA54" s="779"/>
      <c r="AB54" s="779"/>
      <c r="AC54" s="779"/>
      <c r="AD54" s="779"/>
      <c r="AE54" s="847"/>
      <c r="AF54" s="3628" t="s">
        <v>251</v>
      </c>
      <c r="AG54" s="2848" t="s">
        <v>1021</v>
      </c>
      <c r="AH54">
        <f t="shared" si="0"/>
        <v>0</v>
      </c>
      <c r="AI54">
        <f t="shared" si="1"/>
        <v>0</v>
      </c>
      <c r="AJ54">
        <f t="shared" si="2"/>
        <v>0</v>
      </c>
    </row>
    <row r="55" spans="1:36">
      <c r="A55" s="4666"/>
      <c r="B55" s="32" t="s">
        <v>95</v>
      </c>
      <c r="C55" s="2838" t="s">
        <v>738</v>
      </c>
      <c r="D55" s="935"/>
      <c r="E55" s="779"/>
      <c r="F55" s="779"/>
      <c r="G55" s="779"/>
      <c r="H55" s="779"/>
      <c r="I55" s="779"/>
      <c r="J55" s="779"/>
      <c r="K55" s="779"/>
      <c r="L55" s="779"/>
      <c r="M55" s="779"/>
      <c r="N55" s="779"/>
      <c r="O55" s="779"/>
      <c r="P55" s="779"/>
      <c r="Q55" s="779"/>
      <c r="R55" s="779"/>
      <c r="S55" s="779"/>
      <c r="T55" s="779"/>
      <c r="U55" s="779"/>
      <c r="V55" s="779"/>
      <c r="W55" s="779"/>
      <c r="X55" s="779"/>
      <c r="Y55" s="779"/>
      <c r="Z55" s="779"/>
      <c r="AA55" s="779"/>
      <c r="AB55" s="779"/>
      <c r="AC55" s="779"/>
      <c r="AD55" s="779"/>
      <c r="AE55" s="779"/>
      <c r="AG55" s="804"/>
      <c r="AH55">
        <f t="shared" si="0"/>
        <v>0</v>
      </c>
      <c r="AI55">
        <f t="shared" si="1"/>
        <v>0</v>
      </c>
      <c r="AJ55">
        <f t="shared" si="2"/>
        <v>0</v>
      </c>
    </row>
    <row r="56" spans="1:36">
      <c r="A56" s="4666"/>
      <c r="B56" s="39" t="s">
        <v>95</v>
      </c>
      <c r="C56" s="2485" t="s">
        <v>1037</v>
      </c>
      <c r="D56" s="935"/>
      <c r="E56" s="779"/>
      <c r="F56" s="779"/>
      <c r="G56" s="779"/>
      <c r="H56" s="779"/>
      <c r="I56" s="779"/>
      <c r="J56" s="779"/>
      <c r="K56" s="779"/>
      <c r="L56" s="779"/>
      <c r="M56" s="779"/>
      <c r="N56" s="779"/>
      <c r="O56" s="779"/>
      <c r="P56" s="779"/>
      <c r="Q56" s="779"/>
      <c r="R56" s="779"/>
      <c r="S56" s="779"/>
      <c r="T56" s="779"/>
      <c r="U56" s="779"/>
      <c r="V56" s="779"/>
      <c r="W56" s="779"/>
      <c r="X56" s="779"/>
      <c r="Y56" s="779"/>
      <c r="Z56" s="779"/>
      <c r="AA56" s="779"/>
      <c r="AB56" s="779"/>
      <c r="AC56" s="779"/>
      <c r="AD56" s="779"/>
      <c r="AE56" s="779"/>
      <c r="AF56" s="778"/>
      <c r="AG56" s="804"/>
      <c r="AH56">
        <f t="shared" si="0"/>
        <v>0</v>
      </c>
      <c r="AI56">
        <f t="shared" si="1"/>
        <v>0</v>
      </c>
      <c r="AJ56">
        <f t="shared" si="2"/>
        <v>0</v>
      </c>
    </row>
    <row r="57" spans="1:36">
      <c r="A57" s="5916"/>
      <c r="B57" s="1223" t="s">
        <v>739</v>
      </c>
      <c r="C57" s="1054" t="s">
        <v>740</v>
      </c>
      <c r="D57" s="936"/>
      <c r="E57" s="782"/>
      <c r="F57" s="321"/>
      <c r="G57" s="321"/>
      <c r="H57" s="321"/>
      <c r="I57" s="321"/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2564" t="s">
        <v>251</v>
      </c>
      <c r="X57" s="5796" t="s">
        <v>1018</v>
      </c>
      <c r="Y57" s="5796"/>
      <c r="Z57" s="5796"/>
      <c r="AA57" s="2564" t="s">
        <v>251</v>
      </c>
      <c r="AB57" s="782"/>
      <c r="AC57" s="782"/>
      <c r="AD57" s="782"/>
      <c r="AE57" s="782"/>
      <c r="AF57" s="782"/>
      <c r="AG57" s="807"/>
      <c r="AH57">
        <f t="shared" si="0"/>
        <v>0</v>
      </c>
      <c r="AI57">
        <f t="shared" si="1"/>
        <v>0</v>
      </c>
      <c r="AJ57">
        <f t="shared" si="2"/>
        <v>0</v>
      </c>
    </row>
    <row r="58" spans="1:36">
      <c r="A58" s="4403" t="s">
        <v>144</v>
      </c>
      <c r="B58" s="35" t="s">
        <v>145</v>
      </c>
      <c r="C58" s="2485" t="s">
        <v>148</v>
      </c>
      <c r="D58" s="1036"/>
      <c r="E58" s="365"/>
      <c r="F58" s="776"/>
      <c r="G58" s="776"/>
      <c r="H58" s="776"/>
      <c r="I58" s="776"/>
      <c r="J58" s="778"/>
      <c r="K58" s="778"/>
      <c r="L58" s="2437" t="s">
        <v>722</v>
      </c>
      <c r="M58" s="365"/>
      <c r="N58" s="1184"/>
      <c r="O58" s="5910" t="s">
        <v>89</v>
      </c>
      <c r="P58" s="5926"/>
      <c r="Q58" s="1184"/>
      <c r="R58" s="1184"/>
      <c r="S58" s="799"/>
      <c r="T58" s="1268"/>
      <c r="U58" s="2434" t="s">
        <v>720</v>
      </c>
      <c r="V58" s="2817"/>
      <c r="W58" s="1268"/>
      <c r="X58" s="795"/>
      <c r="Y58" s="1184"/>
      <c r="Z58" s="799"/>
      <c r="AA58" s="1184"/>
      <c r="AB58" s="778"/>
      <c r="AC58" s="778"/>
      <c r="AD58" s="778"/>
      <c r="AE58" s="795"/>
      <c r="AF58" s="2563" t="s">
        <v>251</v>
      </c>
      <c r="AG58" s="2833" t="s">
        <v>1014</v>
      </c>
      <c r="AH58">
        <f t="shared" si="0"/>
        <v>1</v>
      </c>
      <c r="AI58">
        <f t="shared" si="1"/>
        <v>1</v>
      </c>
      <c r="AJ58">
        <f t="shared" si="2"/>
        <v>2</v>
      </c>
    </row>
    <row r="59" spans="1:36">
      <c r="A59" s="4403"/>
      <c r="B59" s="32" t="s">
        <v>1038</v>
      </c>
      <c r="C59" s="2485" t="s">
        <v>618</v>
      </c>
      <c r="D59" s="923"/>
      <c r="E59" s="362"/>
      <c r="F59" s="362"/>
      <c r="G59" s="362"/>
      <c r="H59" s="362"/>
      <c r="I59" s="362"/>
      <c r="J59" s="362"/>
      <c r="K59" s="2434" t="s">
        <v>722</v>
      </c>
      <c r="L59" s="362"/>
      <c r="M59" s="362"/>
      <c r="N59" s="1185"/>
      <c r="O59" s="1185"/>
      <c r="P59" s="779"/>
      <c r="Q59" s="779"/>
      <c r="R59" s="779"/>
      <c r="S59" s="779"/>
      <c r="T59" s="779"/>
      <c r="V59" s="1185"/>
      <c r="W59" s="3628" t="s">
        <v>251</v>
      </c>
      <c r="X59" s="5796" t="s">
        <v>1018</v>
      </c>
      <c r="Y59" s="5796"/>
      <c r="Z59" s="5796"/>
      <c r="AA59" s="3628" t="s">
        <v>251</v>
      </c>
      <c r="AB59" s="1185"/>
      <c r="AC59" s="1185"/>
      <c r="AD59" s="1185"/>
      <c r="AE59" s="1185"/>
      <c r="AF59" s="1185"/>
      <c r="AG59" s="2834"/>
      <c r="AH59">
        <f t="shared" si="0"/>
        <v>0</v>
      </c>
      <c r="AI59">
        <f t="shared" si="1"/>
        <v>1</v>
      </c>
      <c r="AJ59">
        <f t="shared" si="2"/>
        <v>1</v>
      </c>
    </row>
    <row r="60" spans="1:36">
      <c r="A60" s="4403"/>
      <c r="B60" s="32" t="s">
        <v>149</v>
      </c>
      <c r="C60" s="2485" t="s">
        <v>744</v>
      </c>
      <c r="D60" s="935"/>
      <c r="E60" s="2"/>
      <c r="F60" s="3628" t="s">
        <v>251</v>
      </c>
      <c r="G60" s="5920" t="s">
        <v>1039</v>
      </c>
      <c r="H60" s="5920"/>
      <c r="I60" s="5920"/>
      <c r="J60" s="3628" t="s">
        <v>251</v>
      </c>
      <c r="K60" s="779"/>
      <c r="L60" s="779"/>
      <c r="M60" s="779"/>
      <c r="N60" s="779"/>
      <c r="O60" s="779"/>
      <c r="P60" s="779"/>
      <c r="Q60" s="779"/>
      <c r="R60" s="779"/>
      <c r="S60" s="779"/>
      <c r="T60" s="779"/>
      <c r="U60" s="779"/>
      <c r="V60" s="779"/>
      <c r="W60" s="779"/>
      <c r="X60" s="779"/>
      <c r="Y60" s="779"/>
      <c r="Z60" s="779"/>
      <c r="AA60" s="779"/>
      <c r="AB60" s="1185"/>
      <c r="AC60" s="1185"/>
      <c r="AD60" s="1185"/>
      <c r="AE60" s="779"/>
      <c r="AF60" s="2"/>
      <c r="AG60" s="696"/>
      <c r="AH60">
        <f t="shared" si="0"/>
        <v>0</v>
      </c>
      <c r="AI60">
        <f t="shared" si="1"/>
        <v>0</v>
      </c>
      <c r="AJ60">
        <f t="shared" si="2"/>
        <v>0</v>
      </c>
    </row>
    <row r="61" spans="1:36">
      <c r="A61" s="4403"/>
      <c r="B61" s="39" t="s">
        <v>149</v>
      </c>
      <c r="C61" s="990" t="s">
        <v>151</v>
      </c>
      <c r="D61" s="2766"/>
      <c r="E61" s="782"/>
      <c r="F61" s="782"/>
      <c r="G61" s="2443"/>
      <c r="H61" s="2443" t="s">
        <v>722</v>
      </c>
      <c r="I61" s="782"/>
      <c r="J61" s="782"/>
      <c r="K61" s="782"/>
      <c r="L61" s="782"/>
      <c r="M61" s="782"/>
      <c r="N61" s="782"/>
      <c r="O61" s="321"/>
      <c r="P61" s="321"/>
      <c r="Q61" s="321"/>
      <c r="R61" s="321"/>
      <c r="S61" s="782"/>
      <c r="T61" s="2564" t="s">
        <v>251</v>
      </c>
      <c r="U61" s="5918" t="s">
        <v>1015</v>
      </c>
      <c r="V61" s="5918"/>
      <c r="W61" s="2564" t="s">
        <v>251</v>
      </c>
      <c r="X61" s="782"/>
      <c r="Y61" s="782"/>
      <c r="Z61" s="782"/>
      <c r="AA61" s="2443" t="s">
        <v>722</v>
      </c>
      <c r="AB61" s="321"/>
      <c r="AC61" s="321"/>
      <c r="AD61" s="321"/>
      <c r="AE61" s="782"/>
      <c r="AF61" s="2443" t="s">
        <v>720</v>
      </c>
      <c r="AG61" s="2837"/>
      <c r="AH61">
        <f t="shared" si="0"/>
        <v>1</v>
      </c>
      <c r="AI61">
        <f t="shared" si="1"/>
        <v>2</v>
      </c>
      <c r="AJ61">
        <f t="shared" si="2"/>
        <v>3</v>
      </c>
    </row>
    <row r="62" spans="1:36">
      <c r="A62" s="5314" t="s">
        <v>1</v>
      </c>
      <c r="B62" s="1033" t="s">
        <v>283</v>
      </c>
      <c r="C62" s="1033" t="s">
        <v>1005</v>
      </c>
      <c r="D62" s="934"/>
      <c r="E62" s="778"/>
      <c r="F62" s="2563" t="s">
        <v>251</v>
      </c>
      <c r="G62" s="5927" t="s">
        <v>1039</v>
      </c>
      <c r="H62" s="5927"/>
      <c r="I62" s="5927"/>
      <c r="J62" s="2563" t="s">
        <v>251</v>
      </c>
      <c r="K62" s="778"/>
      <c r="L62" s="778"/>
      <c r="M62" s="2724" t="s">
        <v>7</v>
      </c>
      <c r="N62" s="2434" t="s">
        <v>717</v>
      </c>
      <c r="O62" s="778"/>
      <c r="P62" s="778"/>
      <c r="Q62" s="778"/>
      <c r="R62" s="778"/>
      <c r="S62" s="778"/>
      <c r="T62" s="2563" t="s">
        <v>251</v>
      </c>
      <c r="U62" s="5919" t="s">
        <v>1015</v>
      </c>
      <c r="V62" s="5919"/>
      <c r="W62" s="2563" t="s">
        <v>251</v>
      </c>
      <c r="X62" s="795"/>
      <c r="Y62" s="1184"/>
      <c r="Z62" s="2434" t="s">
        <v>717</v>
      </c>
      <c r="AA62" s="1184"/>
      <c r="AB62" s="1184"/>
      <c r="AC62" s="1184"/>
      <c r="AD62" s="1184"/>
      <c r="AE62" s="795"/>
      <c r="AF62" s="2563" t="s">
        <v>251</v>
      </c>
      <c r="AG62" s="2833" t="s">
        <v>1014</v>
      </c>
      <c r="AH62">
        <f t="shared" si="0"/>
        <v>0</v>
      </c>
      <c r="AI62">
        <f t="shared" si="1"/>
        <v>0</v>
      </c>
      <c r="AJ62">
        <f t="shared" si="2"/>
        <v>0</v>
      </c>
    </row>
    <row r="63" spans="1:36">
      <c r="A63" s="5312"/>
      <c r="B63" s="2485" t="s">
        <v>392</v>
      </c>
      <c r="C63" s="2485" t="s">
        <v>78</v>
      </c>
      <c r="D63" s="4416" t="s">
        <v>112</v>
      </c>
      <c r="E63" s="4411"/>
      <c r="F63" s="4411"/>
      <c r="G63" s="4411"/>
      <c r="H63" s="4411"/>
      <c r="I63" s="4411"/>
      <c r="J63" s="4411"/>
      <c r="K63" s="4411"/>
      <c r="L63" s="4411"/>
      <c r="M63" s="4411"/>
      <c r="N63" s="4411"/>
      <c r="O63" s="4411"/>
      <c r="P63" s="4411"/>
      <c r="Q63" s="4411"/>
      <c r="R63" s="4411"/>
      <c r="S63" s="4411"/>
      <c r="T63" s="4411"/>
      <c r="U63" s="4411"/>
      <c r="V63" s="4411"/>
      <c r="W63" s="4411"/>
      <c r="X63" s="4411"/>
      <c r="Y63" s="4411"/>
      <c r="Z63" s="4411"/>
      <c r="AA63" s="4411"/>
      <c r="AB63" s="4411"/>
      <c r="AC63" s="4411"/>
      <c r="AD63" s="4411"/>
      <c r="AE63" s="4411"/>
      <c r="AF63" s="4411"/>
      <c r="AG63" s="4559"/>
      <c r="AH63">
        <f t="shared" si="0"/>
        <v>0</v>
      </c>
      <c r="AI63">
        <f t="shared" si="1"/>
        <v>0</v>
      </c>
      <c r="AJ63">
        <f t="shared" si="2"/>
        <v>0</v>
      </c>
    </row>
    <row r="64" spans="1:36" ht="15.75">
      <c r="A64" s="5312"/>
      <c r="B64" s="1034" t="s">
        <v>95</v>
      </c>
      <c r="C64" s="1034" t="s">
        <v>620</v>
      </c>
      <c r="D64" s="2430"/>
      <c r="E64" s="2434"/>
      <c r="F64" s="2434" t="s">
        <v>720</v>
      </c>
      <c r="G64" s="2434"/>
      <c r="H64" s="824"/>
      <c r="I64" s="824"/>
      <c r="J64" s="2434" t="s">
        <v>720</v>
      </c>
      <c r="K64" s="824"/>
      <c r="L64" s="824"/>
      <c r="M64" s="2725" t="s">
        <v>7</v>
      </c>
      <c r="N64" s="920"/>
      <c r="O64" s="2434" t="s">
        <v>720</v>
      </c>
      <c r="P64" s="824"/>
      <c r="Q64" s="824"/>
      <c r="R64" s="380"/>
      <c r="S64" s="537"/>
      <c r="T64" s="3628" t="s">
        <v>251</v>
      </c>
      <c r="U64" s="5912" t="s">
        <v>1015</v>
      </c>
      <c r="V64" s="5912"/>
      <c r="W64" s="3628" t="s">
        <v>251</v>
      </c>
      <c r="X64" s="374"/>
      <c r="Y64" s="362"/>
      <c r="Z64" s="537"/>
      <c r="AA64" s="779"/>
      <c r="AB64" s="2"/>
      <c r="AC64" s="2434" t="s">
        <v>722</v>
      </c>
      <c r="AD64" s="2434"/>
      <c r="AE64" s="374"/>
      <c r="AF64" s="3628" t="s">
        <v>251</v>
      </c>
      <c r="AG64" s="2835" t="s">
        <v>1014</v>
      </c>
      <c r="AH64">
        <f t="shared" si="0"/>
        <v>3</v>
      </c>
      <c r="AI64">
        <f t="shared" si="1"/>
        <v>1</v>
      </c>
      <c r="AJ64">
        <f t="shared" si="2"/>
        <v>4</v>
      </c>
    </row>
    <row r="65" spans="1:36">
      <c r="A65" s="5312"/>
      <c r="B65" s="2237" t="s">
        <v>127</v>
      </c>
      <c r="C65" s="2237" t="s">
        <v>128</v>
      </c>
      <c r="D65" s="5775" t="s">
        <v>1040</v>
      </c>
      <c r="E65" s="5270"/>
      <c r="F65" s="5270"/>
      <c r="G65" s="5270"/>
      <c r="H65" s="5270"/>
      <c r="I65" s="5270"/>
      <c r="J65" s="779"/>
      <c r="K65" s="779"/>
      <c r="L65" s="779"/>
      <c r="M65" s="2726" t="s">
        <v>7</v>
      </c>
      <c r="N65" s="2434" t="s">
        <v>722</v>
      </c>
      <c r="O65" s="779"/>
      <c r="P65" s="1387" t="s">
        <v>483</v>
      </c>
      <c r="Q65" s="2434" t="s">
        <v>720</v>
      </c>
      <c r="R65" s="779"/>
      <c r="S65" s="537"/>
      <c r="T65" s="3628" t="s">
        <v>251</v>
      </c>
      <c r="U65" s="5912" t="s">
        <v>1015</v>
      </c>
      <c r="V65" s="5912"/>
      <c r="W65" s="3628" t="s">
        <v>251</v>
      </c>
      <c r="X65" s="374"/>
      <c r="Y65" s="779"/>
      <c r="Z65" s="537"/>
      <c r="AA65" s="779"/>
      <c r="AB65" s="2434" t="s">
        <v>722</v>
      </c>
      <c r="AC65" s="2"/>
      <c r="AD65" s="2"/>
      <c r="AE65" s="374"/>
      <c r="AF65" s="3628" t="s">
        <v>251</v>
      </c>
      <c r="AG65" s="2835" t="s">
        <v>1014</v>
      </c>
      <c r="AH65">
        <f t="shared" si="0"/>
        <v>1</v>
      </c>
      <c r="AI65">
        <f t="shared" si="1"/>
        <v>2</v>
      </c>
      <c r="AJ65">
        <f t="shared" si="2"/>
        <v>3</v>
      </c>
    </row>
    <row r="66" spans="1:36">
      <c r="A66" s="5312"/>
      <c r="B66" s="2237" t="s">
        <v>90</v>
      </c>
      <c r="C66" s="2237" t="s">
        <v>660</v>
      </c>
      <c r="D66" s="935"/>
      <c r="E66" s="779"/>
      <c r="F66" s="779"/>
      <c r="G66" s="779"/>
      <c r="H66" s="779"/>
      <c r="I66" s="779"/>
      <c r="J66" s="779"/>
      <c r="K66" s="2434" t="s">
        <v>720</v>
      </c>
      <c r="L66" s="779"/>
      <c r="M66" s="2726" t="s">
        <v>7</v>
      </c>
      <c r="N66" s="779"/>
      <c r="O66" s="779"/>
      <c r="P66" s="779"/>
      <c r="Q66" s="779"/>
      <c r="R66" s="779"/>
      <c r="S66" s="779"/>
      <c r="T66" s="374"/>
      <c r="U66" s="2704"/>
      <c r="V66" s="537"/>
      <c r="W66" s="374"/>
      <c r="X66" s="2435" t="s">
        <v>722</v>
      </c>
      <c r="Y66" s="780"/>
      <c r="Z66" s="939"/>
      <c r="AA66" s="779"/>
      <c r="AB66" s="2"/>
      <c r="AC66" s="2"/>
      <c r="AD66" s="2"/>
      <c r="AE66" s="374"/>
      <c r="AF66" s="3628" t="s">
        <v>251</v>
      </c>
      <c r="AG66" s="2835" t="s">
        <v>1014</v>
      </c>
      <c r="AH66">
        <f t="shared" si="0"/>
        <v>1</v>
      </c>
      <c r="AI66">
        <f t="shared" si="1"/>
        <v>1</v>
      </c>
      <c r="AJ66">
        <f t="shared" si="2"/>
        <v>2</v>
      </c>
    </row>
    <row r="67" spans="1:36">
      <c r="A67" s="5312"/>
      <c r="B67" s="1417" t="s">
        <v>81</v>
      </c>
      <c r="C67" s="1417" t="s">
        <v>396</v>
      </c>
      <c r="D67" s="2766"/>
      <c r="E67" s="2443" t="s">
        <v>722</v>
      </c>
      <c r="F67" s="1029"/>
      <c r="G67" s="1029"/>
      <c r="H67" s="1029"/>
      <c r="I67" s="1029"/>
      <c r="J67" s="1029"/>
      <c r="K67" s="966"/>
      <c r="L67" s="2443"/>
      <c r="M67" s="2443"/>
      <c r="N67" s="1029"/>
      <c r="O67" s="1029"/>
      <c r="P67" s="2443" t="s">
        <v>720</v>
      </c>
      <c r="Q67" s="1029"/>
      <c r="R67" s="2443" t="s">
        <v>720</v>
      </c>
      <c r="S67" s="966"/>
      <c r="T67" s="2564" t="s">
        <v>251</v>
      </c>
      <c r="U67" s="2818" t="s">
        <v>1015</v>
      </c>
      <c r="V67" s="2818"/>
      <c r="W67" s="2636" t="s">
        <v>251</v>
      </c>
      <c r="X67" s="782"/>
      <c r="Y67" s="782"/>
      <c r="Z67" s="782"/>
      <c r="AA67" s="782"/>
      <c r="AB67" s="321"/>
      <c r="AC67" s="321"/>
      <c r="AD67" s="2443"/>
      <c r="AE67" s="968"/>
      <c r="AF67" s="2564" t="s">
        <v>251</v>
      </c>
      <c r="AG67" s="2836" t="s">
        <v>1014</v>
      </c>
      <c r="AH67">
        <f t="shared" si="0"/>
        <v>2</v>
      </c>
      <c r="AI67">
        <f t="shared" si="1"/>
        <v>1</v>
      </c>
      <c r="AJ67">
        <f t="shared" si="2"/>
        <v>3</v>
      </c>
    </row>
    <row r="68" spans="1:36">
      <c r="A68" s="5451" t="s">
        <v>751</v>
      </c>
      <c r="B68" s="1033" t="s">
        <v>95</v>
      </c>
      <c r="C68" s="1033" t="s">
        <v>303</v>
      </c>
      <c r="D68" s="2853"/>
      <c r="E68" s="1324"/>
      <c r="F68" s="1324"/>
      <c r="G68" s="1324"/>
      <c r="H68" s="2439" t="s">
        <v>720</v>
      </c>
      <c r="I68" s="1324"/>
      <c r="J68" s="1324"/>
      <c r="K68" s="1324"/>
      <c r="L68" s="1324"/>
      <c r="M68" s="2439"/>
      <c r="N68" s="776"/>
      <c r="O68" s="776"/>
      <c r="P68" s="1184"/>
      <c r="Q68" s="1184"/>
      <c r="R68" s="1184"/>
      <c r="S68" s="799"/>
      <c r="T68" s="2564" t="s">
        <v>251</v>
      </c>
      <c r="U68" s="5928" t="s">
        <v>1041</v>
      </c>
      <c r="V68" s="5929"/>
      <c r="W68" s="5930"/>
      <c r="X68" s="2564" t="s">
        <v>251</v>
      </c>
      <c r="Y68" s="365"/>
      <c r="Z68" s="365"/>
      <c r="AA68" s="2437" t="s">
        <v>720</v>
      </c>
      <c r="AB68" s="2437"/>
      <c r="AC68" s="778"/>
      <c r="AD68" s="778"/>
      <c r="AE68" s="778"/>
      <c r="AF68" s="2563" t="s">
        <v>251</v>
      </c>
      <c r="AG68" s="2833" t="s">
        <v>1014</v>
      </c>
      <c r="AH68">
        <f t="shared" si="0"/>
        <v>2</v>
      </c>
      <c r="AI68">
        <f t="shared" si="1"/>
        <v>0</v>
      </c>
      <c r="AJ68">
        <f t="shared" si="2"/>
        <v>2</v>
      </c>
    </row>
    <row r="69" spans="1:36">
      <c r="A69" s="5453"/>
      <c r="B69" s="1035" t="s">
        <v>155</v>
      </c>
      <c r="C69" s="1961" t="s">
        <v>532</v>
      </c>
      <c r="D69" s="321"/>
      <c r="E69" s="321"/>
      <c r="F69" s="321"/>
      <c r="G69" s="321"/>
      <c r="H69" s="2443"/>
      <c r="I69" s="321"/>
      <c r="J69" s="321"/>
      <c r="K69" s="2852"/>
      <c r="L69" s="5931" t="s">
        <v>112</v>
      </c>
      <c r="M69" s="5932"/>
      <c r="N69" s="5932"/>
      <c r="O69" s="5933"/>
      <c r="P69" s="321"/>
      <c r="Q69" s="321"/>
      <c r="R69" s="321"/>
      <c r="S69" s="321"/>
      <c r="T69" s="2564" t="s">
        <v>251</v>
      </c>
      <c r="U69" s="5921" t="s">
        <v>1015</v>
      </c>
      <c r="V69" s="5922"/>
      <c r="W69" s="5923" t="s">
        <v>1009</v>
      </c>
      <c r="X69" s="5924"/>
      <c r="Y69" s="5924"/>
      <c r="Z69" s="5925"/>
      <c r="AA69" s="2564" t="s">
        <v>251</v>
      </c>
      <c r="AB69" s="321"/>
      <c r="AC69" s="321"/>
      <c r="AD69" s="2443" t="s">
        <v>722</v>
      </c>
      <c r="AE69" s="321"/>
      <c r="AF69" s="321"/>
      <c r="AG69" s="322"/>
      <c r="AH69">
        <f t="shared" si="0"/>
        <v>0</v>
      </c>
      <c r="AI69">
        <f t="shared" si="1"/>
        <v>1</v>
      </c>
      <c r="AJ69">
        <f t="shared" si="2"/>
        <v>1</v>
      </c>
    </row>
  </sheetData>
  <mergeCells count="78">
    <mergeCell ref="A20:C20"/>
    <mergeCell ref="A21:C21"/>
    <mergeCell ref="D41:F41"/>
    <mergeCell ref="A14:C14"/>
    <mergeCell ref="A16:C16"/>
    <mergeCell ref="A15:C15"/>
    <mergeCell ref="D37:F37"/>
    <mergeCell ref="A17:C17"/>
    <mergeCell ref="A18:C18"/>
    <mergeCell ref="A19:C19"/>
    <mergeCell ref="D38:F38"/>
    <mergeCell ref="A5:C5"/>
    <mergeCell ref="A6:C6"/>
    <mergeCell ref="A12:C12"/>
    <mergeCell ref="A13:C13"/>
    <mergeCell ref="A7:C7"/>
    <mergeCell ref="A8:C8"/>
    <mergeCell ref="A9:C9"/>
    <mergeCell ref="A10:C10"/>
    <mergeCell ref="A11:C11"/>
    <mergeCell ref="A1:C1"/>
    <mergeCell ref="D1:AG1"/>
    <mergeCell ref="A2:C2"/>
    <mergeCell ref="A3:C3"/>
    <mergeCell ref="A4:C4"/>
    <mergeCell ref="D4:F4"/>
    <mergeCell ref="K41:Q41"/>
    <mergeCell ref="A36:A52"/>
    <mergeCell ref="A28:A30"/>
    <mergeCell ref="A22:C22"/>
    <mergeCell ref="D42:AG42"/>
    <mergeCell ref="A23:C23"/>
    <mergeCell ref="D31:S31"/>
    <mergeCell ref="I37:K37"/>
    <mergeCell ref="U33:V33"/>
    <mergeCell ref="AF41:AG41"/>
    <mergeCell ref="D30:E30"/>
    <mergeCell ref="G32:H32"/>
    <mergeCell ref="X29:Z29"/>
    <mergeCell ref="Y46:AA46"/>
    <mergeCell ref="N46:X46"/>
    <mergeCell ref="A31:A35"/>
    <mergeCell ref="U69:V69"/>
    <mergeCell ref="W69:Z69"/>
    <mergeCell ref="O58:P58"/>
    <mergeCell ref="D65:I65"/>
    <mergeCell ref="A68:A69"/>
    <mergeCell ref="U62:V62"/>
    <mergeCell ref="U64:V64"/>
    <mergeCell ref="U65:V65"/>
    <mergeCell ref="A62:A67"/>
    <mergeCell ref="G62:I62"/>
    <mergeCell ref="D63:AG63"/>
    <mergeCell ref="U68:W68"/>
    <mergeCell ref="L69:O69"/>
    <mergeCell ref="A58:A61"/>
    <mergeCell ref="A53:A57"/>
    <mergeCell ref="L45:AD45"/>
    <mergeCell ref="L53:W53"/>
    <mergeCell ref="U61:V61"/>
    <mergeCell ref="L46:M46"/>
    <mergeCell ref="U47:V47"/>
    <mergeCell ref="X57:Z57"/>
    <mergeCell ref="X59:Z59"/>
    <mergeCell ref="G60:I60"/>
    <mergeCell ref="H6:I6"/>
    <mergeCell ref="U12:V12"/>
    <mergeCell ref="D15:I15"/>
    <mergeCell ref="J8:P8"/>
    <mergeCell ref="Z26:AA26"/>
    <mergeCell ref="I24:N24"/>
    <mergeCell ref="X8:Z8"/>
    <mergeCell ref="AB24:AC24"/>
    <mergeCell ref="X34:Z34"/>
    <mergeCell ref="Z39:AA39"/>
    <mergeCell ref="X32:Z32"/>
    <mergeCell ref="W33:Y33"/>
    <mergeCell ref="U31:W31"/>
  </mergeCells>
  <conditionalFormatting sqref="AJ28:AJ69">
    <cfRule type="top10" dxfId="134" priority="1" percent="1" rank="10"/>
  </conditionalFormatting>
  <printOptions horizontalCentered="1" verticalCentered="1"/>
  <pageMargins left="0.25" right="0.25" top="0.75" bottom="0.75" header="0.3" footer="0.3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88345-4B27-4B80-BCDA-4F38A3488334}">
  <sheetPr>
    <pageSetUpPr fitToPage="1"/>
  </sheetPr>
  <dimension ref="A1:AH61"/>
  <sheetViews>
    <sheetView zoomScale="85" zoomScaleNormal="85" workbookViewId="0">
      <pane xSplit="3" ySplit="17" topLeftCell="X58" activePane="bottomRight" state="frozen"/>
      <selection pane="bottomRight" activeCell="X58" sqref="X58"/>
      <selection pane="bottomLeft"/>
      <selection pane="topRight"/>
    </sheetView>
  </sheetViews>
  <sheetFormatPr defaultRowHeight="15"/>
  <cols>
    <col min="3" max="3" width="11.5703125" bestFit="1" customWidth="1"/>
    <col min="5" max="5" width="10" customWidth="1"/>
    <col min="6" max="6" width="9.42578125" customWidth="1"/>
  </cols>
  <sheetData>
    <row r="1" spans="1:34">
      <c r="A1" s="5065" t="s">
        <v>29</v>
      </c>
      <c r="B1" s="5066"/>
      <c r="C1" s="5066"/>
      <c r="D1" s="5430" t="s">
        <v>1042</v>
      </c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3"/>
      <c r="AE1" s="5073"/>
      <c r="AF1" s="5073"/>
      <c r="AG1" s="5073"/>
      <c r="AH1" s="5074"/>
    </row>
    <row r="2" spans="1:34">
      <c r="A2" s="5068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  <c r="AH2" s="41">
        <v>31</v>
      </c>
    </row>
    <row r="3" spans="1:34">
      <c r="A3" s="5070" t="s">
        <v>32</v>
      </c>
      <c r="B3" s="4378"/>
      <c r="C3" s="4378"/>
      <c r="D3" s="3703" t="s">
        <v>33</v>
      </c>
      <c r="E3" s="3703" t="s">
        <v>34</v>
      </c>
      <c r="F3" s="3703" t="s">
        <v>33</v>
      </c>
      <c r="G3" s="3703" t="s">
        <v>35</v>
      </c>
      <c r="H3" s="19" t="s">
        <v>36</v>
      </c>
      <c r="I3" s="19" t="s">
        <v>36</v>
      </c>
      <c r="J3" s="3703" t="s">
        <v>37</v>
      </c>
      <c r="K3" s="3703" t="s">
        <v>33</v>
      </c>
      <c r="L3" s="3703" t="s">
        <v>34</v>
      </c>
      <c r="M3" s="3703" t="s">
        <v>33</v>
      </c>
      <c r="N3" s="19" t="s">
        <v>35</v>
      </c>
      <c r="O3" s="19" t="s">
        <v>36</v>
      </c>
      <c r="P3" s="19" t="s">
        <v>36</v>
      </c>
      <c r="Q3" s="19" t="s">
        <v>37</v>
      </c>
      <c r="R3" s="3703" t="s">
        <v>33</v>
      </c>
      <c r="S3" s="3703" t="s">
        <v>34</v>
      </c>
      <c r="T3" s="40" t="s">
        <v>33</v>
      </c>
      <c r="U3" s="3703" t="s">
        <v>35</v>
      </c>
      <c r="V3" s="19" t="s">
        <v>36</v>
      </c>
      <c r="W3" s="19" t="s">
        <v>36</v>
      </c>
      <c r="X3" s="3703" t="s">
        <v>37</v>
      </c>
      <c r="Y3" s="41" t="s">
        <v>33</v>
      </c>
      <c r="Z3" s="41" t="s">
        <v>34</v>
      </c>
      <c r="AA3" s="41" t="s">
        <v>33</v>
      </c>
      <c r="AB3" s="41" t="s">
        <v>35</v>
      </c>
      <c r="AC3" s="19" t="s">
        <v>36</v>
      </c>
      <c r="AD3" s="19" t="s">
        <v>36</v>
      </c>
      <c r="AE3" s="3703" t="s">
        <v>37</v>
      </c>
      <c r="AF3" s="3703" t="s">
        <v>33</v>
      </c>
      <c r="AG3" s="3703" t="s">
        <v>34</v>
      </c>
      <c r="AH3" s="41" t="s">
        <v>33</v>
      </c>
    </row>
    <row r="4" spans="1:34" ht="15.75">
      <c r="A4" s="4831" t="s">
        <v>38</v>
      </c>
      <c r="B4" s="4250"/>
      <c r="C4" s="5993"/>
      <c r="D4" s="364"/>
      <c r="E4" s="362"/>
      <c r="F4" s="362"/>
      <c r="G4" s="362"/>
      <c r="H4" s="362"/>
      <c r="I4" s="362"/>
      <c r="J4" s="362"/>
      <c r="K4" s="375"/>
      <c r="L4" s="375"/>
      <c r="M4" s="375"/>
      <c r="N4" s="375"/>
      <c r="O4" s="375"/>
      <c r="P4" s="362"/>
      <c r="Q4" s="2827" t="s">
        <v>589</v>
      </c>
      <c r="R4" s="824"/>
      <c r="S4" s="824"/>
      <c r="T4" s="362"/>
      <c r="U4" s="362"/>
      <c r="V4" s="362"/>
      <c r="W4" s="362"/>
      <c r="X4" s="362"/>
      <c r="Y4" s="362"/>
      <c r="Z4" s="362"/>
      <c r="AA4" s="362"/>
      <c r="AB4" s="362"/>
      <c r="AC4" s="362"/>
      <c r="AD4" s="362"/>
      <c r="AE4" s="362"/>
      <c r="AF4" s="362"/>
      <c r="AG4" s="362"/>
      <c r="AH4" s="1026"/>
    </row>
    <row r="5" spans="1:34" ht="15.75">
      <c r="A5" s="4061" t="s">
        <v>961</v>
      </c>
      <c r="B5" s="4062"/>
      <c r="C5" s="4459"/>
      <c r="D5" s="364"/>
      <c r="E5" s="362"/>
      <c r="F5" s="375"/>
      <c r="G5" s="362"/>
      <c r="H5" s="362"/>
      <c r="I5" s="362"/>
      <c r="J5" s="373"/>
      <c r="K5" s="5985" t="s">
        <v>164</v>
      </c>
      <c r="L5" s="5986"/>
      <c r="M5" s="5986"/>
      <c r="N5" s="5986"/>
      <c r="O5" s="5986"/>
      <c r="P5" s="5986"/>
      <c r="Q5" s="5987"/>
      <c r="R5" s="5981" t="s">
        <v>1043</v>
      </c>
      <c r="S5" s="5982"/>
      <c r="T5" s="5982"/>
      <c r="U5" s="5983"/>
      <c r="V5" s="362"/>
      <c r="W5" s="362"/>
      <c r="X5" s="362"/>
      <c r="Y5" s="362"/>
      <c r="Z5" s="362"/>
      <c r="AA5" s="362"/>
      <c r="AB5" s="362"/>
      <c r="AC5" s="362"/>
      <c r="AD5" s="362"/>
      <c r="AE5" s="362"/>
      <c r="AF5" s="362"/>
      <c r="AG5" s="362"/>
      <c r="AH5" s="1026"/>
    </row>
    <row r="6" spans="1:34">
      <c r="A6" s="4265" t="s">
        <v>407</v>
      </c>
      <c r="B6" s="4266"/>
      <c r="C6" s="5046"/>
      <c r="D6" s="364"/>
      <c r="E6" s="362"/>
      <c r="F6" s="362"/>
      <c r="G6" s="362"/>
      <c r="H6" s="362"/>
      <c r="I6" s="362"/>
      <c r="J6" s="362"/>
      <c r="K6" s="365"/>
      <c r="L6" s="365"/>
      <c r="M6" s="365"/>
      <c r="N6" s="365"/>
      <c r="O6" s="365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/>
      <c r="AB6" s="362"/>
      <c r="AC6" s="362"/>
      <c r="AD6" s="362"/>
      <c r="AE6" s="362"/>
      <c r="AF6" s="362"/>
      <c r="AG6" s="362"/>
      <c r="AH6" s="1026"/>
    </row>
    <row r="7" spans="1:34">
      <c r="A7" s="4533" t="s">
        <v>702</v>
      </c>
      <c r="B7" s="4533"/>
      <c r="C7" s="5984"/>
      <c r="D7" s="364"/>
      <c r="E7" s="375"/>
      <c r="F7" s="375"/>
      <c r="G7" s="362"/>
      <c r="H7" s="362"/>
      <c r="I7" s="362"/>
      <c r="J7" s="362"/>
      <c r="K7" s="362"/>
      <c r="L7" s="362"/>
      <c r="M7" s="362"/>
      <c r="N7" s="362"/>
      <c r="O7" s="375"/>
      <c r="P7" s="375"/>
      <c r="Q7" s="362"/>
      <c r="R7" s="362"/>
      <c r="S7" s="362"/>
      <c r="T7" s="362"/>
      <c r="U7" s="362"/>
      <c r="V7" s="362"/>
      <c r="W7" s="362"/>
      <c r="X7" s="362"/>
      <c r="Y7" s="362"/>
      <c r="Z7" s="362"/>
      <c r="AA7" s="362"/>
      <c r="AB7" s="362"/>
      <c r="AC7" s="362"/>
      <c r="AD7" s="362"/>
      <c r="AE7" s="362"/>
      <c r="AF7" s="362"/>
      <c r="AG7" s="362"/>
      <c r="AH7" s="1026"/>
    </row>
    <row r="8" spans="1:34">
      <c r="A8" s="4391" t="s">
        <v>516</v>
      </c>
      <c r="B8" s="4391"/>
      <c r="C8" s="5057"/>
      <c r="D8" s="364"/>
      <c r="E8" s="362"/>
      <c r="F8" s="375"/>
      <c r="G8" s="362"/>
      <c r="H8" s="362"/>
      <c r="I8" s="362"/>
      <c r="J8" s="362"/>
      <c r="K8" s="362"/>
      <c r="L8" s="362"/>
      <c r="M8" s="362"/>
      <c r="N8" s="362"/>
      <c r="O8" s="375"/>
      <c r="P8" s="375"/>
      <c r="Q8" s="362"/>
      <c r="R8" s="362"/>
      <c r="S8" s="362"/>
      <c r="T8" s="362"/>
      <c r="U8" s="362"/>
      <c r="V8" s="362"/>
      <c r="W8" s="362"/>
      <c r="X8" s="362"/>
      <c r="Y8" s="362"/>
      <c r="Z8" s="362"/>
      <c r="AA8" s="362"/>
      <c r="AB8" s="362"/>
      <c r="AC8" s="362"/>
      <c r="AD8" s="362"/>
      <c r="AE8" s="362"/>
      <c r="AF8" s="362"/>
      <c r="AG8" s="362"/>
      <c r="AH8" s="1026"/>
    </row>
    <row r="9" spans="1:34">
      <c r="A9" s="4381" t="s">
        <v>272</v>
      </c>
      <c r="B9" s="4382"/>
      <c r="C9" s="5047"/>
      <c r="D9" s="2912" t="s">
        <v>1014</v>
      </c>
      <c r="E9" s="362"/>
      <c r="F9" s="362"/>
      <c r="G9" s="362"/>
      <c r="H9" s="362"/>
      <c r="I9" s="362"/>
      <c r="J9" s="362"/>
      <c r="K9" s="362"/>
      <c r="L9" s="362"/>
      <c r="M9" s="362"/>
      <c r="N9" s="362"/>
      <c r="O9" s="362"/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1026"/>
    </row>
    <row r="10" spans="1:34" ht="15.75" customHeight="1">
      <c r="A10" s="5050" t="s">
        <v>60</v>
      </c>
      <c r="B10" s="4834"/>
      <c r="C10" s="5051"/>
      <c r="D10" s="364"/>
      <c r="E10" s="362"/>
      <c r="F10" s="375"/>
      <c r="G10" s="362"/>
      <c r="H10" s="362"/>
      <c r="I10" s="362"/>
      <c r="J10" s="362"/>
      <c r="K10" s="362"/>
      <c r="L10" s="362"/>
      <c r="M10" s="362"/>
      <c r="N10" s="362"/>
      <c r="O10" s="375"/>
      <c r="P10" s="375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/>
      <c r="AB10" s="362"/>
      <c r="AC10" s="362"/>
      <c r="AD10" s="362"/>
      <c r="AE10" s="362"/>
      <c r="AF10" s="4997" t="s">
        <v>60</v>
      </c>
      <c r="AG10" s="4998"/>
      <c r="AH10" s="5994"/>
    </row>
    <row r="11" spans="1:34">
      <c r="A11" s="5033" t="s">
        <v>365</v>
      </c>
      <c r="B11" s="4360"/>
      <c r="C11" s="5034"/>
      <c r="D11" s="364"/>
      <c r="E11" s="362"/>
      <c r="F11" s="375"/>
      <c r="G11" s="362"/>
      <c r="H11" s="362"/>
      <c r="I11" s="362"/>
      <c r="J11" s="362"/>
      <c r="K11" s="362"/>
      <c r="L11" s="362"/>
      <c r="M11" s="362"/>
      <c r="N11" s="362"/>
      <c r="O11" s="375"/>
      <c r="P11" s="375"/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/>
      <c r="AC11" s="362"/>
      <c r="AD11" s="362"/>
      <c r="AE11" s="362"/>
      <c r="AF11" s="362"/>
      <c r="AG11" s="362"/>
      <c r="AH11" s="1026"/>
    </row>
    <row r="12" spans="1:34">
      <c r="A12" s="5041" t="s">
        <v>520</v>
      </c>
      <c r="B12" s="4763"/>
      <c r="C12" s="4764"/>
      <c r="D12" s="364"/>
      <c r="E12" s="375"/>
      <c r="F12" s="375"/>
      <c r="G12" s="362"/>
      <c r="H12" s="362"/>
      <c r="I12" s="362"/>
      <c r="J12" s="362"/>
      <c r="K12" s="362"/>
      <c r="L12" s="362"/>
      <c r="M12" s="362"/>
      <c r="N12" s="362"/>
      <c r="O12" s="375"/>
      <c r="P12" s="375"/>
      <c r="Q12" s="362"/>
      <c r="R12" s="362"/>
      <c r="S12" s="362"/>
      <c r="T12" s="362"/>
      <c r="U12" s="362"/>
      <c r="V12" s="362"/>
      <c r="W12" s="362"/>
      <c r="X12" s="362"/>
      <c r="Y12" s="362"/>
      <c r="Z12" s="362"/>
      <c r="AA12" s="362"/>
      <c r="AB12" s="362"/>
      <c r="AC12" s="362"/>
      <c r="AD12" s="362"/>
      <c r="AE12" s="362"/>
      <c r="AF12" s="362"/>
      <c r="AG12" s="362"/>
      <c r="AH12" s="1026"/>
    </row>
    <row r="13" spans="1:34">
      <c r="A13" s="4361" t="s">
        <v>366</v>
      </c>
      <c r="B13" s="4361"/>
      <c r="C13" s="5996"/>
      <c r="D13" s="364"/>
      <c r="E13" s="362"/>
      <c r="F13" s="375"/>
      <c r="G13" s="362"/>
      <c r="H13" s="362"/>
      <c r="I13" s="362"/>
      <c r="J13" s="362"/>
      <c r="K13" s="362"/>
      <c r="L13" s="362"/>
      <c r="M13" s="362"/>
      <c r="N13" s="362"/>
      <c r="O13" s="375"/>
      <c r="P13" s="375"/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/>
      <c r="AC13" s="362"/>
      <c r="AD13" s="362"/>
      <c r="AE13" s="362"/>
      <c r="AF13" s="362"/>
      <c r="AG13" s="362"/>
      <c r="AH13" s="1026"/>
    </row>
    <row r="14" spans="1:34" ht="15.75" customHeight="1">
      <c r="A14" s="5052" t="s">
        <v>411</v>
      </c>
      <c r="B14" s="4835"/>
      <c r="C14" s="5053"/>
      <c r="D14" s="364"/>
      <c r="E14" s="375"/>
      <c r="F14" s="375"/>
      <c r="G14" s="362"/>
      <c r="H14" s="362"/>
      <c r="I14" s="362"/>
      <c r="J14" s="4997" t="s">
        <v>411</v>
      </c>
      <c r="K14" s="4998"/>
      <c r="L14" s="4998"/>
      <c r="M14" s="4998"/>
      <c r="N14" s="4998"/>
      <c r="O14" s="4998"/>
      <c r="P14" s="4998"/>
      <c r="Q14" s="4998"/>
      <c r="R14" s="4998"/>
      <c r="S14" s="4998"/>
      <c r="T14" s="4998"/>
      <c r="U14" s="5995"/>
      <c r="V14" s="362"/>
      <c r="W14" s="362"/>
      <c r="X14" s="5997" t="s">
        <v>1044</v>
      </c>
      <c r="Y14" s="5997"/>
      <c r="Z14" s="5997"/>
      <c r="AA14" s="5997"/>
      <c r="AB14" s="5997"/>
      <c r="AC14" s="5997"/>
      <c r="AD14" s="362"/>
      <c r="AE14" s="362"/>
      <c r="AF14" s="362"/>
      <c r="AG14" s="362"/>
      <c r="AH14" s="1026"/>
    </row>
    <row r="15" spans="1:34">
      <c r="A15" s="4405" t="s">
        <v>1045</v>
      </c>
      <c r="B15" s="4529"/>
      <c r="C15" s="5037"/>
      <c r="D15" s="364"/>
      <c r="E15" s="375"/>
      <c r="F15" s="2894" t="s">
        <v>721</v>
      </c>
      <c r="G15" s="362"/>
      <c r="H15" s="362"/>
      <c r="I15" s="362"/>
      <c r="J15" s="362"/>
      <c r="K15" s="375"/>
      <c r="L15" s="375"/>
      <c r="M15" s="375"/>
      <c r="N15" s="375"/>
      <c r="O15" s="375"/>
      <c r="P15" s="375"/>
      <c r="Q15" s="362"/>
      <c r="R15" s="362"/>
      <c r="S15" s="362"/>
      <c r="T15" s="362"/>
      <c r="U15" s="362"/>
      <c r="V15" s="362"/>
      <c r="W15" s="362"/>
      <c r="X15" s="2863"/>
      <c r="Y15" s="2863"/>
      <c r="Z15" s="2863"/>
      <c r="AA15" s="2863"/>
      <c r="AB15" s="2863"/>
      <c r="AC15" s="2863"/>
      <c r="AD15" s="362"/>
      <c r="AE15" s="362"/>
      <c r="AF15" s="362"/>
      <c r="AG15" s="362"/>
      <c r="AH15" s="1026"/>
    </row>
    <row r="16" spans="1:34">
      <c r="A16" s="4400" t="s">
        <v>26</v>
      </c>
      <c r="B16" s="4762"/>
      <c r="C16" s="5504"/>
      <c r="D16" s="364"/>
      <c r="E16" s="362"/>
      <c r="F16" s="375"/>
      <c r="G16" s="362"/>
      <c r="H16" s="362"/>
      <c r="I16" s="362"/>
      <c r="J16" s="373"/>
      <c r="K16" s="2"/>
      <c r="L16" s="2"/>
      <c r="M16" s="2"/>
      <c r="N16" s="2"/>
      <c r="O16" s="362"/>
      <c r="P16" s="377"/>
      <c r="Q16" s="362"/>
      <c r="R16" s="362"/>
      <c r="S16" s="362"/>
      <c r="T16" s="362"/>
      <c r="U16" s="362"/>
      <c r="V16" s="362"/>
      <c r="W16" s="362"/>
      <c r="X16" s="2863"/>
      <c r="Y16" s="2864"/>
      <c r="Z16" s="2864"/>
      <c r="AA16" s="2864"/>
      <c r="AB16" s="2864"/>
      <c r="AC16" s="2864"/>
      <c r="AD16" s="375"/>
      <c r="AE16" s="362"/>
      <c r="AF16" s="362"/>
      <c r="AG16" s="362"/>
      <c r="AH16" s="1026"/>
    </row>
    <row r="17" spans="1:34">
      <c r="A17" s="5300" t="s">
        <v>1046</v>
      </c>
      <c r="B17" s="5900"/>
      <c r="C17" s="5988"/>
      <c r="D17" s="364"/>
      <c r="E17" s="1029"/>
      <c r="F17" s="1029"/>
      <c r="G17" s="362"/>
      <c r="H17" s="362"/>
      <c r="I17" s="362"/>
      <c r="J17" s="362"/>
      <c r="K17" s="365"/>
      <c r="L17" s="365"/>
      <c r="M17" s="677"/>
      <c r="N17" s="365"/>
      <c r="O17" s="677"/>
      <c r="P17" s="375"/>
      <c r="Q17" s="362"/>
      <c r="R17" s="362"/>
      <c r="S17" s="362"/>
      <c r="T17" s="362"/>
      <c r="U17" s="362"/>
      <c r="V17" s="362"/>
      <c r="W17" s="362"/>
      <c r="X17" s="5998" t="s">
        <v>1046</v>
      </c>
      <c r="Y17" s="5999"/>
      <c r="Z17" s="5999"/>
      <c r="AA17" s="5999"/>
      <c r="AB17" s="5999"/>
      <c r="AC17" s="6000"/>
      <c r="AD17" s="364"/>
      <c r="AE17" s="364"/>
      <c r="AF17" s="362"/>
      <c r="AG17" s="362"/>
      <c r="AH17" s="1044"/>
    </row>
    <row r="18" spans="1:34" ht="15.75">
      <c r="A18" s="2891" t="s">
        <v>66</v>
      </c>
      <c r="B18" s="2892" t="s">
        <v>67</v>
      </c>
      <c r="C18" s="2893" t="s">
        <v>458</v>
      </c>
      <c r="D18" s="2882" t="s">
        <v>1021</v>
      </c>
      <c r="E18" s="2761" t="s">
        <v>251</v>
      </c>
      <c r="F18" s="2897" t="s">
        <v>721</v>
      </c>
      <c r="G18" s="1021"/>
      <c r="H18" s="1021"/>
      <c r="I18" s="1045"/>
      <c r="J18" s="1045"/>
      <c r="K18" s="1045"/>
      <c r="L18" s="1045"/>
      <c r="M18" s="1045"/>
      <c r="N18" s="1045"/>
      <c r="O18" s="1045"/>
      <c r="P18" s="1045"/>
      <c r="Q18" s="3656" t="s">
        <v>251</v>
      </c>
      <c r="R18" s="5976" t="s">
        <v>1047</v>
      </c>
      <c r="S18" s="5977"/>
      <c r="T18" s="5978"/>
      <c r="U18" s="3664" t="s">
        <v>251</v>
      </c>
      <c r="V18" s="1021"/>
      <c r="W18" s="1021"/>
      <c r="X18" s="4436" t="s">
        <v>482</v>
      </c>
      <c r="Y18" s="4523"/>
      <c r="Z18" s="4523"/>
      <c r="AA18" s="4523"/>
      <c r="AB18" s="4523"/>
      <c r="AC18" s="4523"/>
      <c r="AD18" s="4524"/>
      <c r="AE18" s="1021"/>
      <c r="AF18" s="1021"/>
      <c r="AG18" s="1021"/>
      <c r="AH18" s="1025"/>
    </row>
    <row r="19" spans="1:34" ht="15.75" customHeight="1">
      <c r="A19" s="2822" t="s">
        <v>73</v>
      </c>
      <c r="B19" s="2084" t="s">
        <v>67</v>
      </c>
      <c r="C19" s="2779" t="s">
        <v>714</v>
      </c>
      <c r="D19" s="2883"/>
      <c r="E19" s="1451"/>
      <c r="F19" s="2895" t="s">
        <v>721</v>
      </c>
      <c r="G19" s="363"/>
      <c r="H19" s="437" t="s">
        <v>366</v>
      </c>
      <c r="I19" s="3664" t="s">
        <v>251</v>
      </c>
      <c r="J19" s="5975" t="s">
        <v>411</v>
      </c>
      <c r="K19" s="5975"/>
      <c r="L19" s="3664" t="s">
        <v>251</v>
      </c>
      <c r="M19" s="363"/>
      <c r="N19" s="363"/>
      <c r="O19" s="363"/>
      <c r="P19" s="363"/>
      <c r="Q19" s="705"/>
      <c r="R19" s="2"/>
      <c r="S19" s="2"/>
      <c r="T19" s="705"/>
      <c r="U19" s="2"/>
      <c r="V19" s="2"/>
      <c r="W19" s="363"/>
      <c r="X19" s="1268" t="s">
        <v>7</v>
      </c>
      <c r="Y19" s="363"/>
      <c r="Z19" s="363" t="s">
        <v>1048</v>
      </c>
      <c r="AA19" s="363"/>
      <c r="AB19" s="363"/>
      <c r="AC19" s="363"/>
      <c r="AD19" s="362"/>
      <c r="AE19" s="3628" t="s">
        <v>251</v>
      </c>
      <c r="AF19" s="2927" t="s">
        <v>1049</v>
      </c>
      <c r="AG19" s="3628" t="s">
        <v>251</v>
      </c>
      <c r="AH19" s="2984" t="s">
        <v>112</v>
      </c>
    </row>
    <row r="20" spans="1:34" s="1704" customFormat="1" ht="15.75" customHeight="1">
      <c r="A20" s="2175" t="s">
        <v>599</v>
      </c>
      <c r="B20" s="2097" t="s">
        <v>543</v>
      </c>
      <c r="C20" s="2772" t="s">
        <v>544</v>
      </c>
      <c r="D20" s="2884"/>
      <c r="E20" s="2885"/>
      <c r="F20" s="2896" t="s">
        <v>721</v>
      </c>
      <c r="G20" s="1646"/>
      <c r="H20" s="321"/>
      <c r="I20" s="3664" t="s">
        <v>251</v>
      </c>
      <c r="J20" s="4959" t="s">
        <v>411</v>
      </c>
      <c r="K20" s="4960"/>
      <c r="L20" s="4961"/>
      <c r="M20" s="2832" t="s">
        <v>251</v>
      </c>
      <c r="N20" s="1668"/>
      <c r="O20" s="1668"/>
      <c r="P20" s="1668"/>
      <c r="Q20" s="1646"/>
      <c r="R20" s="1646"/>
      <c r="S20" s="1646"/>
      <c r="T20" s="1646"/>
      <c r="U20" s="1646"/>
      <c r="V20" s="1646"/>
      <c r="W20" s="1646"/>
      <c r="X20" s="1646"/>
      <c r="Y20" s="1646"/>
      <c r="Z20" s="1646"/>
      <c r="AA20" s="1646"/>
      <c r="AB20" s="1646"/>
      <c r="AC20" s="1646"/>
      <c r="AD20" s="1646"/>
      <c r="AE20" s="1646"/>
      <c r="AF20" s="1646"/>
      <c r="AG20" s="321"/>
      <c r="AH20" s="322"/>
    </row>
    <row r="21" spans="1:34" ht="15.75">
      <c r="A21" s="2850" t="s">
        <v>84</v>
      </c>
      <c r="B21" s="2780" t="s">
        <v>85</v>
      </c>
      <c r="C21" s="2781" t="s">
        <v>716</v>
      </c>
      <c r="D21" s="2886"/>
      <c r="E21" s="2887"/>
      <c r="F21" s="2898" t="s">
        <v>721</v>
      </c>
      <c r="G21" s="966"/>
      <c r="H21" s="966"/>
      <c r="I21" s="966"/>
      <c r="J21" s="1470" t="s">
        <v>717</v>
      </c>
      <c r="K21" s="3609" t="s">
        <v>112</v>
      </c>
      <c r="L21" s="966"/>
      <c r="M21" s="966"/>
      <c r="N21" s="968"/>
      <c r="O21" s="968"/>
      <c r="P21" s="966"/>
      <c r="Q21" s="966"/>
      <c r="R21" s="966"/>
      <c r="S21" s="966"/>
      <c r="T21" s="1470" t="s">
        <v>717</v>
      </c>
      <c r="U21" s="966"/>
      <c r="V21" s="966"/>
      <c r="W21" s="966"/>
      <c r="X21" s="966"/>
      <c r="Y21" s="966"/>
      <c r="Z21" s="966"/>
      <c r="AA21" s="966"/>
      <c r="AB21" s="966"/>
      <c r="AC21" s="966"/>
      <c r="AD21" s="966"/>
      <c r="AE21" s="966"/>
      <c r="AF21" s="1470" t="s">
        <v>717</v>
      </c>
      <c r="AG21" s="2771"/>
      <c r="AH21" s="322"/>
    </row>
    <row r="22" spans="1:34" ht="15.75">
      <c r="A22" s="5989" t="s">
        <v>92</v>
      </c>
      <c r="B22" s="2773" t="s">
        <v>81</v>
      </c>
      <c r="C22" s="2774" t="s">
        <v>718</v>
      </c>
      <c r="D22" s="2882" t="s">
        <v>1021</v>
      </c>
      <c r="E22" s="2761" t="s">
        <v>251</v>
      </c>
      <c r="F22" s="2897" t="s">
        <v>721</v>
      </c>
      <c r="G22" s="365"/>
      <c r="H22" s="365"/>
      <c r="I22" s="365"/>
      <c r="J22" s="677"/>
      <c r="K22" s="677"/>
      <c r="L22" s="1560" t="s">
        <v>717</v>
      </c>
      <c r="M22" s="677"/>
      <c r="N22" s="677"/>
      <c r="O22" s="365"/>
      <c r="P22" s="365"/>
      <c r="Q22" s="751"/>
      <c r="R22" s="365"/>
      <c r="S22" s="365"/>
      <c r="T22" s="365"/>
      <c r="U22" s="365"/>
      <c r="V22" s="365"/>
      <c r="W22" s="365"/>
      <c r="X22" s="365"/>
      <c r="Y22" s="1560" t="s">
        <v>717</v>
      </c>
      <c r="Z22" s="365"/>
      <c r="AA22" s="365"/>
      <c r="AB22" s="365"/>
      <c r="AC22" s="365"/>
      <c r="AD22" s="365"/>
      <c r="AE22" s="365"/>
      <c r="AF22" s="365"/>
      <c r="AG22" s="365"/>
      <c r="AH22" s="1557" t="s">
        <v>717</v>
      </c>
    </row>
    <row r="23" spans="1:34" ht="15.75">
      <c r="A23" s="5990"/>
      <c r="B23" s="2775" t="s">
        <v>326</v>
      </c>
      <c r="C23" s="2776" t="s">
        <v>327</v>
      </c>
      <c r="D23" s="2888"/>
      <c r="E23" s="569" t="s">
        <v>720</v>
      </c>
      <c r="F23" s="2895" t="s">
        <v>721</v>
      </c>
      <c r="G23" s="362"/>
      <c r="H23" s="362"/>
      <c r="I23" s="2"/>
      <c r="J23" s="590"/>
      <c r="K23" s="2"/>
      <c r="L23" s="2"/>
      <c r="M23" s="323"/>
      <c r="N23" s="2875" t="s">
        <v>720</v>
      </c>
      <c r="O23" s="2875"/>
      <c r="P23" s="939"/>
      <c r="Q23" s="2577" t="s">
        <v>251</v>
      </c>
      <c r="R23" s="5976" t="s">
        <v>1047</v>
      </c>
      <c r="S23" s="5977"/>
      <c r="T23" s="5978"/>
      <c r="U23" s="2577" t="s">
        <v>251</v>
      </c>
      <c r="W23" s="362"/>
      <c r="X23" s="362"/>
      <c r="Y23" s="362"/>
      <c r="Z23" s="2639"/>
      <c r="AA23" s="362"/>
      <c r="AB23" s="362"/>
      <c r="AC23" s="373"/>
      <c r="AD23" s="362"/>
      <c r="AE23" s="362"/>
      <c r="AF23" s="362"/>
      <c r="AG23" s="362"/>
      <c r="AH23" s="1540" t="s">
        <v>722</v>
      </c>
    </row>
    <row r="24" spans="1:34" ht="15.75">
      <c r="A24" s="5991"/>
      <c r="B24" s="2777" t="s">
        <v>606</v>
      </c>
      <c r="C24" s="2778" t="s">
        <v>98</v>
      </c>
      <c r="D24" s="2882" t="s">
        <v>1021</v>
      </c>
      <c r="E24" s="2899" t="s">
        <v>251</v>
      </c>
      <c r="F24" s="2896" t="s">
        <v>721</v>
      </c>
      <c r="G24" s="770"/>
      <c r="H24" s="321"/>
      <c r="I24" s="3664" t="s">
        <v>251</v>
      </c>
      <c r="J24" s="4959" t="s">
        <v>411</v>
      </c>
      <c r="K24" s="4960"/>
      <c r="L24" s="4960"/>
      <c r="M24" s="4333" t="s">
        <v>112</v>
      </c>
      <c r="N24" s="4411"/>
      <c r="O24" s="4411"/>
      <c r="P24" s="4411"/>
      <c r="Q24" s="4411"/>
      <c r="R24" s="4411"/>
      <c r="S24" s="4411"/>
      <c r="T24" s="4411"/>
      <c r="U24" s="4334"/>
      <c r="V24" s="2874" t="s">
        <v>251</v>
      </c>
      <c r="W24" s="1052"/>
      <c r="X24" s="770"/>
      <c r="Y24" s="770"/>
      <c r="Z24" s="770"/>
      <c r="AA24" s="770"/>
      <c r="AB24" s="770"/>
      <c r="AC24" s="2443" t="s">
        <v>722</v>
      </c>
      <c r="AD24" s="1029"/>
      <c r="AE24" s="2564" t="s">
        <v>251</v>
      </c>
      <c r="AF24" s="2925" t="s">
        <v>60</v>
      </c>
      <c r="AG24" s="2926"/>
      <c r="AH24" s="2564" t="s">
        <v>251</v>
      </c>
    </row>
    <row r="25" spans="1:34" ht="15.75">
      <c r="A25" s="5990" t="s">
        <v>99</v>
      </c>
      <c r="B25" s="2101" t="s">
        <v>100</v>
      </c>
      <c r="C25" s="2781" t="s">
        <v>725</v>
      </c>
      <c r="D25" s="2889"/>
      <c r="E25" s="1184"/>
      <c r="F25" s="2897" t="s">
        <v>721</v>
      </c>
      <c r="G25" s="365"/>
      <c r="H25" s="365"/>
      <c r="I25" s="365"/>
      <c r="J25" s="2900" t="s">
        <v>1050</v>
      </c>
      <c r="K25" s="365"/>
      <c r="L25" s="365"/>
      <c r="M25" s="365"/>
      <c r="N25" s="365"/>
      <c r="O25" s="677"/>
      <c r="P25" s="365"/>
      <c r="Q25" s="2218" t="s">
        <v>251</v>
      </c>
      <c r="R25" s="5976" t="s">
        <v>1047</v>
      </c>
      <c r="S25" s="5977"/>
      <c r="T25" s="5978"/>
      <c r="U25" s="2218" t="s">
        <v>251</v>
      </c>
      <c r="V25" s="3664" t="s">
        <v>251</v>
      </c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1039"/>
    </row>
    <row r="26" spans="1:34" ht="15.75">
      <c r="A26" s="5990"/>
      <c r="B26" s="2109" t="s">
        <v>95</v>
      </c>
      <c r="C26" s="2782" t="s">
        <v>726</v>
      </c>
      <c r="D26" s="2890" t="s">
        <v>1014</v>
      </c>
      <c r="E26" s="2761" t="s">
        <v>251</v>
      </c>
      <c r="F26" s="2895" t="s">
        <v>721</v>
      </c>
      <c r="G26" s="362"/>
      <c r="H26" s="375"/>
      <c r="I26" s="323"/>
      <c r="J26" s="323"/>
      <c r="K26" s="323"/>
      <c r="L26" s="323"/>
      <c r="M26" s="323"/>
      <c r="N26" s="2870" t="s">
        <v>717</v>
      </c>
      <c r="O26" s="323"/>
      <c r="P26" s="2434"/>
      <c r="Q26" s="779"/>
      <c r="R26" s="779"/>
      <c r="S26" s="779"/>
      <c r="T26" s="779"/>
      <c r="U26" s="779"/>
      <c r="V26" s="779"/>
      <c r="W26" s="362"/>
      <c r="X26" s="362"/>
      <c r="Y26" s="362"/>
      <c r="Z26" s="362"/>
      <c r="AA26" s="362"/>
      <c r="AB26" s="362"/>
      <c r="AC26" s="2870" t="s">
        <v>717</v>
      </c>
      <c r="AD26" s="362"/>
      <c r="AE26" s="362"/>
      <c r="AF26" s="362"/>
      <c r="AG26" s="362"/>
      <c r="AH26" s="1026"/>
    </row>
    <row r="27" spans="1:34" ht="15.75">
      <c r="A27" s="5990"/>
      <c r="B27" s="2109" t="s">
        <v>95</v>
      </c>
      <c r="C27" s="2782" t="s">
        <v>548</v>
      </c>
      <c r="D27" s="364"/>
      <c r="E27" s="362"/>
      <c r="F27" s="2895" t="s">
        <v>721</v>
      </c>
      <c r="G27" s="373"/>
      <c r="H27" s="2"/>
      <c r="I27" s="362"/>
      <c r="J27" s="2"/>
      <c r="K27" s="2"/>
      <c r="L27" s="2639" t="s">
        <v>720</v>
      </c>
      <c r="M27" s="2"/>
      <c r="N27" s="2"/>
      <c r="O27" s="2639"/>
      <c r="P27" s="2639" t="s">
        <v>720</v>
      </c>
      <c r="Q27" s="2639"/>
      <c r="R27" s="375"/>
      <c r="S27" s="375"/>
      <c r="T27" s="375"/>
      <c r="U27" s="375"/>
      <c r="V27" s="375"/>
      <c r="W27" s="362" t="s">
        <v>324</v>
      </c>
      <c r="X27" s="569" t="s">
        <v>722</v>
      </c>
      <c r="Y27" s="375"/>
      <c r="Z27" s="375"/>
      <c r="AA27" s="375"/>
      <c r="AB27" s="4333" t="s">
        <v>1051</v>
      </c>
      <c r="AC27" s="4411"/>
      <c r="AD27" s="4334"/>
      <c r="AE27" s="375"/>
      <c r="AF27" s="362"/>
      <c r="AG27" s="362"/>
      <c r="AH27" s="1026"/>
    </row>
    <row r="28" spans="1:34" ht="15.75">
      <c r="A28" s="5990"/>
      <c r="B28" s="2109" t="s">
        <v>106</v>
      </c>
      <c r="C28" s="2782" t="s">
        <v>107</v>
      </c>
      <c r="D28" s="377"/>
      <c r="E28" s="375"/>
      <c r="F28" s="2895" t="s">
        <v>721</v>
      </c>
      <c r="G28" s="375"/>
      <c r="H28" s="1291"/>
      <c r="I28" s="365"/>
      <c r="J28" s="365"/>
      <c r="K28" s="365"/>
      <c r="L28" s="365"/>
      <c r="M28" s="1532"/>
      <c r="N28" s="1532" t="s">
        <v>722</v>
      </c>
      <c r="O28" s="365"/>
      <c r="P28" s="2846"/>
      <c r="Q28" s="375"/>
      <c r="R28" s="376"/>
      <c r="S28" s="569" t="s">
        <v>722</v>
      </c>
      <c r="T28" s="377"/>
      <c r="U28" s="376"/>
      <c r="V28" s="362"/>
      <c r="W28" s="377"/>
      <c r="X28" s="375"/>
      <c r="Y28" s="375"/>
      <c r="Z28" s="2639" t="s">
        <v>722</v>
      </c>
      <c r="AA28" s="375"/>
      <c r="AB28" s="2963"/>
      <c r="AC28" s="6001" t="s">
        <v>112</v>
      </c>
      <c r="AD28" s="6002"/>
      <c r="AE28" s="6002"/>
      <c r="AF28" s="6003"/>
      <c r="AG28" s="375"/>
      <c r="AH28" s="1551"/>
    </row>
    <row r="29" spans="1:34" ht="15.75">
      <c r="A29" s="5992"/>
      <c r="B29" s="2092" t="s">
        <v>108</v>
      </c>
      <c r="C29" s="2783" t="s">
        <v>109</v>
      </c>
      <c r="D29" s="377"/>
      <c r="E29" s="375"/>
      <c r="F29" s="2896" t="s">
        <v>721</v>
      </c>
      <c r="G29" s="375"/>
      <c r="H29" s="376"/>
      <c r="I29" s="1541" t="s">
        <v>722</v>
      </c>
      <c r="J29" s="323"/>
      <c r="K29" s="323"/>
      <c r="L29" s="323"/>
      <c r="M29" s="323"/>
      <c r="N29" s="323"/>
      <c r="O29" s="323"/>
      <c r="P29" s="377"/>
      <c r="Q29" s="2577" t="s">
        <v>251</v>
      </c>
      <c r="R29" s="5976" t="s">
        <v>1047</v>
      </c>
      <c r="S29" s="5977"/>
      <c r="T29" s="5978"/>
      <c r="U29" s="2877" t="s">
        <v>251</v>
      </c>
      <c r="V29" s="323"/>
      <c r="W29" s="377"/>
      <c r="X29" s="375"/>
      <c r="Y29" s="1541" t="s">
        <v>722</v>
      </c>
      <c r="Z29" s="375"/>
      <c r="AA29" s="376"/>
      <c r="AB29" s="4333" t="s">
        <v>1052</v>
      </c>
      <c r="AC29" s="4520"/>
      <c r="AD29" s="4520"/>
      <c r="AE29" s="4520"/>
      <c r="AF29" s="4520"/>
      <c r="AG29" s="4520"/>
      <c r="AH29" s="5243"/>
    </row>
    <row r="30" spans="1:34" ht="15.75">
      <c r="A30" s="3687" t="s">
        <v>110</v>
      </c>
      <c r="B30" s="2084" t="s">
        <v>77</v>
      </c>
      <c r="C30" s="2084" t="s">
        <v>201</v>
      </c>
      <c r="D30" s="1019"/>
      <c r="E30" s="1021"/>
      <c r="F30" s="2897" t="s">
        <v>721</v>
      </c>
      <c r="G30" s="1021"/>
      <c r="H30" s="1021"/>
      <c r="I30" s="1021"/>
      <c r="J30" s="1021"/>
      <c r="K30" s="1021"/>
      <c r="L30" s="1021"/>
      <c r="M30" s="1021"/>
      <c r="N30" s="1021"/>
      <c r="O30" s="1021"/>
      <c r="P30" s="1021"/>
      <c r="Q30" s="1020"/>
      <c r="R30" s="1021"/>
      <c r="S30" s="1021"/>
      <c r="T30" s="1021"/>
      <c r="U30" s="1021"/>
      <c r="V30" s="1021"/>
      <c r="W30" s="1021"/>
      <c r="X30" s="1021"/>
      <c r="Y30" s="1021"/>
      <c r="Z30" s="1021"/>
      <c r="AA30" s="1021"/>
      <c r="AB30" s="365"/>
      <c r="AC30" s="365"/>
      <c r="AD30" s="365"/>
      <c r="AE30" s="365"/>
      <c r="AF30" s="365"/>
      <c r="AG30" s="365"/>
      <c r="AH30" s="2964"/>
    </row>
    <row r="31" spans="1:34" ht="15.75">
      <c r="A31" s="3686"/>
      <c r="B31" s="2101" t="s">
        <v>283</v>
      </c>
      <c r="C31" s="2118" t="s">
        <v>610</v>
      </c>
      <c r="D31" s="2430"/>
      <c r="E31" s="779"/>
      <c r="F31" s="2895" t="s">
        <v>721</v>
      </c>
      <c r="G31" s="779"/>
      <c r="H31" s="779"/>
      <c r="I31" s="778"/>
      <c r="J31" s="2434" t="s">
        <v>720</v>
      </c>
      <c r="K31" s="2437"/>
      <c r="L31" s="778"/>
      <c r="M31" s="778"/>
      <c r="N31" s="2437"/>
      <c r="O31" s="2437"/>
      <c r="P31" s="778"/>
      <c r="Q31" s="2437" t="s">
        <v>720</v>
      </c>
      <c r="R31" s="778"/>
      <c r="S31" s="4333" t="s">
        <v>1053</v>
      </c>
      <c r="T31" s="4411"/>
      <c r="U31" s="4411"/>
      <c r="V31" s="4411"/>
      <c r="W31" s="4411"/>
      <c r="X31" s="4411"/>
      <c r="Y31" s="4411"/>
      <c r="Z31" s="4411"/>
      <c r="AA31" s="4411"/>
      <c r="AB31" s="4411"/>
      <c r="AC31" s="4411"/>
      <c r="AD31" s="4411"/>
      <c r="AE31" s="4411"/>
      <c r="AF31" s="4411"/>
      <c r="AG31" s="4334"/>
      <c r="AH31" s="696"/>
    </row>
    <row r="32" spans="1:34" ht="15.75">
      <c r="A32" s="3686"/>
      <c r="B32" s="2101" t="s">
        <v>95</v>
      </c>
      <c r="C32" s="2876" t="s">
        <v>249</v>
      </c>
      <c r="D32" s="935"/>
      <c r="E32" s="779"/>
      <c r="F32" s="2895" t="s">
        <v>721</v>
      </c>
      <c r="G32" s="779"/>
      <c r="H32" s="779"/>
      <c r="I32" s="779"/>
      <c r="J32" s="2434"/>
      <c r="K32" s="2858"/>
      <c r="L32" s="779"/>
      <c r="M32" s="779"/>
      <c r="N32" s="779"/>
      <c r="O32" s="2434" t="s">
        <v>720</v>
      </c>
      <c r="P32" s="2434"/>
      <c r="Q32" s="779"/>
      <c r="R32" s="779"/>
      <c r="S32" s="779"/>
      <c r="T32" s="779"/>
      <c r="U32" s="779"/>
      <c r="V32" s="779"/>
      <c r="W32" s="779"/>
      <c r="X32" s="2434" t="s">
        <v>720</v>
      </c>
      <c r="Y32" s="779"/>
      <c r="Z32" s="779"/>
      <c r="AA32" s="779"/>
      <c r="AB32" s="779"/>
      <c r="AC32" s="779"/>
      <c r="AD32" s="779"/>
      <c r="AE32" s="779"/>
      <c r="AF32" s="2434" t="s">
        <v>720</v>
      </c>
      <c r="AG32" s="847"/>
      <c r="AH32" s="696"/>
    </row>
    <row r="33" spans="1:34" ht="15.75">
      <c r="A33" s="3686"/>
      <c r="B33" s="2109" t="s">
        <v>113</v>
      </c>
      <c r="C33" s="2109" t="s">
        <v>116</v>
      </c>
      <c r="D33" s="935"/>
      <c r="E33" s="779"/>
      <c r="F33" s="2895" t="s">
        <v>721</v>
      </c>
      <c r="G33" s="779"/>
      <c r="H33" s="779"/>
      <c r="I33" s="779"/>
      <c r="J33" s="779"/>
      <c r="K33" s="2437" t="s">
        <v>720</v>
      </c>
      <c r="L33" s="779"/>
      <c r="M33" s="779"/>
      <c r="N33" s="4333" t="s">
        <v>1054</v>
      </c>
      <c r="O33" s="4411"/>
      <c r="P33" s="4411"/>
      <c r="Q33" s="4334"/>
      <c r="R33" s="2437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2434" t="s">
        <v>720</v>
      </c>
      <c r="AF33" s="779"/>
      <c r="AG33" s="847"/>
      <c r="AH33" s="696"/>
    </row>
    <row r="34" spans="1:34" ht="15.75">
      <c r="A34" s="3686"/>
      <c r="B34" s="2109" t="s">
        <v>118</v>
      </c>
      <c r="C34" s="2109" t="s">
        <v>119</v>
      </c>
      <c r="D34" s="935"/>
      <c r="E34" s="779"/>
      <c r="F34" s="2895" t="s">
        <v>721</v>
      </c>
      <c r="G34" s="779"/>
      <c r="H34" s="779"/>
      <c r="I34" s="779"/>
      <c r="J34" s="779"/>
      <c r="K34" s="779"/>
      <c r="L34" s="779"/>
      <c r="M34" s="779"/>
      <c r="N34" s="779"/>
      <c r="O34" s="779"/>
      <c r="P34" s="779"/>
      <c r="Q34" s="779"/>
      <c r="R34" s="779"/>
      <c r="S34" s="779"/>
      <c r="T34" s="779"/>
      <c r="U34" s="779"/>
      <c r="V34" s="779"/>
      <c r="W34" s="779"/>
      <c r="X34" s="779"/>
      <c r="Y34" s="779"/>
      <c r="Z34" s="779"/>
      <c r="AA34" s="779"/>
      <c r="AB34" s="779"/>
      <c r="AC34" s="779"/>
      <c r="AD34" s="779"/>
      <c r="AE34" s="779"/>
      <c r="AF34" s="779"/>
      <c r="AG34" s="847"/>
      <c r="AH34" s="696"/>
    </row>
    <row r="35" spans="1:34" ht="15.75">
      <c r="A35" s="3686"/>
      <c r="B35" s="2109" t="s">
        <v>500</v>
      </c>
      <c r="C35" s="2109" t="s">
        <v>126</v>
      </c>
      <c r="D35" s="4416" t="s">
        <v>482</v>
      </c>
      <c r="E35" s="4411"/>
      <c r="F35" s="4411"/>
      <c r="G35" s="4411"/>
      <c r="H35" s="4334"/>
      <c r="I35" s="779"/>
      <c r="J35" s="779"/>
      <c r="K35" s="779"/>
      <c r="L35" s="779"/>
      <c r="M35" s="2901" t="s">
        <v>483</v>
      </c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2250"/>
      <c r="AC35" s="2738"/>
      <c r="AD35" s="2250"/>
      <c r="AE35" s="2250"/>
      <c r="AF35" s="2250"/>
      <c r="AG35" s="2250"/>
      <c r="AH35" s="2739"/>
    </row>
    <row r="36" spans="1:34" ht="15.75">
      <c r="A36" s="3686"/>
      <c r="B36" s="2092" t="s">
        <v>120</v>
      </c>
      <c r="C36" s="2092" t="s">
        <v>121</v>
      </c>
      <c r="D36" s="4416" t="s">
        <v>1033</v>
      </c>
      <c r="E36" s="4411"/>
      <c r="F36" s="4411"/>
      <c r="G36" s="4411"/>
      <c r="H36" s="4411"/>
      <c r="I36" s="4411"/>
      <c r="J36" s="4411"/>
      <c r="K36" s="4411"/>
      <c r="L36" s="4411"/>
      <c r="M36" s="4411"/>
      <c r="N36" s="4468"/>
      <c r="O36" s="4468"/>
      <c r="P36" s="4468"/>
      <c r="Q36" s="4468"/>
      <c r="R36" s="4468"/>
      <c r="S36" s="4468"/>
      <c r="T36" s="4468"/>
      <c r="U36" s="4468"/>
      <c r="V36" s="4411"/>
      <c r="W36" s="4411"/>
      <c r="X36" s="4411"/>
      <c r="Y36" s="4411"/>
      <c r="Z36" s="4411"/>
      <c r="AA36" s="4411"/>
      <c r="AB36" s="4411"/>
      <c r="AC36" s="4411"/>
      <c r="AD36" s="4411"/>
      <c r="AE36" s="4411"/>
      <c r="AF36" s="4411"/>
      <c r="AG36" s="4411"/>
      <c r="AH36" s="4559"/>
    </row>
    <row r="37" spans="1:34" ht="15.75">
      <c r="A37" s="3686"/>
      <c r="B37" s="2116" t="s">
        <v>122</v>
      </c>
      <c r="C37" s="2116" t="s">
        <v>123</v>
      </c>
      <c r="D37" s="935"/>
      <c r="E37" s="2434" t="s">
        <v>722</v>
      </c>
      <c r="F37" s="779"/>
      <c r="G37" s="779"/>
      <c r="H37" s="779"/>
      <c r="I37" s="779"/>
      <c r="J37" s="779"/>
      <c r="K37" s="3585" t="s">
        <v>722</v>
      </c>
      <c r="L37" s="780"/>
      <c r="M37" s="783"/>
      <c r="N37" s="4475" t="s">
        <v>1054</v>
      </c>
      <c r="O37" s="4475"/>
      <c r="P37" s="4475"/>
      <c r="Q37" s="4333"/>
      <c r="R37" s="2287"/>
      <c r="S37" s="2287"/>
      <c r="T37" s="2287"/>
      <c r="U37" s="2287"/>
      <c r="V37" s="822"/>
      <c r="W37" s="779"/>
      <c r="X37" s="779"/>
      <c r="Y37" s="779"/>
      <c r="Z37" s="779"/>
      <c r="AA37" s="779"/>
      <c r="AB37" s="779"/>
      <c r="AC37" s="779"/>
      <c r="AD37" s="779"/>
      <c r="AE37" s="779"/>
      <c r="AF37" s="779"/>
      <c r="AG37" s="847"/>
      <c r="AH37" s="696"/>
    </row>
    <row r="38" spans="1:34" ht="15.75">
      <c r="A38" s="3686"/>
      <c r="B38" s="2116" t="s">
        <v>122</v>
      </c>
      <c r="C38" s="2116" t="s">
        <v>553</v>
      </c>
      <c r="D38" s="2430" t="s">
        <v>720</v>
      </c>
      <c r="E38" s="779"/>
      <c r="F38" s="2895" t="s">
        <v>721</v>
      </c>
      <c r="G38" s="779"/>
      <c r="H38" s="779"/>
      <c r="I38" s="779"/>
      <c r="J38" s="2869"/>
      <c r="K38" s="2768"/>
      <c r="L38" s="2768"/>
      <c r="M38" s="2869" t="s">
        <v>720</v>
      </c>
      <c r="N38" s="2902"/>
      <c r="O38" s="2903"/>
      <c r="P38" s="778"/>
      <c r="Q38" s="778"/>
      <c r="R38" s="778"/>
      <c r="S38" s="778"/>
      <c r="T38" s="778"/>
      <c r="U38" s="2904" t="s">
        <v>720</v>
      </c>
      <c r="V38" s="780"/>
      <c r="W38" s="780"/>
      <c r="X38" s="780"/>
      <c r="Y38" s="780"/>
      <c r="Z38" s="780"/>
      <c r="AA38" s="780"/>
      <c r="AB38" s="780"/>
      <c r="AC38" s="780"/>
      <c r="AD38" s="780"/>
      <c r="AE38" s="779"/>
      <c r="AF38" s="779"/>
      <c r="AG38" s="847"/>
      <c r="AH38" s="696"/>
    </row>
    <row r="39" spans="1:34" ht="15.75">
      <c r="A39" s="3686"/>
      <c r="B39" s="2116" t="s">
        <v>124</v>
      </c>
      <c r="C39" s="2116" t="s">
        <v>125</v>
      </c>
      <c r="D39" s="935"/>
      <c r="E39" s="779"/>
      <c r="F39" s="2434" t="s">
        <v>722</v>
      </c>
      <c r="G39" s="779"/>
      <c r="H39" s="779"/>
      <c r="I39" s="779"/>
      <c r="J39" s="780"/>
      <c r="K39" s="3616"/>
      <c r="L39" s="785"/>
      <c r="M39" s="785"/>
      <c r="N39" s="785"/>
      <c r="O39" s="779"/>
      <c r="P39" s="3585" t="s">
        <v>722</v>
      </c>
      <c r="Q39" s="779"/>
      <c r="R39" s="779"/>
      <c r="S39" s="779"/>
      <c r="T39" s="779"/>
      <c r="U39" s="2872"/>
      <c r="V39" s="4333" t="s">
        <v>438</v>
      </c>
      <c r="W39" s="4411"/>
      <c r="X39" s="4411"/>
      <c r="Y39" s="4411"/>
      <c r="Z39" s="4411"/>
      <c r="AA39" s="4411"/>
      <c r="AB39" s="4411"/>
      <c r="AC39" s="4411"/>
      <c r="AD39" s="4334"/>
      <c r="AE39" s="822"/>
      <c r="AF39" s="3585" t="s">
        <v>722</v>
      </c>
      <c r="AG39" s="847"/>
      <c r="AH39" s="696"/>
    </row>
    <row r="40" spans="1:34" ht="15.75">
      <c r="A40" s="3686"/>
      <c r="B40" s="2116" t="s">
        <v>293</v>
      </c>
      <c r="C40" s="2118" t="s">
        <v>733</v>
      </c>
      <c r="D40" s="935"/>
      <c r="E40" s="779"/>
      <c r="F40" s="2895" t="s">
        <v>721</v>
      </c>
      <c r="G40" s="779"/>
      <c r="H40" s="779"/>
      <c r="I40" s="847"/>
      <c r="J40" s="905"/>
      <c r="K40" s="905"/>
      <c r="L40" s="905"/>
      <c r="M40" s="905"/>
      <c r="N40" s="905"/>
      <c r="O40" s="822"/>
      <c r="P40" s="779"/>
      <c r="Q40" s="2434" t="s">
        <v>717</v>
      </c>
      <c r="R40" s="779"/>
      <c r="S40" s="779"/>
      <c r="T40" s="779"/>
      <c r="U40" s="779"/>
      <c r="V40" s="778"/>
      <c r="W40" s="2437" t="s">
        <v>717</v>
      </c>
      <c r="X40" s="778"/>
      <c r="Y40" s="778"/>
      <c r="Z40" s="778"/>
      <c r="AA40" s="2437" t="s">
        <v>717</v>
      </c>
      <c r="AB40" s="778"/>
      <c r="AC40" s="778"/>
      <c r="AD40" s="778"/>
      <c r="AE40" s="780"/>
      <c r="AF40" s="780"/>
      <c r="AG40" s="783"/>
      <c r="AH40" s="324"/>
    </row>
    <row r="41" spans="1:34" ht="15.75">
      <c r="A41" s="3686"/>
      <c r="B41" s="2116" t="s">
        <v>692</v>
      </c>
      <c r="C41" s="2116" t="s">
        <v>693</v>
      </c>
      <c r="D41" s="935"/>
      <c r="E41" s="779"/>
      <c r="F41" s="2895" t="s">
        <v>721</v>
      </c>
      <c r="G41" s="779"/>
      <c r="H41" s="2434" t="s">
        <v>717</v>
      </c>
      <c r="I41" s="3664" t="s">
        <v>251</v>
      </c>
      <c r="J41" s="6010" t="s">
        <v>1055</v>
      </c>
      <c r="K41" s="6011"/>
      <c r="L41" s="6011"/>
      <c r="M41" s="6011"/>
      <c r="N41" s="6011"/>
      <c r="O41" s="6012"/>
      <c r="P41" s="6012"/>
      <c r="Q41" s="6012"/>
      <c r="R41" s="6012"/>
      <c r="S41" s="6012"/>
      <c r="T41" s="6013"/>
      <c r="U41" s="3664" t="s">
        <v>251</v>
      </c>
      <c r="V41" s="779"/>
      <c r="W41" s="779"/>
      <c r="X41" s="779"/>
      <c r="Y41" s="779"/>
      <c r="Z41" s="779"/>
      <c r="AA41" s="779"/>
      <c r="AB41" s="779"/>
      <c r="AC41" s="779"/>
      <c r="AD41" s="847"/>
      <c r="AE41" s="2434" t="s">
        <v>717</v>
      </c>
      <c r="AF41" s="779"/>
      <c r="AG41" s="779"/>
      <c r="AH41" s="696"/>
    </row>
    <row r="42" spans="1:34" ht="15.75">
      <c r="A42" s="3686"/>
      <c r="B42" s="2118" t="s">
        <v>127</v>
      </c>
      <c r="C42" s="2118" t="s">
        <v>657</v>
      </c>
      <c r="D42" s="935"/>
      <c r="E42" s="779"/>
      <c r="F42" s="2895" t="s">
        <v>721</v>
      </c>
      <c r="G42" s="779"/>
      <c r="H42" s="2434"/>
      <c r="I42" s="2434" t="s">
        <v>717</v>
      </c>
      <c r="J42" s="779"/>
      <c r="K42" s="779"/>
      <c r="L42" s="779"/>
      <c r="M42" s="779"/>
      <c r="N42" s="779"/>
      <c r="O42" s="779"/>
      <c r="P42" s="779"/>
      <c r="Q42" s="779"/>
      <c r="R42" s="779"/>
      <c r="S42" s="779"/>
      <c r="T42" s="779"/>
      <c r="U42" s="779"/>
      <c r="V42" s="2434" t="s">
        <v>717</v>
      </c>
      <c r="W42" s="779"/>
      <c r="X42" s="779"/>
      <c r="Y42" s="779"/>
      <c r="Z42" s="779"/>
      <c r="AA42" s="779"/>
      <c r="AB42" s="779"/>
      <c r="AC42" s="779"/>
      <c r="AD42" s="2434" t="s">
        <v>717</v>
      </c>
      <c r="AE42" s="779"/>
      <c r="AF42" s="779"/>
      <c r="AG42" s="779"/>
      <c r="AH42" s="696"/>
    </row>
    <row r="43" spans="1:34" ht="15.75">
      <c r="A43" s="3686"/>
      <c r="B43" s="2109" t="s">
        <v>554</v>
      </c>
      <c r="C43" s="2109" t="s">
        <v>555</v>
      </c>
      <c r="D43" s="935"/>
      <c r="E43" s="779"/>
      <c r="F43" s="2895" t="s">
        <v>721</v>
      </c>
      <c r="G43" s="2434" t="s">
        <v>720</v>
      </c>
      <c r="H43" s="3585"/>
      <c r="I43" s="779"/>
      <c r="J43" s="779"/>
      <c r="K43" s="779"/>
      <c r="L43" s="779"/>
      <c r="M43" s="779"/>
      <c r="N43" s="779"/>
      <c r="O43" s="779"/>
      <c r="P43" s="779"/>
      <c r="Q43" s="779"/>
      <c r="R43" s="2434" t="s">
        <v>720</v>
      </c>
      <c r="S43" s="779"/>
      <c r="T43" s="779"/>
      <c r="U43" s="779"/>
      <c r="V43" s="779"/>
      <c r="W43" s="779"/>
      <c r="X43" s="779"/>
      <c r="Y43" s="779"/>
      <c r="Z43" s="779"/>
      <c r="AA43" s="779"/>
      <c r="AB43" s="2434" t="s">
        <v>720</v>
      </c>
      <c r="AC43" s="779"/>
      <c r="AD43" s="847"/>
      <c r="AE43" s="779"/>
      <c r="AF43" s="779"/>
      <c r="AG43" s="779"/>
      <c r="AH43" s="696"/>
    </row>
    <row r="44" spans="1:34" ht="15.75">
      <c r="A44" s="3686"/>
      <c r="B44" s="2092" t="s">
        <v>699</v>
      </c>
      <c r="C44" s="2092" t="s">
        <v>135</v>
      </c>
      <c r="D44" s="938"/>
      <c r="E44" s="780"/>
      <c r="F44" s="2895" t="s">
        <v>721</v>
      </c>
      <c r="G44" s="780"/>
      <c r="H44" s="780"/>
      <c r="I44" s="780"/>
      <c r="J44" s="780"/>
      <c r="K44" s="780"/>
      <c r="L44" s="780"/>
      <c r="M44" s="3616" t="s">
        <v>722</v>
      </c>
      <c r="N44" s="780"/>
      <c r="O44" s="780"/>
      <c r="P44" s="780"/>
      <c r="Q44" s="2349" t="s">
        <v>722</v>
      </c>
      <c r="R44" s="780"/>
      <c r="S44" s="780"/>
      <c r="T44" s="780"/>
      <c r="U44" s="780"/>
      <c r="V44" s="780"/>
      <c r="W44" s="2435" t="s">
        <v>720</v>
      </c>
      <c r="X44" s="780"/>
      <c r="Y44" s="780"/>
      <c r="Z44" s="780"/>
      <c r="AA44" s="4333" t="s">
        <v>112</v>
      </c>
      <c r="AB44" s="4411"/>
      <c r="AC44" s="4411"/>
      <c r="AD44" s="4411"/>
      <c r="AE44" s="4334"/>
      <c r="AF44" s="5667" t="s">
        <v>164</v>
      </c>
      <c r="AG44" s="5783"/>
      <c r="AH44" s="5668"/>
    </row>
    <row r="45" spans="1:34" ht="15.75">
      <c r="A45" s="3686"/>
      <c r="B45" s="2116" t="s">
        <v>1056</v>
      </c>
      <c r="C45" s="2116" t="s">
        <v>334</v>
      </c>
      <c r="D45" s="935"/>
      <c r="E45" s="779"/>
      <c r="F45" s="2895" t="s">
        <v>721</v>
      </c>
      <c r="G45" s="779"/>
      <c r="H45" s="779"/>
      <c r="I45" s="779"/>
      <c r="J45" s="2434" t="s">
        <v>722</v>
      </c>
      <c r="K45" s="779"/>
      <c r="L45" s="779"/>
      <c r="M45" s="779"/>
      <c r="N45" s="779"/>
      <c r="O45" s="2434" t="s">
        <v>722</v>
      </c>
      <c r="P45" s="779"/>
      <c r="Q45" s="779"/>
      <c r="R45" s="779"/>
      <c r="S45" s="779"/>
      <c r="T45" s="2434" t="s">
        <v>722</v>
      </c>
      <c r="U45" s="779"/>
      <c r="V45" s="779"/>
      <c r="W45" s="779"/>
      <c r="X45" s="779"/>
      <c r="Y45" s="779"/>
      <c r="Z45" s="779"/>
      <c r="AA45" s="779"/>
      <c r="AB45" s="779"/>
      <c r="AC45" s="779"/>
      <c r="AD45" s="779"/>
      <c r="AE45" s="3702"/>
      <c r="AF45" s="5667" t="s">
        <v>164</v>
      </c>
      <c r="AG45" s="5783"/>
      <c r="AH45" s="5668"/>
    </row>
    <row r="46" spans="1:34" ht="15.75">
      <c r="A46" s="3686"/>
      <c r="B46" s="2097" t="s">
        <v>129</v>
      </c>
      <c r="C46" s="2097" t="s">
        <v>474</v>
      </c>
      <c r="D46" s="938"/>
      <c r="E46" s="780"/>
      <c r="F46" s="2973" t="s">
        <v>721</v>
      </c>
      <c r="G46" s="780"/>
      <c r="H46" s="3616" t="s">
        <v>720</v>
      </c>
      <c r="I46" s="780"/>
      <c r="J46" s="780"/>
      <c r="K46" s="780"/>
      <c r="L46" s="780"/>
      <c r="M46" s="780"/>
      <c r="N46" s="780"/>
      <c r="O46" s="780"/>
      <c r="P46" s="3616"/>
      <c r="Q46" s="780"/>
      <c r="R46" s="780"/>
      <c r="S46" s="780"/>
      <c r="T46" s="780"/>
      <c r="U46" s="780"/>
      <c r="V46" s="780"/>
      <c r="W46" s="3616" t="s">
        <v>722</v>
      </c>
      <c r="X46" s="780"/>
      <c r="Y46" s="780"/>
      <c r="Z46" s="780"/>
      <c r="AA46" s="780"/>
      <c r="AB46" s="780"/>
      <c r="AC46" s="780"/>
      <c r="AD46" s="780"/>
      <c r="AE46" s="3616" t="s">
        <v>722</v>
      </c>
      <c r="AF46" s="780"/>
      <c r="AG46" s="780"/>
      <c r="AH46" s="2975"/>
    </row>
    <row r="47" spans="1:34" ht="15.75">
      <c r="A47" s="6026" t="s">
        <v>136</v>
      </c>
      <c r="B47" s="2101" t="s">
        <v>77</v>
      </c>
      <c r="C47" s="2101" t="s">
        <v>1036</v>
      </c>
      <c r="D47" s="1019"/>
      <c r="E47" s="1021"/>
      <c r="F47" s="2969" t="s">
        <v>721</v>
      </c>
      <c r="G47" s="1021"/>
      <c r="H47" s="1021"/>
      <c r="I47" s="1021"/>
      <c r="J47" s="2974" t="s">
        <v>1050</v>
      </c>
      <c r="K47" s="2574" t="s">
        <v>251</v>
      </c>
      <c r="L47" s="6004" t="s">
        <v>1057</v>
      </c>
      <c r="M47" s="6005"/>
      <c r="N47" s="6006"/>
      <c r="O47" s="2970" t="s">
        <v>251</v>
      </c>
      <c r="P47" s="1021"/>
      <c r="Q47" s="1020"/>
      <c r="R47" s="1021"/>
      <c r="S47" s="1021"/>
      <c r="T47" s="1021"/>
      <c r="U47" s="1021"/>
      <c r="V47" s="1021"/>
      <c r="W47" s="2929" t="s">
        <v>251</v>
      </c>
      <c r="X47" s="6007" t="s">
        <v>1044</v>
      </c>
      <c r="Y47" s="6008"/>
      <c r="Z47" s="6008"/>
      <c r="AA47" s="6008"/>
      <c r="AB47" s="6008"/>
      <c r="AC47" s="6009"/>
      <c r="AD47" s="2929" t="s">
        <v>251</v>
      </c>
      <c r="AE47" s="1021"/>
      <c r="AF47" s="1021"/>
      <c r="AG47" s="1021"/>
      <c r="AH47" s="1025"/>
    </row>
    <row r="48" spans="1:34" ht="15.75">
      <c r="A48" s="5990"/>
      <c r="B48" s="2109" t="s">
        <v>95</v>
      </c>
      <c r="C48" s="2092" t="s">
        <v>1058</v>
      </c>
      <c r="D48" s="923"/>
      <c r="E48" s="362"/>
      <c r="F48" s="2895" t="s">
        <v>721</v>
      </c>
      <c r="G48" s="362"/>
      <c r="H48" s="362"/>
      <c r="I48" s="362"/>
      <c r="J48" s="362"/>
      <c r="K48" s="537"/>
      <c r="L48" s="537"/>
      <c r="M48" s="362"/>
      <c r="N48" s="362"/>
      <c r="O48" s="362"/>
      <c r="P48" s="537"/>
      <c r="Q48" s="362"/>
      <c r="R48" s="362"/>
      <c r="S48" s="362"/>
      <c r="T48" s="904"/>
      <c r="U48" s="904"/>
      <c r="V48" s="904"/>
      <c r="W48" s="362"/>
      <c r="X48" s="2861"/>
      <c r="Y48" s="2861"/>
      <c r="Z48" s="2861"/>
      <c r="AA48" s="2861"/>
      <c r="AB48" s="2861"/>
      <c r="AC48" s="2862"/>
      <c r="AD48" s="362"/>
      <c r="AE48" s="362"/>
      <c r="AF48" s="362"/>
      <c r="AG48" s="362"/>
      <c r="AH48" s="1206"/>
    </row>
    <row r="49" spans="1:34" ht="15.75">
      <c r="A49" s="5990"/>
      <c r="B49" s="2092" t="s">
        <v>95</v>
      </c>
      <c r="C49" s="2092" t="s">
        <v>1037</v>
      </c>
      <c r="D49" s="1050"/>
      <c r="E49" s="375"/>
      <c r="F49" s="2895" t="s">
        <v>721</v>
      </c>
      <c r="G49" s="375"/>
      <c r="H49" s="377"/>
      <c r="I49" s="375"/>
      <c r="J49" s="375"/>
      <c r="K49" s="3664" t="s">
        <v>251</v>
      </c>
      <c r="L49" s="4959" t="s">
        <v>1057</v>
      </c>
      <c r="M49" s="4960"/>
      <c r="N49" s="4961"/>
      <c r="O49" s="2832" t="s">
        <v>251</v>
      </c>
      <c r="P49" s="939"/>
      <c r="Q49" s="375"/>
      <c r="R49" s="375"/>
      <c r="S49" s="375"/>
      <c r="T49" s="1580"/>
      <c r="U49" s="1580"/>
      <c r="V49" s="1580"/>
      <c r="W49" s="537"/>
      <c r="X49" s="362"/>
      <c r="Y49" s="362"/>
      <c r="Z49" s="362"/>
      <c r="AA49" s="904"/>
      <c r="AB49" s="904"/>
      <c r="AC49" s="537"/>
      <c r="AD49" s="362"/>
      <c r="AE49" s="362"/>
      <c r="AF49" s="362"/>
      <c r="AG49" s="904"/>
      <c r="AH49" s="1582"/>
    </row>
    <row r="50" spans="1:34" ht="15.75">
      <c r="A50" s="5991"/>
      <c r="B50" s="2125" t="s">
        <v>739</v>
      </c>
      <c r="C50" s="2092" t="s">
        <v>740</v>
      </c>
      <c r="D50" s="1007" t="s">
        <v>366</v>
      </c>
      <c r="E50" s="770"/>
      <c r="F50" s="2896" t="s">
        <v>721</v>
      </c>
      <c r="G50" s="770"/>
      <c r="H50" s="1009" t="s">
        <v>366</v>
      </c>
      <c r="I50" s="1010"/>
      <c r="J50" s="321"/>
      <c r="K50" s="321"/>
      <c r="L50" s="321"/>
      <c r="M50" s="321"/>
      <c r="N50" s="321"/>
      <c r="O50" s="2871" t="s">
        <v>717</v>
      </c>
      <c r="P50" s="1009"/>
      <c r="Q50" s="1009"/>
      <c r="R50" s="1009"/>
      <c r="S50" s="1009"/>
      <c r="T50" s="1009"/>
      <c r="U50" s="1009"/>
      <c r="V50" s="770"/>
      <c r="W50" s="770"/>
      <c r="X50" s="2871" t="s">
        <v>717</v>
      </c>
      <c r="Y50" s="770"/>
      <c r="Z50" s="770"/>
      <c r="AA50" s="770"/>
      <c r="AB50" s="770"/>
      <c r="AC50" s="770"/>
      <c r="AD50" s="770"/>
      <c r="AE50" s="770"/>
      <c r="AF50" s="770"/>
      <c r="AG50" s="770"/>
      <c r="AH50" s="1032"/>
    </row>
    <row r="51" spans="1:34" ht="15.75">
      <c r="A51" s="5990" t="s">
        <v>144</v>
      </c>
      <c r="B51" s="2101" t="s">
        <v>145</v>
      </c>
      <c r="C51" s="2785" t="s">
        <v>148</v>
      </c>
      <c r="D51" s="2881" t="s">
        <v>1014</v>
      </c>
      <c r="E51" s="2761" t="s">
        <v>251</v>
      </c>
      <c r="F51" s="2897" t="s">
        <v>721</v>
      </c>
      <c r="G51" s="365"/>
      <c r="H51" s="365"/>
      <c r="I51" s="2218" t="s">
        <v>251</v>
      </c>
      <c r="J51" s="6017" t="s">
        <v>411</v>
      </c>
      <c r="K51" s="6018"/>
      <c r="L51" s="6019"/>
      <c r="M51" s="2832" t="s">
        <v>251</v>
      </c>
      <c r="N51" s="365"/>
      <c r="O51" s="365"/>
      <c r="P51" s="365"/>
      <c r="Q51" s="751"/>
      <c r="R51" s="677"/>
      <c r="S51" s="677"/>
      <c r="T51" s="677"/>
      <c r="U51" s="365"/>
      <c r="V51" s="1532" t="s">
        <v>720</v>
      </c>
      <c r="W51" s="365"/>
      <c r="X51" s="365"/>
      <c r="Y51" s="365"/>
      <c r="Z51" s="365"/>
      <c r="AA51" s="1532" t="s">
        <v>720</v>
      </c>
      <c r="AB51" s="365"/>
      <c r="AC51" s="673"/>
      <c r="AD51" s="1555"/>
      <c r="AE51" s="365"/>
      <c r="AF51" s="365"/>
      <c r="AG51" s="365"/>
      <c r="AH51" s="1039"/>
    </row>
    <row r="52" spans="1:34" ht="15.75">
      <c r="A52" s="5990"/>
      <c r="B52" s="2109" t="s">
        <v>145</v>
      </c>
      <c r="C52" s="2118" t="s">
        <v>618</v>
      </c>
      <c r="D52" s="362"/>
      <c r="E52" s="362"/>
      <c r="F52" s="2895" t="s">
        <v>721</v>
      </c>
      <c r="G52" s="365"/>
      <c r="H52" s="365"/>
      <c r="I52" s="1560" t="s">
        <v>720</v>
      </c>
      <c r="J52" s="2900" t="s">
        <v>1050</v>
      </c>
      <c r="K52" s="2"/>
      <c r="L52" s="2"/>
      <c r="M52" s="2"/>
      <c r="N52" s="2"/>
      <c r="O52" s="2"/>
      <c r="P52" s="365"/>
      <c r="Q52" s="2707"/>
      <c r="R52" s="3585" t="s">
        <v>722</v>
      </c>
      <c r="S52" s="2909"/>
      <c r="T52" s="2909"/>
      <c r="U52" s="2910"/>
      <c r="V52" s="365"/>
      <c r="W52" s="365"/>
      <c r="X52" s="365"/>
      <c r="Y52" s="365"/>
      <c r="Z52" s="1560" t="s">
        <v>720</v>
      </c>
      <c r="AA52" s="365"/>
      <c r="AB52" s="365"/>
      <c r="AC52" s="673"/>
      <c r="AD52" s="365"/>
      <c r="AE52" s="365"/>
      <c r="AF52" s="365"/>
      <c r="AG52" s="365"/>
      <c r="AH52" s="1561" t="s">
        <v>720</v>
      </c>
    </row>
    <row r="53" spans="1:34" ht="15.75">
      <c r="A53" s="5990"/>
      <c r="B53" s="2109" t="s">
        <v>149</v>
      </c>
      <c r="C53" s="2116" t="s">
        <v>744</v>
      </c>
      <c r="D53" s="2"/>
      <c r="E53" s="2868" t="s">
        <v>717</v>
      </c>
      <c r="F53" s="2895" t="s">
        <v>721</v>
      </c>
      <c r="G53" s="362"/>
      <c r="H53" s="373"/>
      <c r="I53" s="2"/>
      <c r="J53" s="2"/>
      <c r="K53" s="2868" t="s">
        <v>717</v>
      </c>
      <c r="L53" s="2"/>
      <c r="M53" s="2"/>
      <c r="N53" s="2"/>
      <c r="O53" s="2"/>
      <c r="P53" s="4450" t="s">
        <v>1059</v>
      </c>
      <c r="Q53" s="4450"/>
      <c r="R53" s="4373"/>
      <c r="S53" s="4373"/>
      <c r="T53" s="4373"/>
      <c r="U53" s="4450"/>
      <c r="V53" s="4450"/>
      <c r="W53" s="4450"/>
      <c r="X53" s="4450"/>
      <c r="Y53" s="4450"/>
      <c r="Z53" s="4450"/>
      <c r="AA53" s="4450"/>
      <c r="AB53" s="4450"/>
      <c r="AC53" s="4450"/>
      <c r="AD53" s="4757"/>
      <c r="AE53" s="375"/>
      <c r="AF53" s="375"/>
      <c r="AG53" s="2640" t="s">
        <v>717</v>
      </c>
      <c r="AH53" s="1206"/>
    </row>
    <row r="54" spans="1:34" ht="15.75">
      <c r="A54" s="5990"/>
      <c r="B54" s="2092" t="s">
        <v>149</v>
      </c>
      <c r="C54" s="2972" t="s">
        <v>151</v>
      </c>
      <c r="D54" s="2980" t="s">
        <v>722</v>
      </c>
      <c r="E54" s="2842"/>
      <c r="F54" s="2973" t="s">
        <v>721</v>
      </c>
      <c r="G54" s="370"/>
      <c r="H54" s="323"/>
      <c r="I54" s="677"/>
      <c r="J54" s="677"/>
      <c r="K54" s="1765"/>
      <c r="L54" s="2349" t="s">
        <v>722</v>
      </c>
      <c r="M54" s="677"/>
      <c r="N54" s="2981"/>
      <c r="O54" s="2981"/>
      <c r="P54" s="483"/>
      <c r="Q54" s="2577" t="s">
        <v>251</v>
      </c>
      <c r="R54" s="6020" t="s">
        <v>1047</v>
      </c>
      <c r="S54" s="6021"/>
      <c r="T54" s="6022"/>
      <c r="U54" s="2577" t="s">
        <v>251</v>
      </c>
      <c r="V54" s="2906"/>
      <c r="W54" s="1909"/>
      <c r="X54" s="370"/>
      <c r="Y54" s="370"/>
      <c r="Z54" s="370"/>
      <c r="AA54" s="370"/>
      <c r="AB54" s="2349"/>
      <c r="AC54" s="370"/>
      <c r="AD54" s="2474"/>
      <c r="AE54" s="1758"/>
      <c r="AF54" s="1693"/>
      <c r="AG54" s="1693"/>
      <c r="AH54" s="2982"/>
    </row>
    <row r="55" spans="1:34" ht="15.75">
      <c r="A55" s="6028" t="s">
        <v>745</v>
      </c>
      <c r="B55" s="2113" t="s">
        <v>283</v>
      </c>
      <c r="C55" s="2173" t="s">
        <v>1005</v>
      </c>
      <c r="D55" s="2976" t="s">
        <v>1014</v>
      </c>
      <c r="E55" s="2574" t="s">
        <v>251</v>
      </c>
      <c r="F55" s="2969" t="s">
        <v>721</v>
      </c>
      <c r="G55" s="1021"/>
      <c r="H55" s="461"/>
      <c r="I55" s="2574" t="s">
        <v>251</v>
      </c>
      <c r="J55" s="6004" t="s">
        <v>411</v>
      </c>
      <c r="K55" s="6005"/>
      <c r="L55" s="6006"/>
      <c r="M55" s="2970" t="s">
        <v>251</v>
      </c>
      <c r="N55" s="1021"/>
      <c r="O55" s="1021"/>
      <c r="P55" s="1021"/>
      <c r="Q55" s="1021"/>
      <c r="R55" s="1021"/>
      <c r="S55" s="1559" t="s">
        <v>717</v>
      </c>
      <c r="T55" s="1021"/>
      <c r="U55" s="1021"/>
      <c r="V55" s="1021"/>
      <c r="W55" s="425"/>
      <c r="X55" s="2971" t="s">
        <v>7</v>
      </c>
      <c r="Y55" s="1021"/>
      <c r="Z55" s="1559" t="s">
        <v>717</v>
      </c>
      <c r="AA55" s="1021"/>
      <c r="AB55" s="1021"/>
      <c r="AC55" s="1021"/>
      <c r="AD55" s="461"/>
      <c r="AE55" s="3671" t="s">
        <v>251</v>
      </c>
      <c r="AF55" s="6004" t="s">
        <v>60</v>
      </c>
      <c r="AG55" s="6005"/>
      <c r="AH55" s="6032"/>
    </row>
    <row r="56" spans="1:34" ht="15.75">
      <c r="A56" s="6029"/>
      <c r="B56" s="2116" t="s">
        <v>95</v>
      </c>
      <c r="C56" s="2116" t="s">
        <v>620</v>
      </c>
      <c r="D56" s="2977" t="s">
        <v>1014</v>
      </c>
      <c r="E56" s="3664" t="s">
        <v>251</v>
      </c>
      <c r="F56" s="2895" t="s">
        <v>721</v>
      </c>
      <c r="G56" s="3585"/>
      <c r="H56" s="2"/>
      <c r="I56" s="3664" t="s">
        <v>251</v>
      </c>
      <c r="J56" s="4959" t="s">
        <v>411</v>
      </c>
      <c r="K56" s="4960"/>
      <c r="L56" s="4960"/>
      <c r="M56" s="4961"/>
      <c r="N56" s="4449" t="s">
        <v>1060</v>
      </c>
      <c r="O56" s="4450"/>
      <c r="P56" s="4757"/>
      <c r="Q56" s="2832" t="s">
        <v>251</v>
      </c>
      <c r="R56" s="362"/>
      <c r="S56" s="362"/>
      <c r="T56" s="3585" t="s">
        <v>720</v>
      </c>
      <c r="U56" s="362"/>
      <c r="V56" s="362"/>
      <c r="W56" s="795"/>
      <c r="X56" s="904" t="s">
        <v>7</v>
      </c>
      <c r="Y56" s="380"/>
      <c r="Z56" s="3585"/>
      <c r="AA56" s="363"/>
      <c r="AB56" s="363"/>
      <c r="AC56" s="3585" t="s">
        <v>720</v>
      </c>
      <c r="AD56" s="2"/>
      <c r="AE56" s="3628" t="s">
        <v>251</v>
      </c>
      <c r="AF56" s="4959" t="s">
        <v>60</v>
      </c>
      <c r="AG56" s="4960"/>
      <c r="AH56" s="5979"/>
    </row>
    <row r="57" spans="1:34" ht="15.75">
      <c r="A57" s="6029"/>
      <c r="B57" s="2784" t="s">
        <v>127</v>
      </c>
      <c r="C57" s="2784" t="s">
        <v>128</v>
      </c>
      <c r="D57" s="2977" t="s">
        <v>1014</v>
      </c>
      <c r="E57" s="3664" t="s">
        <v>251</v>
      </c>
      <c r="F57" s="2434" t="s">
        <v>720</v>
      </c>
      <c r="G57" s="2"/>
      <c r="H57" s="2"/>
      <c r="I57" s="3664" t="s">
        <v>251</v>
      </c>
      <c r="J57" s="4959" t="s">
        <v>411</v>
      </c>
      <c r="K57" s="4960"/>
      <c r="L57" s="4960"/>
      <c r="M57" s="2843" t="s">
        <v>251</v>
      </c>
      <c r="N57" s="364"/>
      <c r="O57" s="362"/>
      <c r="P57" s="362"/>
      <c r="Q57" s="362"/>
      <c r="R57" s="362"/>
      <c r="S57" s="362"/>
      <c r="T57" s="362"/>
      <c r="U57" s="3585" t="s">
        <v>722</v>
      </c>
      <c r="V57" s="362"/>
      <c r="W57" s="795"/>
      <c r="X57" s="904" t="s">
        <v>7</v>
      </c>
      <c r="Y57" s="362"/>
      <c r="Z57" s="362"/>
      <c r="AA57" s="3585" t="s">
        <v>722</v>
      </c>
      <c r="AB57" s="362"/>
      <c r="AC57" s="362"/>
      <c r="AD57" s="2"/>
      <c r="AE57" s="3682" t="s">
        <v>251</v>
      </c>
      <c r="AF57" s="6030" t="s">
        <v>60</v>
      </c>
      <c r="AG57" s="4260"/>
      <c r="AH57" s="6031"/>
    </row>
    <row r="58" spans="1:34" ht="15.75">
      <c r="A58" s="6029"/>
      <c r="B58" s="2784" t="s">
        <v>602</v>
      </c>
      <c r="C58" s="2784" t="s">
        <v>660</v>
      </c>
      <c r="D58" s="2977" t="s">
        <v>1014</v>
      </c>
      <c r="E58" s="2577" t="s">
        <v>251</v>
      </c>
      <c r="F58" s="2895" t="s">
        <v>721</v>
      </c>
      <c r="G58" s="3585" t="s">
        <v>722</v>
      </c>
      <c r="H58" s="2"/>
      <c r="I58" s="2577" t="s">
        <v>251</v>
      </c>
      <c r="J58" s="4959" t="s">
        <v>411</v>
      </c>
      <c r="K58" s="4960"/>
      <c r="L58" s="4960"/>
      <c r="M58" s="4961"/>
      <c r="N58" s="4449" t="s">
        <v>1060</v>
      </c>
      <c r="O58" s="4450"/>
      <c r="P58" s="4757"/>
      <c r="Q58" s="2832" t="s">
        <v>251</v>
      </c>
      <c r="R58" s="2"/>
      <c r="S58" s="2"/>
      <c r="T58" s="2"/>
      <c r="U58" s="2"/>
      <c r="V58" s="3585" t="s">
        <v>722</v>
      </c>
      <c r="W58" s="2"/>
      <c r="X58" s="2908"/>
      <c r="Y58" s="2"/>
      <c r="Z58" s="2"/>
      <c r="AA58" s="2"/>
      <c r="AB58" s="3585"/>
      <c r="AC58" s="2"/>
      <c r="AD58" s="590"/>
      <c r="AE58" s="2287"/>
      <c r="AF58" s="2923"/>
      <c r="AG58" s="2923"/>
      <c r="AH58" s="2978"/>
    </row>
    <row r="59" spans="1:34" ht="15.75">
      <c r="A59" s="6029"/>
      <c r="B59" s="2175" t="s">
        <v>81</v>
      </c>
      <c r="C59" s="2175" t="s">
        <v>396</v>
      </c>
      <c r="D59" s="2979" t="s">
        <v>1014</v>
      </c>
      <c r="E59" s="2575" t="s">
        <v>251</v>
      </c>
      <c r="F59" s="2895" t="s">
        <v>721</v>
      </c>
      <c r="G59" s="1029"/>
      <c r="H59" s="321"/>
      <c r="I59" s="2575" t="s">
        <v>251</v>
      </c>
      <c r="J59" s="5980" t="s">
        <v>411</v>
      </c>
      <c r="K59" s="4934"/>
      <c r="L59" s="4934"/>
      <c r="M59" s="2860" t="s">
        <v>251</v>
      </c>
      <c r="N59" s="364"/>
      <c r="O59" s="362"/>
      <c r="P59" s="362"/>
      <c r="Q59" s="2486"/>
      <c r="R59" s="2486"/>
      <c r="S59" s="2859" t="s">
        <v>720</v>
      </c>
      <c r="T59" s="2486"/>
      <c r="U59" s="2486"/>
      <c r="V59" s="2377"/>
      <c r="W59" s="375"/>
      <c r="X59" s="904" t="s">
        <v>7</v>
      </c>
      <c r="Y59" s="375"/>
      <c r="Z59" s="375"/>
      <c r="AA59" s="375"/>
      <c r="AB59" s="2703" t="s">
        <v>722</v>
      </c>
      <c r="AC59" s="375"/>
      <c r="AD59" s="375"/>
      <c r="AE59" s="2563" t="s">
        <v>251</v>
      </c>
      <c r="AF59" s="4952" t="s">
        <v>60</v>
      </c>
      <c r="AG59" s="4953"/>
      <c r="AH59" s="6027"/>
    </row>
    <row r="60" spans="1:34" ht="15.75">
      <c r="A60" s="6014" t="s">
        <v>751</v>
      </c>
      <c r="B60" s="2786" t="s">
        <v>95</v>
      </c>
      <c r="C60" s="2173" t="s">
        <v>303</v>
      </c>
      <c r="D60" s="2977" t="s">
        <v>1014</v>
      </c>
      <c r="E60" s="6023" t="s">
        <v>1009</v>
      </c>
      <c r="F60" s="6024"/>
      <c r="G60" s="6024"/>
      <c r="H60" s="6025"/>
      <c r="I60" s="2761" t="s">
        <v>251</v>
      </c>
      <c r="J60" s="2900" t="s">
        <v>1050</v>
      </c>
      <c r="K60" s="799"/>
      <c r="L60" s="799"/>
      <c r="M60" s="1532"/>
      <c r="N60" s="961"/>
      <c r="O60" s="961"/>
      <c r="P60" s="961"/>
      <c r="Q60" s="1021"/>
      <c r="R60" s="1559"/>
      <c r="S60" s="1021"/>
      <c r="T60" s="1445"/>
      <c r="U60" s="1445"/>
      <c r="V60" s="1445"/>
      <c r="W60" s="1021"/>
      <c r="X60" s="1021"/>
      <c r="Y60" s="1021"/>
      <c r="Z60" s="1021"/>
      <c r="AA60" s="6016" t="s">
        <v>1061</v>
      </c>
      <c r="AB60" s="4523"/>
      <c r="AC60" s="4523"/>
      <c r="AD60" s="4523"/>
      <c r="AE60" s="4523"/>
      <c r="AF60" s="4523"/>
      <c r="AG60" s="4523"/>
      <c r="AH60" s="5324"/>
    </row>
    <row r="61" spans="1:34" ht="15.75" customHeight="1">
      <c r="A61" s="6015"/>
      <c r="B61" s="2787" t="s">
        <v>155</v>
      </c>
      <c r="C61" s="2175" t="s">
        <v>532</v>
      </c>
      <c r="D61" s="1027"/>
      <c r="E61" s="1029"/>
      <c r="F61" s="2896" t="s">
        <v>721</v>
      </c>
      <c r="G61" s="1029"/>
      <c r="H61" s="1029" t="s">
        <v>722</v>
      </c>
      <c r="I61" s="1029"/>
      <c r="J61" s="1029"/>
      <c r="K61" s="1029"/>
      <c r="L61" s="1029"/>
      <c r="M61" s="1029"/>
      <c r="N61" s="1029"/>
      <c r="O61" s="1029"/>
      <c r="P61" s="966"/>
      <c r="Q61" s="1029"/>
      <c r="R61" s="1029"/>
      <c r="S61" s="1029"/>
      <c r="T61" s="1029"/>
      <c r="U61" s="2564" t="s">
        <v>251</v>
      </c>
      <c r="V61" s="5317" t="s">
        <v>754</v>
      </c>
      <c r="W61" s="5318"/>
      <c r="X61" s="5319"/>
      <c r="Y61" s="2564" t="s">
        <v>251</v>
      </c>
      <c r="Z61" s="1029"/>
      <c r="AA61" s="1029"/>
      <c r="AB61" s="1029"/>
      <c r="AC61" s="1029"/>
      <c r="AD61" s="2564" t="s">
        <v>251</v>
      </c>
      <c r="AE61" s="5317" t="s">
        <v>754</v>
      </c>
      <c r="AF61" s="5318"/>
      <c r="AG61" s="5319"/>
      <c r="AH61" s="2564" t="s">
        <v>251</v>
      </c>
    </row>
  </sheetData>
  <mergeCells count="73">
    <mergeCell ref="A60:A61"/>
    <mergeCell ref="AA60:AH60"/>
    <mergeCell ref="AF44:AH44"/>
    <mergeCell ref="AF45:AH45"/>
    <mergeCell ref="P53:AD53"/>
    <mergeCell ref="J51:L51"/>
    <mergeCell ref="R54:T54"/>
    <mergeCell ref="E60:H60"/>
    <mergeCell ref="J55:L55"/>
    <mergeCell ref="J58:M58"/>
    <mergeCell ref="A51:A54"/>
    <mergeCell ref="A47:A50"/>
    <mergeCell ref="AF59:AH59"/>
    <mergeCell ref="A55:A59"/>
    <mergeCell ref="AF57:AH57"/>
    <mergeCell ref="AF55:AH55"/>
    <mergeCell ref="L47:N47"/>
    <mergeCell ref="D36:AH36"/>
    <mergeCell ref="D35:H35"/>
    <mergeCell ref="V39:AD39"/>
    <mergeCell ref="N37:Q37"/>
    <mergeCell ref="X47:AC47"/>
    <mergeCell ref="J41:T41"/>
    <mergeCell ref="AA44:AE44"/>
    <mergeCell ref="X18:AD18"/>
    <mergeCell ref="AB27:AD27"/>
    <mergeCell ref="S31:AG31"/>
    <mergeCell ref="X17:AC17"/>
    <mergeCell ref="R29:T29"/>
    <mergeCell ref="R25:T25"/>
    <mergeCell ref="R18:T18"/>
    <mergeCell ref="AC28:AF28"/>
    <mergeCell ref="AF10:AH10"/>
    <mergeCell ref="J14:U14"/>
    <mergeCell ref="A11:C11"/>
    <mergeCell ref="A12:C12"/>
    <mergeCell ref="A13:C13"/>
    <mergeCell ref="A14:C14"/>
    <mergeCell ref="X14:AC14"/>
    <mergeCell ref="A1:C1"/>
    <mergeCell ref="D1:AH1"/>
    <mergeCell ref="A2:C2"/>
    <mergeCell ref="A3:C3"/>
    <mergeCell ref="A4:C4"/>
    <mergeCell ref="A9:C9"/>
    <mergeCell ref="A10:C10"/>
    <mergeCell ref="A17:C17"/>
    <mergeCell ref="A22:A24"/>
    <mergeCell ref="A25:A29"/>
    <mergeCell ref="A15:C15"/>
    <mergeCell ref="A16:C16"/>
    <mergeCell ref="A5:C5"/>
    <mergeCell ref="R5:U5"/>
    <mergeCell ref="A6:C6"/>
    <mergeCell ref="A7:C7"/>
    <mergeCell ref="A8:C8"/>
    <mergeCell ref="K5:Q5"/>
    <mergeCell ref="V61:X61"/>
    <mergeCell ref="AE61:AG61"/>
    <mergeCell ref="AB29:AH29"/>
    <mergeCell ref="J24:L24"/>
    <mergeCell ref="J19:K19"/>
    <mergeCell ref="J20:L20"/>
    <mergeCell ref="M24:U24"/>
    <mergeCell ref="R23:T23"/>
    <mergeCell ref="L49:N49"/>
    <mergeCell ref="AF56:AH56"/>
    <mergeCell ref="J57:L57"/>
    <mergeCell ref="J59:L59"/>
    <mergeCell ref="J56:M56"/>
    <mergeCell ref="N56:P56"/>
    <mergeCell ref="N58:P58"/>
    <mergeCell ref="N33:Q33"/>
  </mergeCells>
  <printOptions verticalCentered="1"/>
  <pageMargins left="0.25" right="0.25" top="0.75" bottom="0.75" header="0.3" footer="0.3"/>
  <pageSetup scale="42" fitToHeight="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5AD4-C154-4482-96B3-2B1E5A41E243}">
  <sheetPr>
    <pageSetUpPr fitToPage="1"/>
  </sheetPr>
  <dimension ref="A1:AY64"/>
  <sheetViews>
    <sheetView workbookViewId="0">
      <pane ySplit="4" topLeftCell="A44" activePane="bottomLeft" state="frozen"/>
      <selection pane="bottomLeft" activeCell="AF44" sqref="AF44:AG44"/>
    </sheetView>
  </sheetViews>
  <sheetFormatPr defaultRowHeight="15"/>
  <cols>
    <col min="3" max="3" width="11.5703125" bestFit="1" customWidth="1"/>
    <col min="25" max="25" width="10.140625" customWidth="1"/>
  </cols>
  <sheetData>
    <row r="1" spans="1:33">
      <c r="A1" s="4375" t="s">
        <v>29</v>
      </c>
      <c r="B1" s="4375"/>
      <c r="C1" s="4375"/>
      <c r="D1" s="4376" t="s">
        <v>1062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</row>
    <row r="2" spans="1:33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1">
        <v>30</v>
      </c>
    </row>
    <row r="3" spans="1:33">
      <c r="A3" s="4378" t="s">
        <v>32</v>
      </c>
      <c r="B3" s="4378"/>
      <c r="C3" s="4378"/>
      <c r="D3" s="3703" t="s">
        <v>35</v>
      </c>
      <c r="E3" s="19" t="s">
        <v>36</v>
      </c>
      <c r="F3" s="19" t="s">
        <v>36</v>
      </c>
      <c r="G3" s="3703" t="s">
        <v>37</v>
      </c>
      <c r="H3" s="3703" t="s">
        <v>33</v>
      </c>
      <c r="I3" s="3703" t="s">
        <v>34</v>
      </c>
      <c r="J3" s="3703" t="s">
        <v>33</v>
      </c>
      <c r="K3" s="19" t="s">
        <v>35</v>
      </c>
      <c r="L3" s="19" t="s">
        <v>36</v>
      </c>
      <c r="M3" s="19" t="s">
        <v>36</v>
      </c>
      <c r="N3" s="19" t="s">
        <v>37</v>
      </c>
      <c r="O3" s="3703" t="s">
        <v>33</v>
      </c>
      <c r="P3" s="3703" t="s">
        <v>34</v>
      </c>
      <c r="Q3" s="40" t="s">
        <v>33</v>
      </c>
      <c r="R3" s="3703" t="s">
        <v>35</v>
      </c>
      <c r="S3" s="19" t="s">
        <v>36</v>
      </c>
      <c r="T3" s="19" t="s">
        <v>36</v>
      </c>
      <c r="U3" s="3703" t="s">
        <v>37</v>
      </c>
      <c r="V3" s="41" t="s">
        <v>33</v>
      </c>
      <c r="W3" s="41" t="s">
        <v>34</v>
      </c>
      <c r="X3" s="41" t="s">
        <v>33</v>
      </c>
      <c r="Y3" s="41" t="s">
        <v>35</v>
      </c>
      <c r="Z3" s="19" t="s">
        <v>36</v>
      </c>
      <c r="AA3" s="19" t="s">
        <v>36</v>
      </c>
      <c r="AB3" s="3703" t="s">
        <v>37</v>
      </c>
      <c r="AC3" s="41" t="s">
        <v>33</v>
      </c>
      <c r="AD3" s="41" t="s">
        <v>34</v>
      </c>
      <c r="AE3" s="2830" t="s">
        <v>33</v>
      </c>
      <c r="AF3" s="2830" t="s">
        <v>35</v>
      </c>
      <c r="AG3" s="19" t="s">
        <v>36</v>
      </c>
    </row>
    <row r="4" spans="1:33" ht="15.75">
      <c r="A4" s="4249" t="s">
        <v>38</v>
      </c>
      <c r="B4" s="4249"/>
      <c r="C4" s="4249"/>
      <c r="D4" s="981"/>
      <c r="E4" s="973"/>
      <c r="F4" s="800"/>
      <c r="G4" s="800"/>
      <c r="H4" s="800"/>
      <c r="I4" s="800"/>
      <c r="J4" s="851"/>
      <c r="K4" s="851"/>
      <c r="L4" s="851"/>
      <c r="M4" s="800"/>
      <c r="N4" s="2825" t="s">
        <v>39</v>
      </c>
      <c r="O4" s="425"/>
      <c r="P4" s="425"/>
      <c r="Q4" s="973"/>
      <c r="R4" s="973"/>
      <c r="S4" s="973"/>
      <c r="T4" s="800"/>
      <c r="U4" s="973"/>
      <c r="V4" s="973"/>
      <c r="W4" s="973"/>
      <c r="X4" s="973"/>
      <c r="Y4" s="2993" t="s">
        <v>1063</v>
      </c>
      <c r="Z4" s="800"/>
      <c r="AA4" s="982"/>
      <c r="AB4" s="982"/>
      <c r="AC4" s="982"/>
      <c r="AD4" s="2995" t="s">
        <v>1064</v>
      </c>
      <c r="AE4" s="4249" t="s">
        <v>663</v>
      </c>
      <c r="AF4" s="4611"/>
      <c r="AG4" s="1000"/>
    </row>
    <row r="5" spans="1:33">
      <c r="A5" s="4061" t="s">
        <v>961</v>
      </c>
      <c r="B5" s="4062"/>
      <c r="C5" s="4459"/>
      <c r="D5" s="861"/>
      <c r="E5" s="380"/>
      <c r="F5" s="537"/>
      <c r="G5" s="537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380"/>
      <c r="Z5" s="380"/>
      <c r="AA5" s="380"/>
      <c r="AB5" s="380"/>
      <c r="AC5" s="380"/>
      <c r="AD5" s="380"/>
      <c r="AE5" s="380"/>
      <c r="AF5" s="380"/>
      <c r="AG5" s="901"/>
    </row>
    <row r="6" spans="1:33">
      <c r="A6" s="4265" t="s">
        <v>407</v>
      </c>
      <c r="B6" s="4266"/>
      <c r="C6" s="5046"/>
      <c r="D6" s="935"/>
      <c r="E6" s="779"/>
      <c r="F6" s="779"/>
      <c r="G6" s="779"/>
      <c r="H6" s="779"/>
      <c r="I6" s="779"/>
      <c r="J6" s="779"/>
      <c r="K6" s="779"/>
      <c r="L6" s="779"/>
      <c r="M6" s="779"/>
      <c r="N6" s="779"/>
      <c r="O6" s="779"/>
      <c r="P6" s="779"/>
      <c r="Q6" s="779"/>
      <c r="R6" s="779"/>
      <c r="S6" s="779"/>
      <c r="T6" s="779"/>
      <c r="U6" s="380"/>
      <c r="V6" s="380"/>
      <c r="W6" s="380"/>
      <c r="X6" s="380"/>
      <c r="Y6" s="380"/>
      <c r="Z6" s="380"/>
      <c r="AA6" s="380"/>
      <c r="AB6" s="779"/>
      <c r="AC6" s="380"/>
      <c r="AD6" s="380"/>
      <c r="AE6" s="380"/>
      <c r="AF6" s="380"/>
      <c r="AG6" s="901"/>
    </row>
    <row r="7" spans="1:33">
      <c r="A7" s="4533" t="s">
        <v>702</v>
      </c>
      <c r="B7" s="4533"/>
      <c r="C7" s="5984"/>
      <c r="D7" s="963"/>
      <c r="E7" s="537"/>
      <c r="F7" s="537"/>
      <c r="G7" s="537"/>
      <c r="H7" s="537"/>
      <c r="I7" s="537"/>
      <c r="J7" s="537"/>
      <c r="K7" s="537"/>
      <c r="L7" s="374"/>
      <c r="M7" s="374"/>
      <c r="N7" s="374"/>
      <c r="O7" s="374"/>
      <c r="P7" s="374"/>
      <c r="Q7" s="779"/>
      <c r="R7" s="779"/>
      <c r="S7" s="779"/>
      <c r="T7" s="779"/>
      <c r="U7" s="779"/>
      <c r="V7" s="779"/>
      <c r="W7" s="779"/>
      <c r="X7" s="779"/>
      <c r="Y7" s="779"/>
      <c r="Z7" s="779"/>
      <c r="AA7" s="779"/>
      <c r="AB7" s="779"/>
      <c r="AC7" s="779" t="s">
        <v>1065</v>
      </c>
      <c r="AD7" s="779"/>
      <c r="AE7" s="779"/>
      <c r="AF7" s="779"/>
      <c r="AG7" s="932"/>
    </row>
    <row r="8" spans="1:33">
      <c r="A8" s="4391" t="s">
        <v>225</v>
      </c>
      <c r="B8" s="4391"/>
      <c r="C8" s="4391"/>
      <c r="D8" s="861"/>
      <c r="E8" s="380"/>
      <c r="F8" s="380"/>
      <c r="G8" s="779"/>
      <c r="H8" s="779"/>
      <c r="I8" s="779"/>
      <c r="J8" s="779"/>
      <c r="K8" s="779"/>
      <c r="L8" s="779"/>
      <c r="M8" s="779"/>
      <c r="N8" s="380"/>
      <c r="O8" s="380"/>
      <c r="P8" s="779"/>
      <c r="Q8" s="779"/>
      <c r="R8" s="779"/>
      <c r="S8" s="779"/>
      <c r="T8" s="779"/>
      <c r="U8" s="779"/>
      <c r="V8" s="779"/>
      <c r="W8" s="779"/>
      <c r="X8" s="779"/>
      <c r="Y8" s="779"/>
      <c r="Z8" s="779"/>
      <c r="AA8" s="779"/>
      <c r="AB8" s="779"/>
      <c r="AC8" s="380"/>
      <c r="AD8" s="380"/>
      <c r="AE8" s="779"/>
      <c r="AF8" s="779"/>
      <c r="AG8" s="932"/>
    </row>
    <row r="9" spans="1:33">
      <c r="A9" s="4381" t="s">
        <v>272</v>
      </c>
      <c r="B9" s="4382"/>
      <c r="C9" s="4382"/>
      <c r="D9" s="935"/>
      <c r="E9" s="779"/>
      <c r="F9" s="779"/>
      <c r="G9" s="779"/>
      <c r="H9" s="779"/>
      <c r="I9" s="779"/>
      <c r="J9" s="779"/>
      <c r="K9" s="779"/>
      <c r="L9" s="779"/>
      <c r="M9" s="779"/>
      <c r="N9" s="779"/>
      <c r="O9" s="380"/>
      <c r="P9" s="779"/>
      <c r="Q9" s="779"/>
      <c r="R9" s="779"/>
      <c r="S9" s="779"/>
      <c r="T9" s="779"/>
      <c r="U9" s="6089" t="s">
        <v>272</v>
      </c>
      <c r="V9" s="6089"/>
      <c r="W9" s="6089"/>
      <c r="X9" s="6089"/>
      <c r="Y9" s="6089"/>
      <c r="Z9" s="6089"/>
      <c r="AA9" s="6089"/>
      <c r="AB9" s="6089"/>
      <c r="AC9" s="779"/>
      <c r="AD9" s="380"/>
      <c r="AE9" s="779"/>
      <c r="AF9" s="779"/>
      <c r="AG9" s="932"/>
    </row>
    <row r="10" spans="1:33">
      <c r="A10" s="4380" t="s">
        <v>265</v>
      </c>
      <c r="B10" s="4380"/>
      <c r="C10" s="4380"/>
      <c r="D10" s="935"/>
      <c r="E10" s="779"/>
      <c r="F10" s="779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9"/>
      <c r="T10" s="779"/>
      <c r="U10" s="779"/>
      <c r="V10" s="779"/>
      <c r="W10" s="779"/>
      <c r="X10" s="779"/>
      <c r="Y10" s="779"/>
      <c r="Z10" s="779"/>
      <c r="AA10" s="779"/>
      <c r="AB10" s="779"/>
      <c r="AC10" s="779"/>
      <c r="AD10" s="380"/>
      <c r="AE10" s="779"/>
      <c r="AF10" s="779"/>
      <c r="AG10" s="932"/>
    </row>
    <row r="11" spans="1:33" ht="15.75">
      <c r="A11" s="6100" t="s">
        <v>60</v>
      </c>
      <c r="B11" s="5735"/>
      <c r="C11" s="5735"/>
      <c r="D11" s="4263" t="s">
        <v>1066</v>
      </c>
      <c r="E11" s="4264"/>
      <c r="F11" s="4264"/>
      <c r="G11" s="4264"/>
      <c r="H11" s="5374"/>
      <c r="I11" s="779"/>
      <c r="J11" s="779"/>
      <c r="K11" s="779"/>
      <c r="L11" s="779"/>
      <c r="M11" s="779"/>
      <c r="N11" s="779"/>
      <c r="O11" s="779"/>
      <c r="P11" s="779"/>
      <c r="Q11" s="779"/>
      <c r="R11" s="779"/>
      <c r="S11" s="779"/>
      <c r="T11" s="779"/>
      <c r="U11" s="780"/>
      <c r="V11" s="780"/>
      <c r="W11" s="780"/>
      <c r="X11" s="780"/>
      <c r="Y11" s="780"/>
      <c r="Z11" s="780"/>
      <c r="AA11" s="780"/>
      <c r="AB11" s="780"/>
      <c r="AC11" s="380"/>
      <c r="AD11" s="380"/>
      <c r="AE11" s="779"/>
      <c r="AF11" s="779"/>
      <c r="AG11" s="932"/>
    </row>
    <row r="12" spans="1:33">
      <c r="A12" s="4534" t="s">
        <v>315</v>
      </c>
      <c r="B12" s="4534"/>
      <c r="C12" s="4534"/>
      <c r="D12" s="935"/>
      <c r="E12" s="779"/>
      <c r="F12" s="779"/>
      <c r="G12" s="779"/>
      <c r="H12" s="779"/>
      <c r="I12" s="779"/>
      <c r="J12" s="779"/>
      <c r="K12" s="779"/>
      <c r="L12" s="779"/>
      <c r="M12" s="779"/>
      <c r="N12" s="779"/>
      <c r="O12" s="779"/>
      <c r="P12" s="779"/>
      <c r="Q12" s="779"/>
      <c r="R12" s="779"/>
      <c r="S12" s="779"/>
      <c r="T12" s="847"/>
      <c r="U12" s="2"/>
      <c r="V12" s="2"/>
      <c r="W12" s="2"/>
      <c r="X12" s="2"/>
      <c r="Y12" s="2"/>
      <c r="Z12" s="2"/>
      <c r="AA12" s="2"/>
      <c r="AB12" s="2"/>
      <c r="AC12" s="756"/>
      <c r="AD12" s="374"/>
      <c r="AE12" s="374"/>
      <c r="AF12" s="779"/>
      <c r="AG12" s="932"/>
    </row>
    <row r="13" spans="1:33">
      <c r="A13" s="4623" t="s">
        <v>63</v>
      </c>
      <c r="B13" s="4623"/>
      <c r="C13" s="4766"/>
      <c r="D13" s="935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847"/>
      <c r="U13" s="779"/>
      <c r="V13" s="779"/>
      <c r="W13" s="779"/>
      <c r="X13" s="779"/>
      <c r="Y13" s="779"/>
      <c r="Z13" s="779"/>
      <c r="AA13" s="779"/>
      <c r="AB13" s="779"/>
      <c r="AC13" s="756"/>
      <c r="AD13" s="380"/>
      <c r="AE13" s="779"/>
      <c r="AF13" s="779"/>
      <c r="AG13" s="932"/>
    </row>
    <row r="14" spans="1:33">
      <c r="A14" s="4765" t="s">
        <v>54</v>
      </c>
      <c r="B14" s="4765"/>
      <c r="C14" s="4765"/>
      <c r="D14" s="935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1817"/>
      <c r="U14" s="779"/>
      <c r="V14" s="779"/>
      <c r="W14" s="779"/>
      <c r="X14" s="779"/>
      <c r="Y14" s="779"/>
      <c r="Z14" s="779"/>
      <c r="AA14" s="779"/>
      <c r="AB14" s="779"/>
      <c r="AC14" s="756"/>
      <c r="AD14" s="380"/>
      <c r="AE14" s="779"/>
      <c r="AF14" s="779"/>
      <c r="AG14" s="932"/>
    </row>
    <row r="15" spans="1:33">
      <c r="A15" s="4360" t="s">
        <v>365</v>
      </c>
      <c r="B15" s="4360"/>
      <c r="C15" s="4360"/>
      <c r="D15" s="935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50"/>
      <c r="U15" s="778"/>
      <c r="V15" s="778"/>
      <c r="W15" s="778"/>
      <c r="X15" s="2388"/>
      <c r="Y15" s="778"/>
      <c r="Z15" s="778"/>
      <c r="AA15" s="778"/>
      <c r="AB15" s="778"/>
      <c r="AC15" s="380"/>
      <c r="AD15" s="380"/>
      <c r="AE15" s="779"/>
      <c r="AF15" s="779"/>
      <c r="AG15" s="932"/>
    </row>
    <row r="16" spans="1:33">
      <c r="A16" s="4763" t="s">
        <v>705</v>
      </c>
      <c r="B16" s="4763"/>
      <c r="C16" s="4764"/>
      <c r="D16" s="935"/>
      <c r="E16" s="779"/>
      <c r="F16" s="779"/>
      <c r="G16" s="779"/>
      <c r="H16" s="780"/>
      <c r="I16" s="780"/>
      <c r="J16" s="780"/>
      <c r="K16" s="780"/>
      <c r="L16" s="779"/>
      <c r="M16" s="779"/>
      <c r="N16" s="779"/>
      <c r="O16" s="779"/>
      <c r="P16" s="779"/>
      <c r="Q16" s="779"/>
      <c r="R16" s="779"/>
      <c r="S16" s="779"/>
      <c r="T16" s="750"/>
      <c r="U16" s="779"/>
      <c r="V16" s="779"/>
      <c r="W16" s="779"/>
      <c r="X16" s="779"/>
      <c r="Y16" s="779"/>
      <c r="Z16" s="779"/>
      <c r="AA16" s="779"/>
      <c r="AB16" s="779"/>
      <c r="AC16" s="380"/>
      <c r="AD16" s="374"/>
      <c r="AE16" s="374"/>
      <c r="AF16" s="779"/>
      <c r="AG16" s="932"/>
    </row>
    <row r="17" spans="1:51">
      <c r="A17" s="4827" t="s">
        <v>64</v>
      </c>
      <c r="B17" s="4827"/>
      <c r="C17" s="4827"/>
      <c r="D17" s="935"/>
      <c r="E17" s="779"/>
      <c r="F17" s="374"/>
      <c r="G17" s="930"/>
      <c r="H17" s="780"/>
      <c r="I17" s="6099" t="s">
        <v>65</v>
      </c>
      <c r="J17" s="6099"/>
      <c r="K17" s="779"/>
      <c r="L17" s="822"/>
      <c r="M17" s="779"/>
      <c r="N17" s="380"/>
      <c r="O17" s="852"/>
      <c r="P17" s="797"/>
      <c r="Q17" s="797"/>
      <c r="R17" s="780"/>
      <c r="S17" s="779"/>
      <c r="T17" s="779"/>
      <c r="U17" s="779"/>
      <c r="V17" s="780"/>
      <c r="W17" s="780"/>
      <c r="X17" s="780"/>
      <c r="Y17" s="779"/>
      <c r="Z17" s="779"/>
      <c r="AA17" s="779"/>
      <c r="AB17" s="779"/>
      <c r="AC17" s="380"/>
      <c r="AD17" s="380"/>
      <c r="AE17" s="779"/>
      <c r="AF17" s="779"/>
      <c r="AG17" s="932"/>
    </row>
    <row r="18" spans="1:51">
      <c r="A18" s="6094" t="s">
        <v>1067</v>
      </c>
      <c r="B18" s="6095"/>
      <c r="C18" s="6096"/>
      <c r="D18" s="935"/>
      <c r="E18" s="779"/>
      <c r="F18" s="374"/>
      <c r="G18" s="930"/>
      <c r="H18" s="6097" t="s">
        <v>1068</v>
      </c>
      <c r="I18" s="6097"/>
      <c r="J18" s="6097"/>
      <c r="K18" s="2844"/>
      <c r="L18" s="779"/>
      <c r="M18" s="779"/>
      <c r="N18" s="535"/>
      <c r="O18" s="2"/>
      <c r="P18" s="2"/>
      <c r="Q18" s="2"/>
      <c r="R18" s="2"/>
      <c r="S18" s="822"/>
      <c r="T18" s="779"/>
      <c r="U18" s="847"/>
      <c r="V18" s="780"/>
      <c r="W18" s="780"/>
      <c r="X18" s="780"/>
      <c r="Y18" s="822"/>
      <c r="Z18" s="779"/>
      <c r="AA18" s="779"/>
      <c r="AB18" s="779"/>
      <c r="AC18" s="380"/>
      <c r="AD18" s="380"/>
      <c r="AE18" s="779"/>
      <c r="AF18" s="779"/>
      <c r="AG18" s="932"/>
    </row>
    <row r="19" spans="1:51">
      <c r="A19" s="4405" t="s">
        <v>540</v>
      </c>
      <c r="B19" s="4529"/>
      <c r="C19" s="4530"/>
      <c r="D19" s="935"/>
      <c r="E19" s="779"/>
      <c r="F19" s="779"/>
      <c r="G19" s="779"/>
      <c r="H19" s="778"/>
      <c r="I19" s="778"/>
      <c r="J19" s="778"/>
      <c r="K19" s="779"/>
      <c r="L19" s="779"/>
      <c r="M19" s="374"/>
      <c r="N19" s="374"/>
      <c r="O19" s="795"/>
      <c r="P19" s="795"/>
      <c r="Q19" s="795"/>
      <c r="R19" s="795"/>
      <c r="S19" s="374"/>
      <c r="T19" s="374"/>
      <c r="U19" s="847"/>
      <c r="V19" s="4315" t="s">
        <v>1069</v>
      </c>
      <c r="W19" s="4315"/>
      <c r="X19" s="4315"/>
      <c r="Y19" s="822"/>
      <c r="Z19" s="779"/>
      <c r="AA19" s="779"/>
      <c r="AB19" s="779"/>
      <c r="AC19" s="380"/>
      <c r="AD19" s="380"/>
      <c r="AE19" s="779"/>
      <c r="AF19" s="779"/>
      <c r="AG19" s="932"/>
    </row>
    <row r="20" spans="1:51">
      <c r="A20" s="4399" t="s">
        <v>541</v>
      </c>
      <c r="B20" s="4316"/>
      <c r="C20" s="4531"/>
      <c r="D20" s="935"/>
      <c r="E20" s="779"/>
      <c r="F20" s="779"/>
      <c r="G20" s="779"/>
      <c r="H20" s="779"/>
      <c r="I20" s="779"/>
      <c r="J20" s="779"/>
      <c r="K20" s="779"/>
      <c r="L20" s="779"/>
      <c r="M20" s="779"/>
      <c r="N20" s="779"/>
      <c r="O20" s="779"/>
      <c r="P20" s="779"/>
      <c r="Q20" s="779"/>
      <c r="R20" s="779"/>
      <c r="S20" s="779"/>
      <c r="T20" s="779"/>
      <c r="U20" s="779"/>
      <c r="V20" s="778"/>
      <c r="W20" s="778"/>
      <c r="X20" s="778"/>
      <c r="Y20" s="779"/>
      <c r="Z20" s="779"/>
      <c r="AA20" s="779"/>
      <c r="AB20" s="779"/>
      <c r="AC20" s="779"/>
      <c r="AD20" s="779"/>
      <c r="AE20" s="779"/>
      <c r="AF20" s="779"/>
      <c r="AG20" s="779"/>
    </row>
    <row r="21" spans="1:51">
      <c r="A21" s="6085" t="s">
        <v>322</v>
      </c>
      <c r="B21" s="6086"/>
      <c r="C21" s="6086"/>
      <c r="D21" s="935"/>
      <c r="E21" s="779"/>
      <c r="F21" s="779"/>
      <c r="G21" s="780"/>
      <c r="H21" s="780"/>
      <c r="I21" s="780"/>
      <c r="J21" s="780"/>
      <c r="K21" s="779"/>
      <c r="L21" s="779"/>
      <c r="M21" s="779"/>
      <c r="N21" s="779"/>
      <c r="O21" s="779"/>
      <c r="P21" s="779"/>
      <c r="Q21" s="779"/>
      <c r="R21" s="779"/>
      <c r="S21" s="779"/>
      <c r="T21" s="779"/>
      <c r="U21" s="779"/>
      <c r="V21" s="779"/>
      <c r="W21" s="779"/>
      <c r="X21" s="779"/>
      <c r="Y21" s="779"/>
      <c r="Z21" s="779"/>
      <c r="AA21" s="779"/>
      <c r="AB21" s="779"/>
      <c r="AC21" s="779"/>
      <c r="AD21" s="779"/>
      <c r="AE21" s="779"/>
      <c r="AF21" s="779"/>
      <c r="AG21" s="779"/>
    </row>
    <row r="22" spans="1:51">
      <c r="A22" s="4356" t="s">
        <v>1070</v>
      </c>
      <c r="B22" s="4626"/>
      <c r="C22" s="4602"/>
      <c r="D22" s="936"/>
      <c r="E22" s="782"/>
      <c r="F22" s="782"/>
      <c r="G22" s="782"/>
      <c r="H22" s="782"/>
      <c r="I22" s="782"/>
      <c r="J22" s="782"/>
      <c r="K22" s="782"/>
      <c r="L22" s="6098" t="s">
        <v>1071</v>
      </c>
      <c r="M22" s="6098"/>
      <c r="N22" s="6098"/>
      <c r="O22" s="6033" t="s">
        <v>1072</v>
      </c>
      <c r="P22" s="6033"/>
      <c r="Q22" s="6033"/>
      <c r="R22" s="6033"/>
      <c r="S22" s="6034"/>
      <c r="T22" s="782"/>
      <c r="U22" s="782"/>
      <c r="V22" s="782"/>
      <c r="W22" s="782"/>
      <c r="X22" s="782"/>
      <c r="Y22" s="782"/>
      <c r="Z22" s="782"/>
      <c r="AA22" s="782"/>
      <c r="AB22" s="782"/>
      <c r="AC22" s="782"/>
      <c r="AD22" s="782"/>
      <c r="AE22" s="782"/>
      <c r="AF22" s="782"/>
      <c r="AG22" s="782"/>
    </row>
    <row r="23" spans="1:51" ht="15.75" customHeight="1">
      <c r="A23" s="2485" t="s">
        <v>66</v>
      </c>
      <c r="B23" s="2485" t="s">
        <v>67</v>
      </c>
      <c r="C23" s="2930" t="s">
        <v>458</v>
      </c>
      <c r="D23" s="793"/>
      <c r="E23" s="778"/>
      <c r="F23" s="781"/>
      <c r="G23" s="785"/>
      <c r="H23" s="778"/>
      <c r="I23" s="6042" t="s">
        <v>65</v>
      </c>
      <c r="J23" s="6042"/>
      <c r="K23" s="785"/>
      <c r="L23" s="778"/>
      <c r="M23" s="778"/>
      <c r="N23" s="778"/>
      <c r="O23" s="785"/>
      <c r="P23" s="785"/>
      <c r="Q23" s="785"/>
      <c r="R23" s="785"/>
      <c r="T23" s="822"/>
      <c r="U23" s="822"/>
      <c r="V23" s="822"/>
      <c r="W23" s="822"/>
      <c r="X23" s="822"/>
      <c r="Y23" s="778"/>
      <c r="Z23" s="778"/>
      <c r="AA23" s="778"/>
      <c r="AB23" s="778"/>
      <c r="AC23" s="779" t="s">
        <v>1065</v>
      </c>
      <c r="AD23" s="778"/>
      <c r="AE23" s="778"/>
      <c r="AF23" s="778"/>
      <c r="AG23" s="805"/>
      <c r="AH23" s="778"/>
    </row>
    <row r="24" spans="1:51" ht="15.75" customHeight="1">
      <c r="A24" s="1034" t="s">
        <v>73</v>
      </c>
      <c r="B24" s="1034" t="s">
        <v>67</v>
      </c>
      <c r="C24" s="927" t="s">
        <v>714</v>
      </c>
      <c r="D24" s="778"/>
      <c r="E24" s="778"/>
      <c r="F24" s="778"/>
      <c r="G24" s="778"/>
      <c r="H24" s="778"/>
      <c r="I24" s="6042" t="s">
        <v>65</v>
      </c>
      <c r="J24" s="6042"/>
      <c r="K24" s="779"/>
      <c r="L24" s="779"/>
      <c r="M24" s="779"/>
      <c r="N24" s="847"/>
      <c r="O24" s="2"/>
      <c r="P24" s="2"/>
      <c r="Q24" s="2"/>
      <c r="R24" s="2"/>
      <c r="S24" s="822"/>
      <c r="T24" s="822"/>
      <c r="U24" s="822"/>
      <c r="V24" s="822"/>
      <c r="W24" s="822"/>
      <c r="X24" s="822"/>
      <c r="Y24" s="822"/>
      <c r="Z24" s="779"/>
      <c r="AA24" s="779"/>
      <c r="AB24" s="778"/>
      <c r="AC24" s="779" t="s">
        <v>1065</v>
      </c>
      <c r="AD24" s="778"/>
      <c r="AE24" s="778"/>
      <c r="AF24" s="778"/>
      <c r="AG24" s="805"/>
    </row>
    <row r="25" spans="1:51" s="1704" customFormat="1" ht="15.75" customHeight="1">
      <c r="A25" s="1417" t="s">
        <v>599</v>
      </c>
      <c r="B25" s="2823" t="s">
        <v>543</v>
      </c>
      <c r="C25" s="2796" t="s">
        <v>544</v>
      </c>
      <c r="D25" s="2384"/>
      <c r="E25" s="778"/>
      <c r="F25" s="2385"/>
      <c r="G25" s="2385"/>
      <c r="H25" s="1650"/>
      <c r="I25" s="2385"/>
      <c r="J25" s="2385"/>
      <c r="K25" s="2385"/>
      <c r="L25" s="2385"/>
      <c r="M25" s="2385"/>
      <c r="N25" s="2385"/>
      <c r="O25" s="1650"/>
      <c r="P25" s="1650"/>
      <c r="Q25" s="1650"/>
      <c r="R25" s="1650"/>
      <c r="S25" s="2385"/>
      <c r="T25" s="2385"/>
      <c r="U25" s="2385"/>
      <c r="V25" s="2385"/>
      <c r="W25" s="2385"/>
      <c r="X25" s="2385"/>
      <c r="Y25" s="2385"/>
      <c r="Z25" s="2385"/>
      <c r="AA25" s="2385"/>
      <c r="AB25" s="2385"/>
      <c r="AC25" s="779" t="s">
        <v>1065</v>
      </c>
      <c r="AD25" s="2385"/>
      <c r="AE25" s="2385"/>
      <c r="AF25" s="2385"/>
      <c r="AG25" s="324"/>
      <c r="AH25"/>
    </row>
    <row r="26" spans="1:51">
      <c r="A26" s="3688" t="s">
        <v>84</v>
      </c>
      <c r="B26" s="1417" t="s">
        <v>85</v>
      </c>
      <c r="C26" s="1417" t="s">
        <v>716</v>
      </c>
      <c r="D26" s="965"/>
      <c r="E26" s="966"/>
      <c r="F26" s="966"/>
      <c r="G26" s="966"/>
      <c r="H26" s="966"/>
      <c r="I26" s="966"/>
      <c r="J26" s="966"/>
      <c r="K26" s="966"/>
      <c r="L26" s="966"/>
      <c r="M26" s="966"/>
      <c r="N26" s="968"/>
      <c r="O26" s="968"/>
      <c r="P26" s="966"/>
      <c r="Q26" s="1470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2920"/>
    </row>
    <row r="27" spans="1:51" s="323" customFormat="1" ht="15.75">
      <c r="A27" s="6088" t="s">
        <v>92</v>
      </c>
      <c r="B27" s="2824" t="s">
        <v>561</v>
      </c>
      <c r="C27" s="1471" t="s">
        <v>718</v>
      </c>
      <c r="D27" s="2918" t="s">
        <v>717</v>
      </c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1631" t="s">
        <v>717</v>
      </c>
      <c r="P27" s="3664" t="s">
        <v>251</v>
      </c>
      <c r="Q27" s="6036" t="s">
        <v>1073</v>
      </c>
      <c r="R27" s="6037"/>
      <c r="S27" s="3664" t="s">
        <v>251</v>
      </c>
      <c r="T27" s="778"/>
      <c r="U27" s="779"/>
      <c r="V27" s="1631" t="s">
        <v>717</v>
      </c>
      <c r="W27" s="779"/>
      <c r="X27" s="2918"/>
      <c r="Y27" s="847"/>
      <c r="Z27" s="785"/>
      <c r="AA27" s="785"/>
      <c r="AB27" s="785"/>
      <c r="AC27" s="778"/>
      <c r="AD27" s="6038" t="s">
        <v>482</v>
      </c>
      <c r="AE27" s="6092"/>
      <c r="AF27" s="6092"/>
      <c r="AG27" s="6093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 s="1324" customFormat="1" ht="15.75">
      <c r="A28" s="6083"/>
      <c r="B28" s="2790" t="s">
        <v>326</v>
      </c>
      <c r="C28" s="2791" t="s">
        <v>327</v>
      </c>
      <c r="D28" s="784"/>
      <c r="E28" s="780"/>
      <c r="F28" s="780"/>
      <c r="G28" s="780"/>
      <c r="H28" s="780"/>
      <c r="I28" s="2270" t="s">
        <v>720</v>
      </c>
      <c r="J28" s="779"/>
      <c r="K28" s="779"/>
      <c r="L28" s="779"/>
      <c r="M28" s="779"/>
      <c r="N28" s="779"/>
      <c r="O28" s="1631" t="s">
        <v>722</v>
      </c>
      <c r="P28" s="2577" t="s">
        <v>251</v>
      </c>
      <c r="Q28" s="6038" t="s">
        <v>1073</v>
      </c>
      <c r="R28" s="6039"/>
      <c r="S28" s="2577" t="s">
        <v>251</v>
      </c>
      <c r="T28" s="779"/>
      <c r="U28" s="1631" t="s">
        <v>720</v>
      </c>
      <c r="V28" s="779"/>
      <c r="W28" s="779"/>
      <c r="X28" s="779"/>
      <c r="Y28" s="847"/>
      <c r="Z28" s="4449" t="s">
        <v>1074</v>
      </c>
      <c r="AA28" s="4450"/>
      <c r="AB28" s="4450"/>
      <c r="AC28" s="4450"/>
      <c r="AD28" s="4450"/>
      <c r="AE28" s="4450"/>
      <c r="AF28" s="4450"/>
      <c r="AG28" s="4757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 spans="1:51" s="776" customFormat="1" ht="15.75">
      <c r="A29" s="6087"/>
      <c r="B29" s="2792" t="s">
        <v>606</v>
      </c>
      <c r="C29" s="1473" t="s">
        <v>98</v>
      </c>
      <c r="D29" s="2965"/>
      <c r="E29" s="2966"/>
      <c r="F29" s="2966"/>
      <c r="G29" s="2966"/>
      <c r="H29" s="2966"/>
      <c r="I29" s="2879"/>
      <c r="J29" s="782"/>
      <c r="K29" s="2252" t="s">
        <v>722</v>
      </c>
      <c r="L29" s="782"/>
      <c r="M29" s="782"/>
      <c r="N29" s="782"/>
      <c r="O29" s="848"/>
      <c r="P29" s="1427"/>
      <c r="Q29" s="1427"/>
      <c r="R29" s="1427"/>
      <c r="S29" s="1427"/>
      <c r="T29" s="1404"/>
      <c r="U29" s="782"/>
      <c r="V29" s="2252" t="s">
        <v>722</v>
      </c>
      <c r="W29" s="782"/>
      <c r="X29" s="782"/>
      <c r="Y29" s="782"/>
      <c r="Z29" s="823"/>
      <c r="AA29" s="823"/>
      <c r="AB29" s="823"/>
      <c r="AC29" s="778"/>
      <c r="AD29" s="2618" t="s">
        <v>720</v>
      </c>
      <c r="AE29" s="823"/>
      <c r="AF29" s="823"/>
      <c r="AG29" s="2713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 spans="1:51" ht="15.75" customHeight="1">
      <c r="A30" s="6082" t="s">
        <v>99</v>
      </c>
      <c r="B30" s="2485" t="s">
        <v>100</v>
      </c>
      <c r="C30" s="2481" t="s">
        <v>725</v>
      </c>
      <c r="D30" s="793"/>
      <c r="E30" s="778"/>
      <c r="F30" s="778"/>
      <c r="G30" s="3681" t="s">
        <v>251</v>
      </c>
      <c r="H30" s="6090" t="s">
        <v>1068</v>
      </c>
      <c r="I30" s="6091"/>
      <c r="J30" s="6077"/>
      <c r="K30" s="6036" t="s">
        <v>1075</v>
      </c>
      <c r="L30" s="6054"/>
      <c r="M30" s="6054"/>
      <c r="N30" s="6055"/>
      <c r="O30" s="2660" t="s">
        <v>251</v>
      </c>
      <c r="P30" s="2488"/>
      <c r="Q30" s="776"/>
      <c r="R30" s="776"/>
      <c r="S30" s="793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2995" t="s">
        <v>1064</v>
      </c>
      <c r="AE30" s="778"/>
      <c r="AF30" s="778"/>
      <c r="AG30" s="805"/>
    </row>
    <row r="31" spans="1:51" ht="15.75" customHeight="1">
      <c r="A31" s="6083"/>
      <c r="B31" s="1943" t="s">
        <v>95</v>
      </c>
      <c r="C31" s="927" t="s">
        <v>726</v>
      </c>
      <c r="D31" s="822"/>
      <c r="E31" s="779"/>
      <c r="F31" s="779"/>
      <c r="G31" s="779"/>
      <c r="H31" s="779"/>
      <c r="I31" s="6045" t="s">
        <v>65</v>
      </c>
      <c r="J31" s="6045"/>
      <c r="K31" s="1631" t="s">
        <v>717</v>
      </c>
      <c r="L31" s="779"/>
      <c r="M31" s="779"/>
      <c r="N31" s="779"/>
      <c r="O31" s="778"/>
      <c r="P31" s="1631"/>
      <c r="Q31" s="1631"/>
      <c r="R31" s="778"/>
      <c r="S31" s="779"/>
      <c r="T31" s="1631" t="s">
        <v>717</v>
      </c>
      <c r="U31" s="3664" t="s">
        <v>251</v>
      </c>
      <c r="V31" s="4315" t="s">
        <v>1069</v>
      </c>
      <c r="W31" s="4315"/>
      <c r="X31" s="4315"/>
      <c r="Y31" s="4207" t="s">
        <v>1076</v>
      </c>
      <c r="Z31" s="6049"/>
      <c r="AA31" s="6049"/>
      <c r="AB31" s="6049"/>
      <c r="AC31" s="4208"/>
      <c r="AD31" s="4208"/>
      <c r="AE31" s="4208"/>
      <c r="AF31" s="4209"/>
      <c r="AG31" s="3664" t="s">
        <v>251</v>
      </c>
    </row>
    <row r="32" spans="1:51" ht="15.75" customHeight="1">
      <c r="A32" s="6083"/>
      <c r="B32" s="1034" t="s">
        <v>95</v>
      </c>
      <c r="C32" s="927" t="s">
        <v>548</v>
      </c>
      <c r="D32" s="2914" t="s">
        <v>720</v>
      </c>
      <c r="E32" s="779"/>
      <c r="F32" s="779"/>
      <c r="G32" s="779"/>
      <c r="H32" s="779"/>
      <c r="I32" s="6035" t="s">
        <v>65</v>
      </c>
      <c r="J32" s="6035"/>
      <c r="K32" s="780"/>
      <c r="L32" s="780"/>
      <c r="M32" s="780"/>
      <c r="N32" s="780"/>
      <c r="O32" s="780"/>
      <c r="P32" s="780"/>
      <c r="Q32" s="780"/>
      <c r="R32" s="780"/>
      <c r="S32" s="780"/>
      <c r="T32" s="780"/>
      <c r="U32" s="780"/>
      <c r="V32" s="780"/>
      <c r="W32" s="2270" t="s">
        <v>720</v>
      </c>
      <c r="X32" s="780"/>
      <c r="Y32" s="783"/>
      <c r="Z32" s="1339"/>
      <c r="AA32" s="1339"/>
      <c r="AB32" s="1339"/>
      <c r="AC32" s="793"/>
      <c r="AD32" s="1631" t="s">
        <v>722</v>
      </c>
      <c r="AE32" s="779"/>
      <c r="AF32" s="779"/>
      <c r="AG32" s="804"/>
    </row>
    <row r="33" spans="1:33" ht="15.75" customHeight="1">
      <c r="A33" s="6083"/>
      <c r="B33" s="1034" t="s">
        <v>95</v>
      </c>
      <c r="C33" s="927" t="s">
        <v>738</v>
      </c>
      <c r="D33" s="2914"/>
      <c r="E33" s="779"/>
      <c r="F33" s="779"/>
      <c r="G33" s="779"/>
      <c r="H33" s="847"/>
      <c r="I33" s="6035" t="s">
        <v>65</v>
      </c>
      <c r="J33" s="6035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V33" s="2894"/>
      <c r="W33" s="2270" t="s">
        <v>717</v>
      </c>
      <c r="X33" s="2894"/>
      <c r="Y33" s="2894"/>
      <c r="Z33" s="2466"/>
      <c r="AA33" s="2466"/>
      <c r="AB33" s="2272" t="s">
        <v>717</v>
      </c>
      <c r="AC33" s="778"/>
      <c r="AD33" s="2995" t="s">
        <v>1064</v>
      </c>
      <c r="AE33" s="779"/>
      <c r="AF33" s="779"/>
      <c r="AG33" s="804"/>
    </row>
    <row r="34" spans="1:33" ht="15.75" customHeight="1">
      <c r="A34" s="6083"/>
      <c r="B34" s="1034" t="s">
        <v>106</v>
      </c>
      <c r="C34" s="927" t="s">
        <v>107</v>
      </c>
      <c r="D34" s="822"/>
      <c r="E34" s="779"/>
      <c r="F34" s="1631" t="s">
        <v>720</v>
      </c>
      <c r="G34" s="779"/>
      <c r="H34" s="779"/>
      <c r="I34" s="6042" t="s">
        <v>65</v>
      </c>
      <c r="J34" s="6042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V34" s="778"/>
      <c r="W34" s="778"/>
      <c r="X34" s="778"/>
      <c r="Y34" s="778"/>
      <c r="Z34" s="778"/>
      <c r="AA34" s="778"/>
      <c r="AB34" s="778"/>
      <c r="AC34" s="778"/>
      <c r="AD34" s="2995" t="s">
        <v>1064</v>
      </c>
      <c r="AE34" s="779"/>
      <c r="AF34" s="779"/>
      <c r="AG34" s="804"/>
    </row>
    <row r="35" spans="1:33" ht="15.75" customHeight="1">
      <c r="A35" s="6087"/>
      <c r="B35" s="1035" t="s">
        <v>108</v>
      </c>
      <c r="C35" s="2878" t="s">
        <v>109</v>
      </c>
      <c r="D35" s="5301" t="s">
        <v>1052</v>
      </c>
      <c r="E35" s="6040"/>
      <c r="F35" s="6040"/>
      <c r="G35" s="6040"/>
      <c r="H35" s="6040"/>
      <c r="I35" s="6040"/>
      <c r="J35" s="6040"/>
      <c r="K35" s="6040"/>
      <c r="L35" s="6040"/>
      <c r="M35" s="6040"/>
      <c r="N35" s="6040"/>
      <c r="O35" s="6040"/>
      <c r="P35" s="6040"/>
      <c r="Q35" s="6040"/>
      <c r="R35" s="6040"/>
      <c r="S35" s="6040"/>
      <c r="T35" s="6040"/>
      <c r="U35" s="6040"/>
      <c r="V35" s="6040"/>
      <c r="W35" s="6040"/>
      <c r="X35" s="6040"/>
      <c r="Y35" s="6041"/>
      <c r="Z35" s="780"/>
      <c r="AA35" s="780"/>
      <c r="AB35" s="780"/>
      <c r="AC35" s="1631"/>
      <c r="AD35" s="2995" t="s">
        <v>1064</v>
      </c>
      <c r="AE35" s="2270" t="s">
        <v>722</v>
      </c>
      <c r="AF35" s="780"/>
      <c r="AG35" s="806"/>
    </row>
    <row r="36" spans="1:33" ht="15.75">
      <c r="A36" s="6082" t="s">
        <v>110</v>
      </c>
      <c r="B36" s="2793" t="s">
        <v>283</v>
      </c>
      <c r="C36" s="2880" t="s">
        <v>201</v>
      </c>
      <c r="D36" s="1499"/>
      <c r="E36" s="937"/>
      <c r="F36" s="937"/>
      <c r="G36" s="937"/>
      <c r="H36" s="937"/>
      <c r="I36" s="937"/>
      <c r="J36" s="937"/>
      <c r="K36" s="937"/>
      <c r="L36" s="937"/>
      <c r="M36" s="937"/>
      <c r="N36" s="937"/>
      <c r="O36" s="937"/>
      <c r="P36" s="937"/>
      <c r="Q36" s="937"/>
      <c r="R36" s="937"/>
      <c r="S36" s="937"/>
      <c r="T36" s="937"/>
      <c r="U36" s="937"/>
      <c r="V36" s="937"/>
      <c r="W36" s="937"/>
      <c r="X36" s="937"/>
      <c r="Y36" s="937"/>
      <c r="Z36" s="937"/>
      <c r="AA36" s="937"/>
      <c r="AB36" s="937"/>
      <c r="AC36" s="937"/>
      <c r="AD36" s="2995" t="s">
        <v>1064</v>
      </c>
      <c r="AE36" s="937"/>
      <c r="AF36" s="937"/>
      <c r="AG36" s="1333"/>
    </row>
    <row r="37" spans="1:33" ht="15.75">
      <c r="A37" s="6082"/>
      <c r="B37" s="2793" t="s">
        <v>77</v>
      </c>
      <c r="C37" s="1103" t="s">
        <v>610</v>
      </c>
      <c r="D37" s="934"/>
      <c r="E37" s="778"/>
      <c r="F37" s="778"/>
      <c r="G37" s="778"/>
      <c r="H37" s="1631" t="s">
        <v>720</v>
      </c>
      <c r="I37" s="778"/>
      <c r="J37" s="778"/>
      <c r="K37" s="778"/>
      <c r="L37" s="778"/>
      <c r="M37" s="778"/>
      <c r="N37" s="778"/>
      <c r="O37" s="778"/>
      <c r="P37" s="778"/>
      <c r="Q37" s="778"/>
      <c r="R37" s="2248" t="s">
        <v>720</v>
      </c>
      <c r="S37" s="778"/>
      <c r="T37" s="778"/>
      <c r="U37" s="778"/>
      <c r="V37" s="778"/>
      <c r="W37" s="778"/>
      <c r="X37" s="2248" t="s">
        <v>720</v>
      </c>
      <c r="Y37" s="778"/>
      <c r="Z37" s="778"/>
      <c r="AA37" s="778"/>
      <c r="AB37" s="778"/>
      <c r="AC37" s="778"/>
      <c r="AD37" s="2995" t="s">
        <v>1064</v>
      </c>
      <c r="AE37" s="4419" t="s">
        <v>1077</v>
      </c>
      <c r="AF37" s="4468"/>
      <c r="AG37" s="4515"/>
    </row>
    <row r="38" spans="1:33" ht="15.75">
      <c r="A38" s="6083"/>
      <c r="B38" s="2789" t="s">
        <v>95</v>
      </c>
      <c r="C38" s="1372" t="s">
        <v>249</v>
      </c>
      <c r="D38" s="935"/>
      <c r="E38" s="779"/>
      <c r="F38" s="779"/>
      <c r="G38" s="1631" t="s">
        <v>720</v>
      </c>
      <c r="H38" s="779"/>
      <c r="I38" s="780"/>
      <c r="J38" s="780"/>
      <c r="K38" s="779"/>
      <c r="L38" s="779"/>
      <c r="M38" s="779"/>
      <c r="N38" s="779"/>
      <c r="O38" s="779"/>
      <c r="P38" s="779"/>
      <c r="Q38" s="779"/>
      <c r="R38" s="779"/>
      <c r="S38" s="1631" t="s">
        <v>720</v>
      </c>
      <c r="T38" s="779"/>
      <c r="U38" s="779"/>
      <c r="V38" s="779"/>
      <c r="W38" s="779"/>
      <c r="X38" s="779"/>
      <c r="Y38" s="779"/>
      <c r="Z38" s="779"/>
      <c r="AA38" s="779"/>
      <c r="AB38" s="1631" t="s">
        <v>720</v>
      </c>
      <c r="AC38" s="779"/>
      <c r="AD38" s="779"/>
      <c r="AE38" s="779"/>
      <c r="AF38" s="779"/>
      <c r="AG38" s="804"/>
    </row>
    <row r="39" spans="1:33">
      <c r="A39" s="6083"/>
      <c r="B39" s="1034" t="s">
        <v>113</v>
      </c>
      <c r="C39" s="1034" t="s">
        <v>116</v>
      </c>
      <c r="D39" s="935"/>
      <c r="E39" s="779"/>
      <c r="F39" s="1631" t="s">
        <v>722</v>
      </c>
      <c r="G39" s="779"/>
      <c r="H39" s="2932"/>
      <c r="I39" s="3600" t="s">
        <v>1078</v>
      </c>
      <c r="J39" s="2933"/>
      <c r="K39" s="822"/>
      <c r="L39" s="779"/>
      <c r="M39" s="779"/>
      <c r="N39" s="779"/>
      <c r="O39" s="1631" t="s">
        <v>720</v>
      </c>
      <c r="P39" s="779"/>
      <c r="Q39" s="779"/>
      <c r="R39" s="779"/>
      <c r="S39" s="779"/>
      <c r="T39" s="779"/>
      <c r="U39" s="779"/>
      <c r="V39" s="779"/>
      <c r="W39" s="779"/>
      <c r="X39" s="779"/>
      <c r="Y39" s="1631" t="s">
        <v>720</v>
      </c>
      <c r="Z39" s="779"/>
      <c r="AA39" s="779"/>
      <c r="AB39" s="779"/>
      <c r="AC39" s="779"/>
      <c r="AD39" s="779"/>
      <c r="AE39" s="779"/>
      <c r="AF39" s="779"/>
      <c r="AG39" s="804"/>
    </row>
    <row r="40" spans="1:33">
      <c r="A40" s="6083"/>
      <c r="B40" s="1034" t="s">
        <v>120</v>
      </c>
      <c r="C40" s="1034" t="s">
        <v>1079</v>
      </c>
      <c r="D40" s="935"/>
      <c r="E40" s="779"/>
      <c r="F40" s="1631"/>
      <c r="G40" s="779"/>
      <c r="H40" s="779"/>
      <c r="I40" s="2248" t="s">
        <v>717</v>
      </c>
      <c r="J40" s="778"/>
      <c r="K40" s="779"/>
      <c r="L40" s="779"/>
      <c r="M40" s="779"/>
      <c r="N40" s="779"/>
      <c r="O40" s="779"/>
      <c r="P40" s="1631" t="s">
        <v>717</v>
      </c>
      <c r="Q40" s="779"/>
      <c r="R40" s="779"/>
      <c r="S40" s="779"/>
      <c r="T40" s="779"/>
      <c r="U40" s="779"/>
      <c r="V40" s="1631" t="s">
        <v>717</v>
      </c>
      <c r="W40" s="779"/>
      <c r="X40" s="779"/>
      <c r="Y40" s="779"/>
      <c r="Z40" s="779"/>
      <c r="AA40" s="779"/>
      <c r="AB40" s="779"/>
      <c r="AC40" s="779"/>
      <c r="AD40" s="779"/>
      <c r="AE40" s="779"/>
      <c r="AF40" s="779"/>
      <c r="AG40" s="804"/>
    </row>
    <row r="41" spans="1:33">
      <c r="A41" s="6083"/>
      <c r="B41" s="1034" t="s">
        <v>122</v>
      </c>
      <c r="C41" s="1034" t="s">
        <v>553</v>
      </c>
      <c r="D41" s="935"/>
      <c r="E41" s="779"/>
      <c r="F41" s="779"/>
      <c r="G41" s="779"/>
      <c r="H41" s="779"/>
      <c r="I41" s="779"/>
      <c r="J41" s="1631" t="s">
        <v>720</v>
      </c>
      <c r="K41" s="779"/>
      <c r="L41" s="779"/>
      <c r="M41" s="779"/>
      <c r="N41" s="779"/>
      <c r="O41" s="779"/>
      <c r="P41" s="779"/>
      <c r="Q41" s="779"/>
      <c r="R41" s="1631" t="s">
        <v>722</v>
      </c>
      <c r="S41" s="779"/>
      <c r="T41" s="779"/>
      <c r="U41" s="779"/>
      <c r="V41" s="779"/>
      <c r="W41" s="779"/>
      <c r="X41" s="779"/>
      <c r="Y41" s="779"/>
      <c r="Z41" s="779"/>
      <c r="AA41" s="1631" t="s">
        <v>720</v>
      </c>
      <c r="AB41" s="779"/>
      <c r="AC41" s="779"/>
      <c r="AD41" s="779"/>
      <c r="AE41" s="779"/>
      <c r="AF41" s="779"/>
      <c r="AG41" s="804"/>
    </row>
    <row r="42" spans="1:33">
      <c r="A42" s="6083"/>
      <c r="B42" s="1034" t="s">
        <v>124</v>
      </c>
      <c r="C42" s="1034" t="s">
        <v>125</v>
      </c>
      <c r="D42" s="935"/>
      <c r="E42" s="1631" t="s">
        <v>722</v>
      </c>
      <c r="F42" s="779"/>
      <c r="G42" s="779"/>
      <c r="H42" s="779"/>
      <c r="I42" s="779"/>
      <c r="J42" s="779"/>
      <c r="K42" s="779"/>
      <c r="L42" s="779"/>
      <c r="M42" s="779"/>
      <c r="N42" s="779"/>
      <c r="O42" s="779"/>
      <c r="P42" s="779"/>
      <c r="Q42" s="779"/>
      <c r="R42" s="779"/>
      <c r="S42" s="779"/>
      <c r="T42" s="779"/>
      <c r="U42" s="779"/>
      <c r="V42" s="779"/>
      <c r="W42" s="779"/>
      <c r="X42" s="779"/>
      <c r="Y42" s="779"/>
      <c r="Z42" s="779"/>
      <c r="AA42" s="779"/>
      <c r="AB42" s="779"/>
      <c r="AC42" s="779"/>
      <c r="AD42" s="779"/>
      <c r="AE42" s="779"/>
      <c r="AF42" s="779"/>
      <c r="AG42" s="804"/>
    </row>
    <row r="43" spans="1:33">
      <c r="A43" s="6083"/>
      <c r="B43" s="1034" t="s">
        <v>124</v>
      </c>
      <c r="C43" s="1034" t="s">
        <v>733</v>
      </c>
      <c r="D43" s="935"/>
      <c r="E43" s="1631" t="s">
        <v>717</v>
      </c>
      <c r="F43" s="779"/>
      <c r="G43" s="779"/>
      <c r="H43" s="779"/>
      <c r="I43" s="779"/>
      <c r="J43" s="779"/>
      <c r="K43" s="779"/>
      <c r="L43" s="1631" t="s">
        <v>717</v>
      </c>
      <c r="M43" s="779"/>
      <c r="N43" s="779"/>
      <c r="O43" s="779"/>
      <c r="P43" s="779"/>
      <c r="Q43" s="779"/>
      <c r="R43" s="779"/>
      <c r="S43" s="779"/>
      <c r="T43" s="1631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1631" t="s">
        <v>717</v>
      </c>
      <c r="AG43" s="2322" t="s">
        <v>251</v>
      </c>
    </row>
    <row r="44" spans="1:33" ht="15.75">
      <c r="A44" s="6083"/>
      <c r="B44" s="1034" t="s">
        <v>655</v>
      </c>
      <c r="C44" s="2116" t="s">
        <v>693</v>
      </c>
      <c r="D44" s="935"/>
      <c r="E44" s="779"/>
      <c r="F44" s="779"/>
      <c r="G44" s="1631" t="s">
        <v>717</v>
      </c>
      <c r="H44" s="779"/>
      <c r="I44" s="779"/>
      <c r="J44" s="779"/>
      <c r="K44" s="779"/>
      <c r="L44" s="779"/>
      <c r="M44" s="779"/>
      <c r="N44" s="1631" t="s">
        <v>717</v>
      </c>
      <c r="O44" s="779"/>
      <c r="P44" s="779"/>
      <c r="Q44" s="779"/>
      <c r="R44" s="779"/>
      <c r="S44" s="779"/>
      <c r="T44" s="1631"/>
      <c r="U44" s="779"/>
      <c r="V44" s="779"/>
      <c r="W44" s="779"/>
      <c r="X44" s="779"/>
      <c r="Y44" s="779"/>
      <c r="Z44" s="1631" t="s">
        <v>717</v>
      </c>
      <c r="AA44" s="779"/>
      <c r="AB44" s="779"/>
      <c r="AC44" s="779"/>
      <c r="AD44" s="779"/>
      <c r="AE44" s="779"/>
      <c r="AF44" s="779"/>
      <c r="AG44" s="2587"/>
    </row>
    <row r="45" spans="1:33" ht="15.75">
      <c r="A45" s="6083"/>
      <c r="B45" s="1034" t="s">
        <v>554</v>
      </c>
      <c r="C45" s="2116" t="s">
        <v>555</v>
      </c>
      <c r="D45" s="935"/>
      <c r="E45" s="1631" t="s">
        <v>720</v>
      </c>
      <c r="F45" s="779"/>
      <c r="G45" s="779"/>
      <c r="H45" s="779"/>
      <c r="I45" s="779"/>
      <c r="J45" s="1631" t="s">
        <v>722</v>
      </c>
      <c r="K45" s="779"/>
      <c r="L45" s="779"/>
      <c r="M45" s="779"/>
      <c r="N45" s="779"/>
      <c r="O45" s="1631"/>
      <c r="P45" s="779"/>
      <c r="Q45" s="779"/>
      <c r="R45" s="779"/>
      <c r="S45" s="779"/>
      <c r="T45" s="779"/>
      <c r="U45" s="779"/>
      <c r="V45" s="779"/>
      <c r="W45" s="779"/>
      <c r="X45" s="779"/>
      <c r="Y45" s="1631" t="s">
        <v>722</v>
      </c>
      <c r="Z45" s="779"/>
      <c r="AA45" s="779"/>
      <c r="AB45" s="779"/>
      <c r="AC45" s="779"/>
      <c r="AD45" s="779"/>
      <c r="AE45" s="779"/>
      <c r="AF45" s="779"/>
      <c r="AG45" s="804"/>
    </row>
    <row r="46" spans="1:33">
      <c r="A46" s="6083"/>
      <c r="B46" s="1034" t="s">
        <v>127</v>
      </c>
      <c r="C46" s="1034" t="s">
        <v>657</v>
      </c>
      <c r="D46" s="935"/>
      <c r="E46" s="779"/>
      <c r="F46" s="1631" t="s">
        <v>717</v>
      </c>
      <c r="G46" s="779"/>
      <c r="H46" s="779"/>
      <c r="I46" s="779"/>
      <c r="J46" s="779"/>
      <c r="K46" s="779"/>
      <c r="L46" s="779"/>
      <c r="M46" s="1631" t="s">
        <v>717</v>
      </c>
      <c r="N46" s="779"/>
      <c r="O46" s="779"/>
      <c r="P46" s="779"/>
      <c r="Q46" s="779"/>
      <c r="R46" s="779"/>
      <c r="S46" s="779"/>
      <c r="T46" s="779"/>
      <c r="U46" s="779"/>
      <c r="V46" s="779"/>
      <c r="W46" s="779"/>
      <c r="X46" s="779"/>
      <c r="Y46" s="779"/>
      <c r="Z46" s="779"/>
      <c r="AA46" s="1631" t="s">
        <v>717</v>
      </c>
      <c r="AB46" s="779"/>
      <c r="AC46" s="779"/>
      <c r="AD46" s="779"/>
      <c r="AE46" s="779"/>
      <c r="AF46" s="779"/>
      <c r="AG46" s="804"/>
    </row>
    <row r="47" spans="1:33">
      <c r="A47" s="6083"/>
      <c r="B47" s="1034" t="s">
        <v>155</v>
      </c>
      <c r="C47" s="1034" t="s">
        <v>135</v>
      </c>
      <c r="D47" s="6043" t="s">
        <v>1080</v>
      </c>
      <c r="E47" s="6044"/>
      <c r="F47" s="2967"/>
      <c r="G47" s="2967"/>
      <c r="H47" s="2967"/>
      <c r="I47" s="2967"/>
      <c r="J47" s="2968"/>
      <c r="K47" s="2377"/>
      <c r="L47" s="780"/>
      <c r="M47" s="780"/>
      <c r="N47" s="2435" t="s">
        <v>722</v>
      </c>
      <c r="O47" s="780"/>
      <c r="P47" s="779"/>
      <c r="Q47" s="779"/>
      <c r="R47" s="779"/>
      <c r="S47" s="1631" t="s">
        <v>722</v>
      </c>
      <c r="T47" s="779"/>
      <c r="U47" s="779"/>
      <c r="V47" s="779"/>
      <c r="W47" s="779"/>
      <c r="X47" s="779"/>
      <c r="Y47" s="779"/>
      <c r="Z47" s="779"/>
      <c r="AA47" s="779"/>
      <c r="AB47" s="1631" t="s">
        <v>722</v>
      </c>
      <c r="AC47" s="779"/>
      <c r="AD47" s="779"/>
      <c r="AE47" s="779"/>
      <c r="AF47" s="779"/>
      <c r="AG47" s="804"/>
    </row>
    <row r="48" spans="1:33">
      <c r="A48" s="6084"/>
      <c r="B48" s="1417" t="s">
        <v>1056</v>
      </c>
      <c r="C48" s="1417" t="s">
        <v>334</v>
      </c>
      <c r="D48" s="6046" t="s">
        <v>1080</v>
      </c>
      <c r="E48" s="6047"/>
      <c r="F48" s="6047"/>
      <c r="G48" s="6044"/>
      <c r="H48" s="6044"/>
      <c r="I48" s="6044"/>
      <c r="J48" s="6048"/>
      <c r="K48" s="2377"/>
      <c r="L48" s="780"/>
      <c r="M48" s="780"/>
      <c r="N48" s="780"/>
      <c r="O48" s="780"/>
      <c r="P48" s="780"/>
      <c r="Q48" s="780"/>
      <c r="R48" s="780"/>
      <c r="S48" s="780"/>
      <c r="T48" s="2270" t="s">
        <v>722</v>
      </c>
      <c r="U48" s="780"/>
      <c r="V48" s="780"/>
      <c r="W48" s="780"/>
      <c r="X48" s="2270" t="s">
        <v>722</v>
      </c>
      <c r="Y48" s="780"/>
      <c r="Z48" s="780"/>
      <c r="AA48" s="780"/>
      <c r="AB48" s="780"/>
      <c r="AC48" s="2270" t="s">
        <v>720</v>
      </c>
      <c r="AD48" s="780"/>
      <c r="AE48" s="780"/>
      <c r="AF48" s="780"/>
      <c r="AG48" s="806"/>
    </row>
    <row r="49" spans="1:34">
      <c r="A49" s="6084"/>
      <c r="B49" s="1417" t="s">
        <v>129</v>
      </c>
      <c r="C49" s="1417" t="s">
        <v>474</v>
      </c>
      <c r="D49" s="3008" t="s">
        <v>720</v>
      </c>
      <c r="E49" s="2379"/>
      <c r="F49" s="2597"/>
      <c r="G49" s="4468" t="s">
        <v>112</v>
      </c>
      <c r="H49" s="4468"/>
      <c r="I49" s="4468"/>
      <c r="J49" s="4468"/>
      <c r="K49" s="2377"/>
      <c r="L49" s="783"/>
      <c r="M49" s="4649" t="s">
        <v>1081</v>
      </c>
      <c r="N49" s="4649"/>
      <c r="O49" s="4649"/>
      <c r="P49" s="4649"/>
      <c r="Q49" s="4649"/>
      <c r="R49" s="4649"/>
      <c r="S49" s="4649"/>
      <c r="T49" s="4649"/>
      <c r="U49" s="4649"/>
      <c r="V49" s="4649"/>
      <c r="W49" s="4649"/>
      <c r="X49" s="4649"/>
      <c r="Y49" s="4649"/>
      <c r="Z49" s="4649"/>
      <c r="AA49" s="4649"/>
      <c r="AB49" s="4649"/>
      <c r="AC49" s="4649"/>
      <c r="AD49" s="4649"/>
      <c r="AE49" s="4649"/>
      <c r="AF49" s="4649"/>
      <c r="AG49" s="4649"/>
    </row>
    <row r="50" spans="1:34" ht="15.75" customHeight="1">
      <c r="A50" s="6088" t="s">
        <v>136</v>
      </c>
      <c r="B50" s="1033" t="s">
        <v>77</v>
      </c>
      <c r="C50" s="2769" t="s">
        <v>1036</v>
      </c>
      <c r="D50" s="1332"/>
      <c r="E50" s="937"/>
      <c r="F50" s="937"/>
      <c r="G50" s="937"/>
      <c r="H50" s="2283" t="s">
        <v>717</v>
      </c>
      <c r="I50" s="6052" t="s">
        <v>65</v>
      </c>
      <c r="J50" s="6053"/>
      <c r="K50" s="937"/>
      <c r="L50" s="1467"/>
      <c r="M50" s="1467"/>
      <c r="N50" s="1467"/>
      <c r="O50" s="937"/>
      <c r="P50" s="937"/>
      <c r="Q50" s="937"/>
      <c r="R50" s="937"/>
      <c r="S50" s="937"/>
      <c r="T50" s="6078" t="s">
        <v>251</v>
      </c>
      <c r="U50" s="6079"/>
      <c r="V50" s="6050" t="s">
        <v>1069</v>
      </c>
      <c r="W50" s="6050"/>
      <c r="X50" s="6051"/>
      <c r="Y50" s="3671" t="s">
        <v>251</v>
      </c>
      <c r="Z50" s="2911"/>
      <c r="AA50" s="1332"/>
      <c r="AB50" s="3006" t="s">
        <v>483</v>
      </c>
      <c r="AC50" s="937" t="s">
        <v>1065</v>
      </c>
      <c r="AD50" s="2995" t="s">
        <v>1064</v>
      </c>
      <c r="AE50" s="4251" t="s">
        <v>663</v>
      </c>
      <c r="AF50" s="4251"/>
      <c r="AG50" s="1333"/>
    </row>
    <row r="51" spans="1:34" ht="15.75" customHeight="1">
      <c r="A51" s="6083"/>
      <c r="B51" s="1034" t="s">
        <v>95</v>
      </c>
      <c r="C51" s="927" t="s">
        <v>1058</v>
      </c>
      <c r="D51" s="2630"/>
      <c r="E51" s="779"/>
      <c r="F51" s="779"/>
      <c r="G51" s="779"/>
      <c r="H51" s="779"/>
      <c r="I51" s="6045" t="s">
        <v>65</v>
      </c>
      <c r="J51" s="6045"/>
      <c r="K51" s="849"/>
      <c r="L51" s="779"/>
      <c r="M51" s="779"/>
      <c r="N51" s="779"/>
      <c r="O51" s="3016"/>
      <c r="P51" s="822"/>
      <c r="Q51" s="779"/>
      <c r="R51" s="779"/>
      <c r="S51" s="779"/>
      <c r="T51" s="779"/>
      <c r="U51" s="780"/>
      <c r="V51" s="780"/>
      <c r="W51" s="2270"/>
      <c r="X51" s="783"/>
      <c r="Y51" s="3685"/>
      <c r="Z51" s="2894"/>
      <c r="AA51" s="822"/>
      <c r="AB51" s="3004"/>
      <c r="AC51" s="779" t="s">
        <v>1065</v>
      </c>
      <c r="AD51" s="3005" t="s">
        <v>1064</v>
      </c>
      <c r="AE51" s="3941" t="s">
        <v>663</v>
      </c>
      <c r="AF51" s="3941"/>
      <c r="AG51" s="804"/>
      <c r="AH51" s="921"/>
    </row>
    <row r="52" spans="1:34" ht="15.75" customHeight="1">
      <c r="A52" s="6083"/>
      <c r="B52" s="1034" t="s">
        <v>248</v>
      </c>
      <c r="C52" s="927" t="s">
        <v>1037</v>
      </c>
      <c r="D52" s="2788"/>
      <c r="E52" s="780"/>
      <c r="F52" s="5426" t="s">
        <v>251</v>
      </c>
      <c r="G52" s="5428"/>
      <c r="H52" s="6076" t="s">
        <v>1068</v>
      </c>
      <c r="I52" s="6077"/>
      <c r="J52" s="6077"/>
      <c r="K52" s="2660" t="s">
        <v>251</v>
      </c>
      <c r="L52" s="779"/>
      <c r="M52" s="779"/>
      <c r="N52" s="779"/>
      <c r="O52" s="793"/>
      <c r="P52" s="778"/>
      <c r="Q52" s="778"/>
      <c r="R52" s="778"/>
      <c r="S52" s="778"/>
      <c r="T52" s="5426" t="s">
        <v>251</v>
      </c>
      <c r="U52" s="5428"/>
      <c r="V52" s="4315" t="s">
        <v>1069</v>
      </c>
      <c r="W52" s="4315"/>
      <c r="X52" s="4359"/>
      <c r="Y52" s="3628" t="s">
        <v>251</v>
      </c>
      <c r="Z52" s="3702"/>
      <c r="AA52" s="784"/>
      <c r="AB52" s="783"/>
      <c r="AC52" s="1631" t="s">
        <v>717</v>
      </c>
      <c r="AD52" s="3005" t="s">
        <v>1064</v>
      </c>
      <c r="AE52" s="6080" t="s">
        <v>1082</v>
      </c>
      <c r="AF52" s="6080"/>
      <c r="AG52" s="6081"/>
      <c r="AH52" s="921"/>
    </row>
    <row r="53" spans="1:34" ht="15.75" customHeight="1">
      <c r="A53" s="6087"/>
      <c r="B53" s="1035" t="s">
        <v>739</v>
      </c>
      <c r="C53" s="928" t="s">
        <v>740</v>
      </c>
      <c r="D53" s="1404"/>
      <c r="E53" s="782"/>
      <c r="F53" s="782"/>
      <c r="G53" s="2928"/>
      <c r="H53" s="2879"/>
      <c r="I53" s="6075" t="s">
        <v>65</v>
      </c>
      <c r="J53" s="6075"/>
      <c r="K53" s="823"/>
      <c r="L53" s="823"/>
      <c r="M53" s="823"/>
      <c r="N53" s="823"/>
      <c r="O53" s="823"/>
      <c r="P53" s="823"/>
      <c r="Q53" s="823"/>
      <c r="R53" s="823"/>
      <c r="S53" s="823"/>
      <c r="T53" s="823"/>
      <c r="U53" s="823"/>
      <c r="V53" s="823"/>
      <c r="W53" s="823"/>
      <c r="X53" s="823"/>
      <c r="Y53" s="2618" t="s">
        <v>717</v>
      </c>
      <c r="Z53" s="823"/>
      <c r="AA53" s="782"/>
      <c r="AB53" s="848"/>
      <c r="AC53" s="782" t="s">
        <v>1065</v>
      </c>
      <c r="AD53" s="3007" t="s">
        <v>1064</v>
      </c>
      <c r="AE53" s="4443" t="s">
        <v>523</v>
      </c>
      <c r="AF53" s="4443"/>
      <c r="AG53" s="5086"/>
    </row>
    <row r="54" spans="1:34" ht="15.75" customHeight="1">
      <c r="A54" s="6082" t="s">
        <v>144</v>
      </c>
      <c r="B54" s="2485" t="s">
        <v>145</v>
      </c>
      <c r="C54" s="2481" t="s">
        <v>618</v>
      </c>
      <c r="D54" s="1264"/>
      <c r="E54" s="785"/>
      <c r="F54" s="785"/>
      <c r="G54" s="785"/>
      <c r="H54" s="785"/>
      <c r="I54" s="6062" t="s">
        <v>65</v>
      </c>
      <c r="J54" s="6062"/>
      <c r="K54" s="785"/>
      <c r="L54" s="785"/>
      <c r="M54" s="2248" t="s">
        <v>720</v>
      </c>
      <c r="N54" s="2248"/>
      <c r="O54" s="778"/>
      <c r="P54" s="778"/>
      <c r="Q54" s="778"/>
      <c r="R54" s="778"/>
      <c r="S54" s="778"/>
      <c r="T54" s="781"/>
      <c r="U54" s="778"/>
      <c r="V54" s="2248" t="s">
        <v>720</v>
      </c>
      <c r="W54" s="778"/>
      <c r="X54" s="778"/>
      <c r="Y54" s="778"/>
      <c r="Z54" s="2248" t="s">
        <v>722</v>
      </c>
      <c r="AA54" s="2248"/>
      <c r="AB54" s="778"/>
      <c r="AC54" s="793"/>
      <c r="AD54" s="3003" t="s">
        <v>1064</v>
      </c>
      <c r="AE54" s="778"/>
      <c r="AF54" s="778"/>
      <c r="AG54" s="805"/>
    </row>
    <row r="55" spans="1:34" ht="15.75" customHeight="1">
      <c r="A55" s="6083"/>
      <c r="B55" s="1034" t="s">
        <v>145</v>
      </c>
      <c r="C55" s="927" t="s">
        <v>148</v>
      </c>
      <c r="D55" s="822"/>
      <c r="E55" s="779"/>
      <c r="F55" s="779"/>
      <c r="G55" s="779"/>
      <c r="H55" s="779"/>
      <c r="I55" s="6062" t="s">
        <v>65</v>
      </c>
      <c r="J55" s="6062"/>
      <c r="K55" s="1412" t="s">
        <v>720</v>
      </c>
      <c r="L55" s="1268"/>
      <c r="M55" s="2905"/>
      <c r="N55" s="2906"/>
      <c r="P55" s="1412" t="s">
        <v>720</v>
      </c>
      <c r="Q55" s="780"/>
      <c r="R55" s="780"/>
      <c r="S55" s="780"/>
      <c r="T55" s="3628" t="s">
        <v>251</v>
      </c>
      <c r="U55" s="4782" t="s">
        <v>272</v>
      </c>
      <c r="V55" s="4843"/>
      <c r="W55" s="4843"/>
      <c r="X55" s="4783"/>
      <c r="Y55" s="3628" t="s">
        <v>251</v>
      </c>
      <c r="Z55" s="3685"/>
      <c r="AA55" s="779"/>
      <c r="AB55" s="779"/>
      <c r="AC55" s="779"/>
      <c r="AD55" s="779"/>
      <c r="AE55" s="779"/>
      <c r="AF55" s="779"/>
      <c r="AG55" s="2587" t="s">
        <v>720</v>
      </c>
    </row>
    <row r="56" spans="1:34">
      <c r="A56" s="6083"/>
      <c r="B56" s="1034" t="s">
        <v>149</v>
      </c>
      <c r="C56" s="927" t="s">
        <v>744</v>
      </c>
      <c r="D56" s="793"/>
      <c r="E56" s="778"/>
      <c r="F56" s="778"/>
      <c r="G56" s="778"/>
      <c r="H56" s="781"/>
      <c r="I56" s="779"/>
      <c r="J56" s="2919" t="s">
        <v>717</v>
      </c>
      <c r="K56" s="778"/>
      <c r="L56" s="778"/>
      <c r="M56" s="779"/>
      <c r="N56" s="779"/>
      <c r="O56" s="779"/>
      <c r="P56" s="779"/>
      <c r="Q56" s="779"/>
      <c r="R56" s="779"/>
      <c r="S56" s="847"/>
      <c r="T56" s="779"/>
      <c r="U56" s="1631" t="s">
        <v>717</v>
      </c>
      <c r="V56" s="779"/>
      <c r="W56" s="779"/>
      <c r="X56" s="779"/>
      <c r="Y56" s="779"/>
      <c r="Z56" s="779"/>
      <c r="AA56" s="779"/>
      <c r="AB56" s="779"/>
      <c r="AC56" s="779"/>
      <c r="AD56" s="2995" t="s">
        <v>1064</v>
      </c>
      <c r="AE56" s="780"/>
      <c r="AF56" s="780"/>
      <c r="AG56" s="806"/>
    </row>
    <row r="57" spans="1:34" ht="15.75">
      <c r="A57" s="6087"/>
      <c r="B57" s="1035" t="s">
        <v>149</v>
      </c>
      <c r="C57" s="928" t="s">
        <v>151</v>
      </c>
      <c r="D57" s="2907"/>
      <c r="E57" s="1693"/>
      <c r="F57" s="2915"/>
      <c r="G57" s="1693"/>
      <c r="H57" s="2915" t="s">
        <v>722</v>
      </c>
      <c r="I57" s="2906"/>
      <c r="J57" s="2661"/>
      <c r="K57" s="780"/>
      <c r="L57" s="780"/>
      <c r="M57" s="780"/>
      <c r="N57" s="2270"/>
      <c r="O57" s="780"/>
      <c r="P57" s="780"/>
      <c r="Q57" s="780"/>
      <c r="R57" s="780"/>
      <c r="S57" s="780"/>
      <c r="T57" s="1264"/>
      <c r="U57" s="785"/>
      <c r="V57" s="785"/>
      <c r="W57" s="2272" t="s">
        <v>722</v>
      </c>
      <c r="X57" s="785"/>
      <c r="Y57" s="785"/>
      <c r="Z57" s="785"/>
      <c r="AA57" s="785"/>
      <c r="AB57" s="785"/>
      <c r="AC57" s="2272" t="s">
        <v>722</v>
      </c>
      <c r="AD57" s="785"/>
      <c r="AE57" s="6056" t="s">
        <v>1007</v>
      </c>
      <c r="AF57" s="6057"/>
      <c r="AG57" s="6058"/>
    </row>
    <row r="58" spans="1:34" ht="15.75">
      <c r="A58" s="6082" t="s">
        <v>745</v>
      </c>
      <c r="B58" s="2485" t="s">
        <v>283</v>
      </c>
      <c r="C58" s="2481" t="s">
        <v>1005</v>
      </c>
      <c r="D58" s="6059" t="s">
        <v>60</v>
      </c>
      <c r="E58" s="6060"/>
      <c r="F58" s="6060"/>
      <c r="G58" s="6061"/>
      <c r="H58" s="3671" t="s">
        <v>251</v>
      </c>
      <c r="I58" s="2911"/>
      <c r="J58" s="425"/>
      <c r="K58" s="937"/>
      <c r="L58" s="937"/>
      <c r="M58" s="937"/>
      <c r="N58" s="937"/>
      <c r="O58" s="937"/>
      <c r="P58" s="425"/>
      <c r="Q58" s="937"/>
      <c r="R58" s="2283" t="s">
        <v>717</v>
      </c>
      <c r="S58" s="937"/>
      <c r="T58" s="3671" t="s">
        <v>251</v>
      </c>
      <c r="U58" s="6072" t="s">
        <v>272</v>
      </c>
      <c r="V58" s="6073"/>
      <c r="W58" s="6073"/>
      <c r="X58" s="6074"/>
      <c r="Y58" s="3671" t="s">
        <v>251</v>
      </c>
      <c r="Z58" s="937"/>
      <c r="AA58" s="937"/>
      <c r="AB58" s="937"/>
      <c r="AC58" s="425"/>
      <c r="AD58" s="2283" t="s">
        <v>717</v>
      </c>
      <c r="AE58" s="937"/>
      <c r="AF58" s="461"/>
      <c r="AG58" s="695"/>
    </row>
    <row r="59" spans="1:34" ht="15.75">
      <c r="A59" s="6083"/>
      <c r="B59" s="1034" t="s">
        <v>95</v>
      </c>
      <c r="C59" s="927" t="s">
        <v>620</v>
      </c>
      <c r="D59" s="6059" t="s">
        <v>60</v>
      </c>
      <c r="E59" s="6060"/>
      <c r="F59" s="6060"/>
      <c r="G59" s="6061"/>
      <c r="H59" s="3671" t="s">
        <v>251</v>
      </c>
      <c r="I59" s="3702"/>
      <c r="J59" s="374"/>
      <c r="K59" s="779"/>
      <c r="L59" s="1631" t="s">
        <v>720</v>
      </c>
      <c r="M59" s="779"/>
      <c r="N59" s="779"/>
      <c r="O59" s="779"/>
      <c r="P59" s="1631" t="s">
        <v>722</v>
      </c>
      <c r="Q59" s="824"/>
      <c r="R59" s="380"/>
      <c r="S59" s="380"/>
      <c r="T59" s="3628" t="s">
        <v>251</v>
      </c>
      <c r="U59" s="4782" t="s">
        <v>272</v>
      </c>
      <c r="V59" s="4843"/>
      <c r="W59" s="4843"/>
      <c r="X59" s="4843"/>
      <c r="Y59" s="4843"/>
      <c r="Z59" s="4843"/>
      <c r="AA59" s="4843"/>
      <c r="AB59" s="4783"/>
      <c r="AC59" s="3628" t="s">
        <v>251</v>
      </c>
      <c r="AD59" s="2995" t="s">
        <v>1064</v>
      </c>
      <c r="AE59" s="2270" t="s">
        <v>720</v>
      </c>
      <c r="AF59" s="4748" t="s">
        <v>1083</v>
      </c>
      <c r="AG59" s="4521"/>
    </row>
    <row r="60" spans="1:34" ht="15.75">
      <c r="A60" s="6083"/>
      <c r="B60" s="2794" t="s">
        <v>127</v>
      </c>
      <c r="C60" s="2246" t="s">
        <v>128</v>
      </c>
      <c r="D60" s="6059" t="s">
        <v>60</v>
      </c>
      <c r="E60" s="6060"/>
      <c r="F60" s="6060"/>
      <c r="G60" s="6061"/>
      <c r="H60" s="3671" t="s">
        <v>251</v>
      </c>
      <c r="I60" s="3702"/>
      <c r="J60" s="374"/>
      <c r="K60" s="779"/>
      <c r="L60" s="1631" t="s">
        <v>722</v>
      </c>
      <c r="M60" s="779"/>
      <c r="N60" s="779"/>
      <c r="O60" s="779"/>
      <c r="P60" s="374"/>
      <c r="Q60" s="1631" t="s">
        <v>720</v>
      </c>
      <c r="R60" s="779"/>
      <c r="S60" s="779"/>
      <c r="T60" s="3628" t="s">
        <v>251</v>
      </c>
      <c r="U60" s="4782" t="s">
        <v>272</v>
      </c>
      <c r="V60" s="4843"/>
      <c r="W60" s="4843"/>
      <c r="X60" s="4783"/>
      <c r="Y60" s="3628" t="s">
        <v>251</v>
      </c>
      <c r="Z60" s="3685"/>
      <c r="AA60" s="779"/>
      <c r="AB60" s="779"/>
      <c r="AC60" s="779"/>
      <c r="AD60" s="822"/>
      <c r="AE60" s="779"/>
      <c r="AF60" s="2"/>
      <c r="AG60" s="2917" t="s">
        <v>722</v>
      </c>
    </row>
    <row r="61" spans="1:34" ht="15.75">
      <c r="A61" s="6083"/>
      <c r="B61" s="2794" t="s">
        <v>602</v>
      </c>
      <c r="C61" s="2246" t="s">
        <v>660</v>
      </c>
      <c r="D61" s="2922"/>
      <c r="E61" s="2923"/>
      <c r="F61" s="2923"/>
      <c r="G61" s="2923"/>
      <c r="H61" s="2923"/>
      <c r="I61" s="2379"/>
      <c r="J61" s="1758"/>
      <c r="K61" s="204"/>
      <c r="L61" s="204"/>
      <c r="M61" s="1631" t="s">
        <v>722</v>
      </c>
      <c r="N61" s="779"/>
      <c r="O61" s="779"/>
      <c r="P61" s="797"/>
      <c r="Q61" s="1631" t="s">
        <v>722</v>
      </c>
      <c r="R61" s="779"/>
      <c r="S61" s="2894"/>
      <c r="T61" s="2287"/>
      <c r="U61" s="2762"/>
      <c r="V61" s="2762"/>
      <c r="W61" s="2762"/>
      <c r="X61" s="2762"/>
      <c r="Y61" s="2762"/>
      <c r="Z61" s="2924"/>
      <c r="AA61" s="2924"/>
      <c r="AB61" s="2924"/>
      <c r="AC61" s="2287"/>
      <c r="AD61" s="784"/>
      <c r="AE61" s="779"/>
      <c r="AF61" s="1631" t="s">
        <v>722</v>
      </c>
      <c r="AG61" s="696"/>
    </row>
    <row r="62" spans="1:34" ht="15" customHeight="1">
      <c r="A62" s="6084"/>
      <c r="B62" s="1417" t="s">
        <v>81</v>
      </c>
      <c r="C62" s="2878" t="s">
        <v>396</v>
      </c>
      <c r="D62" s="6066" t="s">
        <v>60</v>
      </c>
      <c r="E62" s="6067"/>
      <c r="F62" s="6067"/>
      <c r="G62" s="6068"/>
      <c r="H62" s="2961" t="s">
        <v>251</v>
      </c>
      <c r="I62" s="6035" t="s">
        <v>65</v>
      </c>
      <c r="J62" s="6035"/>
      <c r="K62" s="2962"/>
      <c r="L62" s="780"/>
      <c r="M62" s="2270"/>
      <c r="N62" s="2270" t="s">
        <v>720</v>
      </c>
      <c r="O62" s="2380"/>
      <c r="P62" s="3610" t="s">
        <v>1084</v>
      </c>
      <c r="Q62" s="2997"/>
      <c r="R62" s="2938"/>
      <c r="S62" s="2377"/>
      <c r="T62" s="3682" t="s">
        <v>251</v>
      </c>
      <c r="U62" s="4760" t="s">
        <v>272</v>
      </c>
      <c r="V62" s="6069"/>
      <c r="W62" s="6069"/>
      <c r="X62" s="4761"/>
      <c r="Y62" s="3683" t="s">
        <v>251</v>
      </c>
      <c r="Z62" s="2279"/>
      <c r="AA62" s="2279"/>
      <c r="AB62" s="2377"/>
      <c r="AC62" s="2377"/>
      <c r="AD62" s="780"/>
      <c r="AE62" s="780"/>
      <c r="AF62" s="2913" t="s">
        <v>720</v>
      </c>
      <c r="AG62" s="1365"/>
    </row>
    <row r="63" spans="1:34">
      <c r="A63" s="5499" t="s">
        <v>751</v>
      </c>
      <c r="B63" s="1033" t="s">
        <v>95</v>
      </c>
      <c r="C63" s="1033" t="s">
        <v>303</v>
      </c>
      <c r="D63" s="6063" t="s">
        <v>1061</v>
      </c>
      <c r="E63" s="6064"/>
      <c r="F63" s="6064"/>
      <c r="G63" s="6065"/>
      <c r="H63" s="461"/>
      <c r="I63" s="2960" t="s">
        <v>722</v>
      </c>
      <c r="J63" s="461"/>
      <c r="K63" s="461"/>
      <c r="L63" s="461"/>
      <c r="M63" s="461"/>
      <c r="N63" s="461"/>
      <c r="O63" s="461"/>
      <c r="P63" s="461"/>
      <c r="Q63" s="461"/>
      <c r="R63" s="461"/>
      <c r="S63" s="461"/>
      <c r="T63" s="2960" t="s">
        <v>720</v>
      </c>
      <c r="U63" s="461"/>
      <c r="V63" s="461"/>
      <c r="W63" s="461"/>
      <c r="X63" s="461"/>
      <c r="Y63" s="461"/>
      <c r="Z63" s="461"/>
      <c r="AA63" s="2960" t="s">
        <v>722</v>
      </c>
      <c r="AB63" s="461"/>
      <c r="AC63" s="937"/>
      <c r="AD63" s="2995" t="s">
        <v>1064</v>
      </c>
      <c r="AE63" s="937"/>
      <c r="AF63" s="2961" t="s">
        <v>251</v>
      </c>
      <c r="AG63" s="3017" t="s">
        <v>754</v>
      </c>
    </row>
    <row r="64" spans="1:34">
      <c r="A64" s="5524"/>
      <c r="B64" s="1035" t="s">
        <v>155</v>
      </c>
      <c r="C64" s="1961" t="s">
        <v>532</v>
      </c>
      <c r="D64" s="6070" t="s">
        <v>754</v>
      </c>
      <c r="E64" s="6071"/>
      <c r="F64" s="2564" t="s">
        <v>251</v>
      </c>
      <c r="G64" s="321"/>
      <c r="H64" s="321"/>
      <c r="I64" s="321"/>
      <c r="J64" s="321"/>
      <c r="K64" s="321"/>
      <c r="L64" s="321"/>
      <c r="M64" s="321"/>
      <c r="N64" s="321"/>
      <c r="O64" s="782"/>
      <c r="P64" s="782"/>
      <c r="Q64" s="782"/>
      <c r="R64" s="782"/>
      <c r="S64" s="782"/>
      <c r="T64" s="782"/>
      <c r="U64" s="2916" t="s">
        <v>722</v>
      </c>
      <c r="V64" s="321"/>
      <c r="W64" s="321"/>
      <c r="X64" s="321"/>
      <c r="Y64" s="321"/>
      <c r="Z64" s="2916" t="s">
        <v>720</v>
      </c>
      <c r="AA64" s="321"/>
      <c r="AB64" s="321"/>
      <c r="AC64" s="321"/>
      <c r="AD64" s="3018" t="s">
        <v>1064</v>
      </c>
      <c r="AE64" s="321"/>
      <c r="AF64" s="782"/>
      <c r="AG64" s="807"/>
    </row>
  </sheetData>
  <mergeCells count="87">
    <mergeCell ref="A5:C5"/>
    <mergeCell ref="I17:J17"/>
    <mergeCell ref="A7:C7"/>
    <mergeCell ref="A8:C8"/>
    <mergeCell ref="A9:C9"/>
    <mergeCell ref="A11:C11"/>
    <mergeCell ref="A12:C12"/>
    <mergeCell ref="A13:C13"/>
    <mergeCell ref="A14:C14"/>
    <mergeCell ref="A15:C15"/>
    <mergeCell ref="D11:H11"/>
    <mergeCell ref="A10:C10"/>
    <mergeCell ref="A1:C1"/>
    <mergeCell ref="A6:C6"/>
    <mergeCell ref="U9:AB9"/>
    <mergeCell ref="H30:J30"/>
    <mergeCell ref="V19:X19"/>
    <mergeCell ref="Z28:AG28"/>
    <mergeCell ref="AD27:AG27"/>
    <mergeCell ref="I24:J24"/>
    <mergeCell ref="A18:C18"/>
    <mergeCell ref="H18:J18"/>
    <mergeCell ref="D1:AG1"/>
    <mergeCell ref="AE4:AF4"/>
    <mergeCell ref="A2:C2"/>
    <mergeCell ref="L22:N22"/>
    <mergeCell ref="A3:C3"/>
    <mergeCell ref="A4:C4"/>
    <mergeCell ref="A63:A64"/>
    <mergeCell ref="A16:C16"/>
    <mergeCell ref="A17:C17"/>
    <mergeCell ref="A19:C19"/>
    <mergeCell ref="A58:A62"/>
    <mergeCell ref="A21:C21"/>
    <mergeCell ref="A54:A57"/>
    <mergeCell ref="A50:A53"/>
    <mergeCell ref="A22:C22"/>
    <mergeCell ref="A30:A35"/>
    <mergeCell ref="A36:A49"/>
    <mergeCell ref="A27:A29"/>
    <mergeCell ref="A20:C20"/>
    <mergeCell ref="D64:E64"/>
    <mergeCell ref="F52:G52"/>
    <mergeCell ref="I55:J55"/>
    <mergeCell ref="U58:X58"/>
    <mergeCell ref="I31:J31"/>
    <mergeCell ref="I34:J34"/>
    <mergeCell ref="I53:J53"/>
    <mergeCell ref="U55:X55"/>
    <mergeCell ref="H52:J52"/>
    <mergeCell ref="G49:J49"/>
    <mergeCell ref="I32:J32"/>
    <mergeCell ref="M49:AG49"/>
    <mergeCell ref="T50:U50"/>
    <mergeCell ref="AE37:AG37"/>
    <mergeCell ref="AE53:AG53"/>
    <mergeCell ref="AE52:AG52"/>
    <mergeCell ref="D63:G63"/>
    <mergeCell ref="D60:G60"/>
    <mergeCell ref="D62:G62"/>
    <mergeCell ref="U60:X60"/>
    <mergeCell ref="I62:J62"/>
    <mergeCell ref="U62:X62"/>
    <mergeCell ref="V52:X52"/>
    <mergeCell ref="T52:U52"/>
    <mergeCell ref="AF59:AG59"/>
    <mergeCell ref="AE57:AG57"/>
    <mergeCell ref="D58:G58"/>
    <mergeCell ref="D59:G59"/>
    <mergeCell ref="I54:J54"/>
    <mergeCell ref="U59:AB59"/>
    <mergeCell ref="O22:S22"/>
    <mergeCell ref="I33:J33"/>
    <mergeCell ref="AE50:AF50"/>
    <mergeCell ref="AE51:AF51"/>
    <mergeCell ref="Q27:R27"/>
    <mergeCell ref="Q28:R28"/>
    <mergeCell ref="D35:Y35"/>
    <mergeCell ref="I23:J23"/>
    <mergeCell ref="D47:E47"/>
    <mergeCell ref="I51:J51"/>
    <mergeCell ref="D48:J48"/>
    <mergeCell ref="V31:X31"/>
    <mergeCell ref="Y31:AF31"/>
    <mergeCell ref="V50:X50"/>
    <mergeCell ref="I50:J50"/>
    <mergeCell ref="K30:N30"/>
  </mergeCells>
  <printOptions horizontalCentered="1" verticalCentered="1"/>
  <pageMargins left="0.25" right="0.25" top="0.75" bottom="0.75" header="0.3" footer="0.3"/>
  <pageSetup scale="43" fitToHeight="0" orientation="landscape" verticalDpi="598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5B37-A520-40C1-BECC-8FC19847C23C}">
  <sheetPr>
    <pageSetUpPr fitToPage="1"/>
  </sheetPr>
  <dimension ref="A1:AI65"/>
  <sheetViews>
    <sheetView zoomScale="80" zoomScaleNormal="80" workbookViewId="0">
      <pane ySplit="4" topLeftCell="A59" activePane="bottomLeft" state="frozen"/>
      <selection pane="bottomLeft" activeCell="E59" sqref="E59:I59"/>
    </sheetView>
  </sheetViews>
  <sheetFormatPr defaultRowHeight="15"/>
  <cols>
    <col min="3" max="3" width="11.5703125" bestFit="1" customWidth="1"/>
  </cols>
  <sheetData>
    <row r="1" spans="1:35">
      <c r="A1" s="4375" t="s">
        <v>29</v>
      </c>
      <c r="B1" s="4375"/>
      <c r="C1" s="4375"/>
      <c r="D1" s="4376" t="s">
        <v>1085</v>
      </c>
      <c r="E1" s="4525"/>
      <c r="F1" s="4525"/>
      <c r="G1" s="4525"/>
      <c r="H1" s="4525"/>
      <c r="I1" s="4525"/>
      <c r="J1" s="4525"/>
      <c r="K1" s="4525"/>
      <c r="L1" s="4525"/>
      <c r="M1" s="4525"/>
      <c r="N1" s="4525"/>
      <c r="O1" s="4525"/>
      <c r="P1" s="4525"/>
      <c r="Q1" s="4525"/>
      <c r="R1" s="4525"/>
      <c r="S1" s="4525"/>
      <c r="T1" s="4525"/>
      <c r="U1" s="4525"/>
      <c r="V1" s="4525"/>
      <c r="W1" s="4525"/>
      <c r="X1" s="4525"/>
      <c r="Y1" s="4525"/>
      <c r="Z1" s="4525"/>
      <c r="AA1" s="4525"/>
      <c r="AB1" s="4525"/>
      <c r="AC1" s="4525"/>
      <c r="AD1" s="4525"/>
      <c r="AE1" s="4525"/>
      <c r="AF1" s="4525"/>
      <c r="AG1" s="4525"/>
      <c r="AH1" s="4608"/>
    </row>
    <row r="2" spans="1:35">
      <c r="A2" s="4377" t="s">
        <v>31</v>
      </c>
      <c r="B2" s="4377"/>
      <c r="C2" s="4377"/>
      <c r="D2" s="3699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703">
        <v>24</v>
      </c>
      <c r="AB2" s="3703">
        <v>25</v>
      </c>
      <c r="AC2" s="3703">
        <v>26</v>
      </c>
      <c r="AD2" s="3703">
        <v>27</v>
      </c>
      <c r="AE2" s="41">
        <v>28</v>
      </c>
      <c r="AF2" s="41">
        <v>29</v>
      </c>
      <c r="AG2" s="40">
        <v>30</v>
      </c>
      <c r="AH2" s="41">
        <v>31</v>
      </c>
    </row>
    <row r="3" spans="1:35">
      <c r="A3" s="4378" t="s">
        <v>32</v>
      </c>
      <c r="B3" s="4378"/>
      <c r="C3" s="4378"/>
      <c r="D3" s="19" t="s">
        <v>36</v>
      </c>
      <c r="E3" s="3703" t="s">
        <v>37</v>
      </c>
      <c r="F3" s="3703" t="s">
        <v>33</v>
      </c>
      <c r="G3" s="3703" t="s">
        <v>34</v>
      </c>
      <c r="H3" s="3703" t="s">
        <v>33</v>
      </c>
      <c r="I3" s="3703" t="s">
        <v>35</v>
      </c>
      <c r="J3" s="19" t="s">
        <v>36</v>
      </c>
      <c r="K3" s="19" t="s">
        <v>36</v>
      </c>
      <c r="L3" s="3703" t="s">
        <v>37</v>
      </c>
      <c r="M3" s="3703" t="s">
        <v>33</v>
      </c>
      <c r="N3" s="3703" t="s">
        <v>34</v>
      </c>
      <c r="O3" s="40" t="s">
        <v>33</v>
      </c>
      <c r="P3" s="3703" t="s">
        <v>35</v>
      </c>
      <c r="Q3" s="19" t="s">
        <v>36</v>
      </c>
      <c r="R3" s="19" t="s">
        <v>36</v>
      </c>
      <c r="S3" s="3703" t="s">
        <v>37</v>
      </c>
      <c r="T3" s="3703" t="s">
        <v>33</v>
      </c>
      <c r="U3" s="41" t="s">
        <v>34</v>
      </c>
      <c r="V3" s="41" t="s">
        <v>33</v>
      </c>
      <c r="W3" s="41" t="s">
        <v>35</v>
      </c>
      <c r="X3" s="19" t="s">
        <v>36</v>
      </c>
      <c r="Y3" s="19" t="s">
        <v>36</v>
      </c>
      <c r="Z3" s="3703" t="s">
        <v>37</v>
      </c>
      <c r="AA3" s="19" t="s">
        <v>33</v>
      </c>
      <c r="AB3" s="19" t="s">
        <v>34</v>
      </c>
      <c r="AC3" s="19" t="s">
        <v>33</v>
      </c>
      <c r="AD3" s="41" t="s">
        <v>35</v>
      </c>
      <c r="AE3" s="19" t="s">
        <v>36</v>
      </c>
      <c r="AF3" s="19" t="s">
        <v>36</v>
      </c>
      <c r="AG3" s="40" t="s">
        <v>37</v>
      </c>
      <c r="AH3" s="19" t="s">
        <v>33</v>
      </c>
    </row>
    <row r="4" spans="1:35" ht="15.75">
      <c r="A4" s="4966" t="s">
        <v>38</v>
      </c>
      <c r="B4" s="4966"/>
      <c r="C4" s="4966"/>
      <c r="D4" s="934"/>
      <c r="E4" s="778"/>
      <c r="F4" s="781"/>
      <c r="G4" s="779"/>
      <c r="H4" s="793"/>
      <c r="I4" s="778"/>
      <c r="J4" s="778"/>
      <c r="K4" s="781"/>
      <c r="L4" s="778"/>
      <c r="M4" s="795"/>
      <c r="N4" s="795"/>
      <c r="O4" s="795"/>
      <c r="P4" s="795"/>
      <c r="Q4" s="795"/>
      <c r="R4" s="795"/>
      <c r="S4" s="795"/>
      <c r="T4" s="796"/>
      <c r="U4" s="796"/>
      <c r="V4" s="796"/>
      <c r="W4" s="796"/>
      <c r="X4" s="796"/>
      <c r="Y4" s="796"/>
      <c r="Z4" s="796"/>
      <c r="AA4" s="796"/>
      <c r="AB4" s="796"/>
      <c r="AC4" s="796"/>
      <c r="AD4" s="796"/>
      <c r="AE4" s="796"/>
      <c r="AF4" s="778"/>
      <c r="AG4" s="781"/>
      <c r="AH4" s="804"/>
    </row>
    <row r="5" spans="1:35">
      <c r="A5" s="4061" t="s">
        <v>961</v>
      </c>
      <c r="B5" s="4062"/>
      <c r="C5" s="4459"/>
      <c r="D5" s="934"/>
      <c r="E5" s="778"/>
      <c r="F5" s="781"/>
      <c r="G5" s="779"/>
      <c r="H5" s="793"/>
      <c r="I5" s="778"/>
      <c r="J5" s="778"/>
      <c r="K5" s="781"/>
      <c r="L5" s="778"/>
      <c r="M5" s="795"/>
      <c r="N5" s="795"/>
      <c r="O5" s="795"/>
      <c r="P5" s="795"/>
      <c r="Q5" s="795"/>
      <c r="R5" s="795"/>
      <c r="S5" s="795"/>
      <c r="T5" s="796"/>
      <c r="U5" s="796"/>
      <c r="V5" s="796"/>
      <c r="W5" s="796"/>
      <c r="X5" s="796"/>
      <c r="Y5" s="796"/>
      <c r="Z5" s="796"/>
      <c r="AA5" s="796"/>
      <c r="AB5" s="796"/>
      <c r="AC5" s="796"/>
      <c r="AD5" s="796"/>
      <c r="AE5" s="796"/>
      <c r="AF5" s="778"/>
      <c r="AG5" s="781"/>
      <c r="AH5" s="804"/>
    </row>
    <row r="6" spans="1:35">
      <c r="A6" s="4265" t="s">
        <v>407</v>
      </c>
      <c r="B6" s="4266"/>
      <c r="C6" s="5046"/>
      <c r="D6" s="935"/>
      <c r="E6" s="779"/>
      <c r="F6" s="374"/>
      <c r="G6" s="797"/>
      <c r="H6" s="779"/>
      <c r="I6" s="779"/>
      <c r="J6" s="779"/>
      <c r="K6" s="779"/>
      <c r="L6" s="779"/>
      <c r="M6" s="779"/>
      <c r="N6" s="380"/>
      <c r="O6" s="380"/>
      <c r="P6" s="374"/>
      <c r="Q6" s="374"/>
      <c r="R6" s="779"/>
      <c r="S6" s="779"/>
      <c r="T6" s="779"/>
      <c r="U6" s="779"/>
      <c r="V6" s="779"/>
      <c r="W6" s="779"/>
      <c r="X6" s="779"/>
      <c r="Y6" s="779"/>
      <c r="Z6" s="779"/>
      <c r="AA6" s="779"/>
      <c r="AB6" s="779"/>
      <c r="AC6" s="380"/>
      <c r="AD6" s="380"/>
      <c r="AE6" s="779"/>
      <c r="AF6" s="779"/>
      <c r="AG6" s="847"/>
      <c r="AH6" s="804"/>
    </row>
    <row r="7" spans="1:35">
      <c r="A7" s="4533" t="s">
        <v>702</v>
      </c>
      <c r="B7" s="4533"/>
      <c r="C7" s="5984"/>
      <c r="D7" s="934"/>
      <c r="E7" s="778"/>
      <c r="F7" s="781"/>
      <c r="G7" s="779"/>
      <c r="H7" s="793"/>
      <c r="I7" s="778"/>
      <c r="J7" s="778"/>
      <c r="K7" s="781"/>
      <c r="L7" s="778"/>
      <c r="M7" s="795"/>
      <c r="N7" s="795"/>
      <c r="O7" s="795"/>
      <c r="P7" s="795"/>
      <c r="Q7" s="795"/>
      <c r="R7" s="795"/>
      <c r="S7" s="795"/>
      <c r="T7" s="796"/>
      <c r="U7" s="796"/>
      <c r="V7" s="796"/>
      <c r="W7" s="796"/>
      <c r="X7" s="796"/>
      <c r="Y7" s="796"/>
      <c r="Z7" s="796"/>
      <c r="AA7" s="796"/>
      <c r="AB7" s="796"/>
      <c r="AC7" s="796"/>
      <c r="AD7" s="796"/>
      <c r="AE7" s="796"/>
      <c r="AF7" s="778"/>
      <c r="AG7" s="781"/>
      <c r="AH7" s="804"/>
    </row>
    <row r="8" spans="1:35">
      <c r="A8" s="4391" t="s">
        <v>225</v>
      </c>
      <c r="B8" s="4391"/>
      <c r="C8" s="4391"/>
      <c r="D8" s="861"/>
      <c r="E8" s="380"/>
      <c r="F8" s="380"/>
      <c r="G8" s="779"/>
      <c r="H8" s="779"/>
      <c r="I8" s="778"/>
      <c r="J8" s="778"/>
      <c r="K8" s="778"/>
      <c r="L8" s="778"/>
      <c r="M8" s="778"/>
      <c r="N8" s="536"/>
      <c r="O8" s="536"/>
      <c r="P8" s="779"/>
      <c r="Q8" s="779"/>
      <c r="R8" s="779"/>
      <c r="S8" s="779"/>
      <c r="T8" s="779"/>
      <c r="U8" s="779"/>
      <c r="V8" s="779"/>
      <c r="W8" s="779"/>
      <c r="X8" s="779"/>
      <c r="Y8" s="779"/>
      <c r="Z8" s="779"/>
      <c r="AA8" s="779"/>
      <c r="AB8" s="779"/>
      <c r="AC8" s="380"/>
      <c r="AD8" s="380"/>
      <c r="AE8" s="779"/>
      <c r="AF8" s="779"/>
      <c r="AG8" s="847"/>
      <c r="AH8" s="804"/>
    </row>
    <row r="9" spans="1:35">
      <c r="A9" s="4492" t="s">
        <v>272</v>
      </c>
      <c r="B9" s="4493"/>
      <c r="C9" s="4493"/>
      <c r="D9" s="934"/>
      <c r="E9" s="778"/>
      <c r="F9" s="781"/>
      <c r="G9" s="779"/>
      <c r="H9" s="793"/>
      <c r="I9" s="778"/>
      <c r="J9" s="778"/>
      <c r="K9" s="781"/>
      <c r="L9" s="778"/>
      <c r="M9" s="795"/>
      <c r="N9" s="795"/>
      <c r="O9" s="795"/>
      <c r="P9" s="795"/>
      <c r="Q9" s="795"/>
      <c r="R9" s="795"/>
      <c r="S9" s="795"/>
      <c r="T9" s="796"/>
      <c r="U9" s="796"/>
      <c r="V9" s="796"/>
      <c r="W9" s="796"/>
      <c r="X9" s="796"/>
      <c r="Y9" s="796"/>
      <c r="Z9" s="796"/>
      <c r="AA9" s="796"/>
      <c r="AB9" s="796"/>
      <c r="AC9" s="796"/>
      <c r="AD9" s="796"/>
      <c r="AE9" s="796"/>
      <c r="AF9" s="778"/>
      <c r="AG9" s="781"/>
      <c r="AH9" s="804"/>
    </row>
    <row r="10" spans="1:35" ht="15.75">
      <c r="A10" s="4833" t="s">
        <v>60</v>
      </c>
      <c r="B10" s="4834"/>
      <c r="C10" s="4834"/>
      <c r="D10" s="934"/>
      <c r="E10" s="778"/>
      <c r="F10" s="781"/>
      <c r="G10" s="779"/>
      <c r="H10" s="793"/>
      <c r="I10" s="778"/>
      <c r="J10" s="778"/>
      <c r="K10" s="781"/>
      <c r="L10" s="778"/>
      <c r="M10" s="795"/>
      <c r="N10" s="795"/>
      <c r="O10" s="795"/>
      <c r="P10" s="795"/>
      <c r="Q10" s="795"/>
      <c r="R10" s="795"/>
      <c r="S10" s="795"/>
      <c r="T10" s="796"/>
      <c r="U10" s="796"/>
      <c r="V10" s="796"/>
      <c r="W10" s="796"/>
      <c r="X10" s="796"/>
      <c r="Y10" s="796"/>
      <c r="Z10" s="796"/>
      <c r="AA10" s="796"/>
      <c r="AB10" s="796"/>
      <c r="AC10" s="796"/>
      <c r="AD10" s="796"/>
      <c r="AE10" s="796"/>
      <c r="AF10" s="778"/>
      <c r="AG10" s="781"/>
      <c r="AH10" s="804"/>
    </row>
    <row r="11" spans="1:35" ht="15.75">
      <c r="A11" s="4835" t="s">
        <v>593</v>
      </c>
      <c r="B11" s="4835"/>
      <c r="C11" s="4835"/>
      <c r="D11" s="934"/>
      <c r="E11" s="778"/>
      <c r="F11" s="781"/>
      <c r="G11" s="779"/>
      <c r="H11" s="793"/>
      <c r="I11" s="778"/>
      <c r="J11" s="778"/>
      <c r="K11" s="781"/>
      <c r="L11" s="778"/>
      <c r="M11" s="795"/>
      <c r="N11" s="795"/>
      <c r="O11" s="795"/>
      <c r="P11" s="795"/>
      <c r="Q11" s="795"/>
      <c r="R11" s="795"/>
      <c r="S11" s="795"/>
      <c r="T11" s="796"/>
      <c r="U11" s="796"/>
      <c r="V11" s="796"/>
      <c r="W11" s="796"/>
      <c r="X11" s="796"/>
      <c r="Y11" s="796"/>
      <c r="Z11" s="796"/>
      <c r="AA11" s="796"/>
      <c r="AB11" s="796"/>
      <c r="AC11" s="796"/>
      <c r="AD11" s="796"/>
      <c r="AE11" s="796"/>
      <c r="AF11" s="778"/>
      <c r="AG11" s="781"/>
      <c r="AH11" s="804"/>
    </row>
    <row r="12" spans="1:35">
      <c r="A12" s="4313" t="s">
        <v>63</v>
      </c>
      <c r="B12" s="4313"/>
      <c r="C12" s="4487"/>
      <c r="D12" s="935"/>
      <c r="E12" s="779"/>
      <c r="F12" s="374"/>
      <c r="G12" s="797"/>
      <c r="H12" s="779"/>
      <c r="I12" s="779"/>
      <c r="J12" s="779"/>
      <c r="K12" s="779"/>
      <c r="L12" s="779"/>
      <c r="M12" s="779"/>
      <c r="N12" s="795"/>
      <c r="O12" s="795"/>
      <c r="P12" s="374"/>
      <c r="Q12" s="374"/>
      <c r="R12" s="779"/>
      <c r="S12" s="779"/>
      <c r="T12" s="779"/>
      <c r="U12" s="779"/>
      <c r="V12" s="779"/>
      <c r="W12" s="779"/>
      <c r="X12" s="779"/>
      <c r="Y12" s="779"/>
      <c r="Z12" s="779"/>
      <c r="AA12" s="779"/>
      <c r="AB12" s="779"/>
      <c r="AC12" s="380"/>
      <c r="AD12" s="380"/>
      <c r="AE12" s="779"/>
      <c r="AF12" s="779"/>
      <c r="AG12" s="847"/>
      <c r="AH12" s="804"/>
    </row>
    <row r="13" spans="1:35">
      <c r="A13" s="4535" t="s">
        <v>54</v>
      </c>
      <c r="B13" s="4535"/>
      <c r="C13" s="4535"/>
      <c r="D13" s="934"/>
      <c r="E13" s="778"/>
      <c r="F13" s="781"/>
      <c r="G13" s="779"/>
      <c r="H13" s="793"/>
      <c r="I13" s="778"/>
      <c r="J13" s="778"/>
      <c r="K13" s="781"/>
      <c r="L13" s="778"/>
      <c r="M13" s="795"/>
      <c r="N13" s="795"/>
      <c r="O13" s="795"/>
      <c r="P13" s="795"/>
      <c r="Q13" s="795"/>
      <c r="R13" s="795"/>
      <c r="S13" s="795"/>
      <c r="T13" s="796"/>
      <c r="U13" s="796"/>
      <c r="V13" s="796"/>
      <c r="W13" s="796"/>
      <c r="X13" s="796"/>
      <c r="Y13" s="796"/>
      <c r="Z13" s="796"/>
      <c r="AA13" s="796"/>
      <c r="AB13" s="796"/>
      <c r="AC13" s="796"/>
      <c r="AD13" s="796"/>
      <c r="AE13" s="796"/>
      <c r="AF13" s="778"/>
      <c r="AG13" s="781"/>
      <c r="AH13" s="804"/>
      <c r="AI13" s="921"/>
    </row>
    <row r="14" spans="1:35">
      <c r="A14" s="4360" t="s">
        <v>171</v>
      </c>
      <c r="B14" s="4360"/>
      <c r="C14" s="4360"/>
      <c r="D14" s="935"/>
      <c r="E14" s="779"/>
      <c r="F14" s="374"/>
      <c r="G14" s="797"/>
      <c r="H14" s="779"/>
      <c r="I14" s="779"/>
      <c r="J14" s="779"/>
      <c r="K14" s="779"/>
      <c r="L14" s="779"/>
      <c r="M14" s="779"/>
      <c r="N14" s="380"/>
      <c r="O14" s="380"/>
      <c r="P14" s="374"/>
      <c r="Q14" s="374"/>
      <c r="R14" s="779"/>
      <c r="S14" s="779"/>
      <c r="T14" s="779"/>
      <c r="U14" s="779"/>
      <c r="V14" s="779"/>
      <c r="W14" s="779"/>
      <c r="X14" s="779"/>
      <c r="Y14" s="779"/>
      <c r="Z14" s="779"/>
      <c r="AA14" s="779"/>
      <c r="AB14" s="779"/>
      <c r="AC14" s="380"/>
      <c r="AD14" s="380"/>
      <c r="AE14" s="779"/>
      <c r="AF14" s="779"/>
      <c r="AG14" s="847"/>
      <c r="AH14" s="804"/>
    </row>
    <row r="15" spans="1:35">
      <c r="A15" s="4763" t="s">
        <v>520</v>
      </c>
      <c r="B15" s="4763"/>
      <c r="C15" s="4764"/>
      <c r="D15" s="935"/>
      <c r="E15" s="780"/>
      <c r="F15" s="797"/>
      <c r="G15" s="797"/>
      <c r="H15" s="780"/>
      <c r="I15" s="780"/>
      <c r="J15" s="779"/>
      <c r="K15" s="779"/>
      <c r="L15" s="779"/>
      <c r="M15" s="779"/>
      <c r="N15" s="380"/>
      <c r="O15" s="380"/>
      <c r="P15" s="374"/>
      <c r="Q15" s="374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380"/>
      <c r="AD15" s="380"/>
      <c r="AE15" s="779"/>
      <c r="AF15" s="779"/>
      <c r="AG15" s="847"/>
      <c r="AH15" s="804"/>
    </row>
    <row r="16" spans="1:35">
      <c r="A16" s="4361" t="s">
        <v>627</v>
      </c>
      <c r="B16" s="4361"/>
      <c r="C16" s="4361"/>
      <c r="D16" s="2737"/>
      <c r="E16" s="4314" t="s">
        <v>1086</v>
      </c>
      <c r="F16" s="4314"/>
      <c r="G16" s="4314"/>
      <c r="H16" s="4314"/>
      <c r="I16" s="4314"/>
      <c r="J16" s="793"/>
      <c r="K16" s="781"/>
      <c r="L16" s="778"/>
      <c r="M16" s="795"/>
      <c r="N16" s="795"/>
      <c r="O16" s="795"/>
      <c r="P16" s="795"/>
      <c r="Q16" s="795"/>
      <c r="R16" s="795"/>
      <c r="S16" s="795"/>
      <c r="T16" s="796"/>
      <c r="U16" s="796"/>
      <c r="V16" s="796"/>
      <c r="W16" s="796"/>
      <c r="X16" s="796"/>
      <c r="Y16" s="796"/>
      <c r="Z16" s="796"/>
      <c r="AA16" s="796"/>
      <c r="AB16" s="796"/>
      <c r="AC16" s="796"/>
      <c r="AD16" s="796"/>
      <c r="AE16" s="796"/>
      <c r="AF16" s="778"/>
      <c r="AG16" s="781"/>
      <c r="AH16" s="804"/>
    </row>
    <row r="17" spans="1:34">
      <c r="A17" s="4405" t="s">
        <v>540</v>
      </c>
      <c r="B17" s="4529"/>
      <c r="C17" s="4530"/>
      <c r="D17" s="935"/>
      <c r="E17" s="778"/>
      <c r="F17" s="795"/>
      <c r="G17" s="1909"/>
      <c r="H17" s="778"/>
      <c r="I17" s="778"/>
      <c r="J17" s="779"/>
      <c r="K17" s="779"/>
      <c r="L17" s="779"/>
      <c r="M17" s="779"/>
      <c r="N17" s="380"/>
      <c r="O17" s="380"/>
      <c r="P17" s="374"/>
      <c r="Q17" s="374"/>
      <c r="R17" s="779"/>
      <c r="S17" s="779"/>
      <c r="T17" s="779"/>
      <c r="U17" s="779"/>
      <c r="V17" s="779"/>
      <c r="W17" s="779"/>
      <c r="X17" s="779"/>
      <c r="Y17" s="779"/>
      <c r="Z17" s="779"/>
      <c r="AA17" s="779"/>
      <c r="AB17" s="779"/>
      <c r="AC17" s="380"/>
      <c r="AD17" s="380"/>
      <c r="AE17" s="779"/>
      <c r="AF17" s="779"/>
      <c r="AG17" s="847"/>
      <c r="AH17" s="804"/>
    </row>
    <row r="18" spans="1:34">
      <c r="A18" s="5402" t="s">
        <v>993</v>
      </c>
      <c r="B18" s="4725"/>
      <c r="C18" s="4725"/>
      <c r="D18" s="935"/>
      <c r="E18" s="779"/>
      <c r="F18" s="779"/>
      <c r="G18" s="778"/>
      <c r="H18" s="779"/>
      <c r="I18" s="779"/>
      <c r="J18" s="779"/>
      <c r="K18" s="779"/>
      <c r="L18" s="5402" t="s">
        <v>1087</v>
      </c>
      <c r="M18" s="4725"/>
      <c r="N18" s="4725"/>
      <c r="O18" s="4725"/>
      <c r="P18" s="4726"/>
      <c r="Q18" s="778"/>
      <c r="R18" s="778"/>
      <c r="S18" s="778"/>
      <c r="T18" s="778"/>
      <c r="U18" s="779"/>
      <c r="V18" s="779"/>
      <c r="W18" s="779"/>
      <c r="X18" s="779"/>
      <c r="Y18" s="779"/>
      <c r="Z18" s="779"/>
      <c r="AA18" s="779"/>
      <c r="AB18" s="779"/>
      <c r="AC18" s="779"/>
      <c r="AD18" s="779"/>
      <c r="AE18" s="779"/>
      <c r="AF18" s="779"/>
      <c r="AG18" s="847"/>
      <c r="AH18" s="804"/>
    </row>
    <row r="19" spans="1:34">
      <c r="A19" s="4356" t="s">
        <v>1070</v>
      </c>
      <c r="B19" s="4626"/>
      <c r="C19" s="4602"/>
      <c r="D19" s="938"/>
      <c r="E19" s="780"/>
      <c r="F19" s="780"/>
      <c r="G19" s="780"/>
      <c r="H19" s="780"/>
      <c r="I19" s="780"/>
      <c r="J19" s="780"/>
      <c r="K19" s="780"/>
      <c r="L19" s="780"/>
      <c r="M19" s="780"/>
      <c r="N19" s="780"/>
      <c r="O19" s="780"/>
      <c r="P19" s="780"/>
      <c r="Q19" s="780"/>
      <c r="R19" s="780"/>
      <c r="S19" s="780"/>
      <c r="T19" s="780"/>
      <c r="U19" s="780"/>
      <c r="V19" s="780"/>
      <c r="W19" s="780"/>
      <c r="X19" s="780"/>
      <c r="Y19" s="780"/>
      <c r="Z19" s="780"/>
      <c r="AA19" s="780"/>
      <c r="AB19" s="780"/>
      <c r="AC19" s="780"/>
      <c r="AD19" s="780"/>
      <c r="AE19" s="780"/>
      <c r="AF19" s="780"/>
      <c r="AG19" s="783"/>
      <c r="AH19" s="806"/>
    </row>
    <row r="20" spans="1:34">
      <c r="A20" s="6128" t="s">
        <v>1088</v>
      </c>
      <c r="B20" s="6128"/>
      <c r="C20" s="6129"/>
      <c r="D20" s="2767"/>
      <c r="E20" s="849"/>
      <c r="F20" s="921"/>
      <c r="G20" s="921"/>
      <c r="H20" s="921"/>
      <c r="I20" s="1264"/>
      <c r="J20" s="1264"/>
      <c r="K20" s="785"/>
      <c r="L20" s="785"/>
      <c r="M20" s="779"/>
      <c r="N20" s="380"/>
      <c r="O20" s="380"/>
      <c r="P20" s="780"/>
      <c r="Q20" s="780"/>
      <c r="R20" s="780"/>
      <c r="S20" s="780"/>
      <c r="T20" s="780"/>
      <c r="U20" s="780"/>
      <c r="V20" s="780"/>
      <c r="W20" s="780"/>
      <c r="X20" s="780"/>
      <c r="Y20" s="780"/>
      <c r="Z20" s="780"/>
      <c r="AA20" s="780"/>
      <c r="AB20" s="780"/>
      <c r="AC20" s="780"/>
      <c r="AD20" s="780"/>
      <c r="AE20" s="780"/>
      <c r="AF20" s="780"/>
      <c r="AG20" s="783"/>
      <c r="AH20" s="806"/>
    </row>
    <row r="21" spans="1:34">
      <c r="A21" s="4475" t="s">
        <v>482</v>
      </c>
      <c r="B21" s="6130"/>
      <c r="C21" s="6130"/>
      <c r="D21" s="784"/>
      <c r="E21" s="780"/>
      <c r="F21" s="780"/>
      <c r="G21" s="780"/>
      <c r="H21" s="780"/>
      <c r="I21" s="780"/>
      <c r="J21" s="780"/>
      <c r="K21" s="780"/>
      <c r="L21" s="780"/>
      <c r="M21" s="2987"/>
      <c r="N21" s="2987"/>
      <c r="O21" s="4419" t="s">
        <v>1089</v>
      </c>
      <c r="P21" s="4468"/>
      <c r="Q21" s="4468"/>
      <c r="R21" s="4468"/>
      <c r="S21" s="4468"/>
      <c r="T21" s="4468"/>
      <c r="U21" s="4468"/>
      <c r="V21" s="4468"/>
      <c r="W21" s="4468"/>
      <c r="X21" s="4468"/>
      <c r="Y21" s="4468"/>
      <c r="Z21" s="4468"/>
      <c r="AA21" s="4468"/>
      <c r="AB21" s="4468"/>
      <c r="AC21" s="4468"/>
      <c r="AD21" s="4468"/>
      <c r="AE21" s="4468"/>
      <c r="AF21" s="4468"/>
      <c r="AG21" s="4515"/>
      <c r="AH21" s="2988"/>
    </row>
    <row r="22" spans="1:34">
      <c r="A22" s="2828" t="s">
        <v>66</v>
      </c>
      <c r="B22" s="34" t="s">
        <v>67</v>
      </c>
      <c r="C22" s="2407" t="s">
        <v>458</v>
      </c>
      <c r="D22" s="1499"/>
      <c r="E22" s="6115" t="s">
        <v>1090</v>
      </c>
      <c r="F22" s="6115"/>
      <c r="G22" s="6115"/>
      <c r="H22" s="6115"/>
      <c r="I22" s="6115"/>
      <c r="J22" s="937"/>
      <c r="K22" s="937"/>
      <c r="L22" s="937"/>
      <c r="M22" s="937"/>
      <c r="N22" s="937"/>
      <c r="O22" s="4599" t="s">
        <v>1089</v>
      </c>
      <c r="P22" s="4599"/>
      <c r="Q22" s="4599"/>
      <c r="R22" s="4599"/>
      <c r="S22" s="4599"/>
      <c r="T22" s="4599"/>
      <c r="U22" s="4599"/>
      <c r="V22" s="4599"/>
      <c r="W22" s="4599"/>
      <c r="X22" s="4599"/>
      <c r="Y22" s="4599"/>
      <c r="Z22" s="4599"/>
      <c r="AA22" s="4599"/>
      <c r="AB22" s="4599"/>
      <c r="AC22" s="4599"/>
      <c r="AD22" s="4599"/>
      <c r="AE22" s="4599"/>
      <c r="AF22" s="4599"/>
      <c r="AG22" s="4599"/>
      <c r="AH22" s="1333"/>
    </row>
    <row r="23" spans="1:34">
      <c r="A23" s="2247" t="s">
        <v>73</v>
      </c>
      <c r="B23" s="28" t="s">
        <v>67</v>
      </c>
      <c r="C23" s="32" t="s">
        <v>714</v>
      </c>
      <c r="D23" s="938"/>
      <c r="E23" s="6127" t="s">
        <v>1091</v>
      </c>
      <c r="F23" s="6127"/>
      <c r="G23" s="6127"/>
      <c r="H23" s="6127"/>
      <c r="I23" s="6127"/>
      <c r="J23" s="780"/>
      <c r="K23" s="780"/>
      <c r="L23" s="780"/>
      <c r="M23" s="780"/>
      <c r="N23" s="852"/>
      <c r="O23" s="852"/>
      <c r="P23" s="780"/>
      <c r="Q23" s="780"/>
      <c r="R23" s="780"/>
      <c r="S23" s="780"/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  <c r="AF23" s="780"/>
      <c r="AG23" s="779"/>
      <c r="AH23" s="2921"/>
    </row>
    <row r="24" spans="1:34" s="1704" customFormat="1" ht="15.75" customHeight="1">
      <c r="A24" s="1417" t="s">
        <v>599</v>
      </c>
      <c r="B24" s="2950" t="s">
        <v>543</v>
      </c>
      <c r="C24" s="2951" t="s">
        <v>544</v>
      </c>
      <c r="D24" s="3685"/>
      <c r="E24" s="3685"/>
      <c r="F24" s="3685"/>
      <c r="G24" s="3685"/>
      <c r="H24" s="3685"/>
      <c r="I24" s="3685"/>
      <c r="J24" s="3685"/>
      <c r="K24" s="3685"/>
      <c r="L24" s="3685"/>
      <c r="M24" s="3685"/>
      <c r="N24" s="3685"/>
      <c r="O24" s="3685"/>
      <c r="P24" s="4475" t="s">
        <v>1092</v>
      </c>
      <c r="Q24" s="4475"/>
      <c r="R24" s="4475"/>
      <c r="S24" s="4475"/>
      <c r="T24" s="4475"/>
      <c r="U24" s="4475"/>
      <c r="V24" s="4475"/>
      <c r="W24" s="4475"/>
      <c r="X24" s="4475"/>
      <c r="Y24" s="4475"/>
      <c r="Z24" s="4475"/>
      <c r="AA24" s="4475"/>
      <c r="AB24" s="4475"/>
      <c r="AC24" s="4475"/>
      <c r="AD24" s="4475"/>
      <c r="AE24" s="4475"/>
      <c r="AF24" s="4475"/>
      <c r="AG24" s="2990"/>
      <c r="AH24" s="324"/>
    </row>
    <row r="25" spans="1:34">
      <c r="A25" s="3620" t="s">
        <v>84</v>
      </c>
      <c r="B25" s="2956" t="s">
        <v>85</v>
      </c>
      <c r="C25" s="2956" t="s">
        <v>716</v>
      </c>
      <c r="D25" s="4293" t="s">
        <v>1093</v>
      </c>
      <c r="E25" s="4707"/>
      <c r="F25" s="4707"/>
      <c r="G25" s="4707"/>
      <c r="H25" s="4707"/>
      <c r="I25" s="4707"/>
      <c r="J25" s="4707"/>
      <c r="K25" s="4707"/>
      <c r="L25" s="4707"/>
      <c r="M25" s="4707"/>
      <c r="N25" s="4707"/>
      <c r="O25" s="4707"/>
      <c r="P25" s="4707"/>
      <c r="Q25" s="4707"/>
      <c r="R25" s="4707"/>
      <c r="S25" s="4707"/>
      <c r="T25" s="4707"/>
      <c r="U25" s="4707"/>
      <c r="V25" s="537"/>
      <c r="W25" s="537"/>
      <c r="X25" s="537"/>
      <c r="Y25" s="537"/>
      <c r="Z25" s="537"/>
      <c r="AA25" s="537"/>
      <c r="AB25" s="537"/>
      <c r="AC25" s="537"/>
      <c r="AD25" s="537"/>
      <c r="AE25" s="537"/>
      <c r="AF25" s="537"/>
      <c r="AG25" s="3038"/>
      <c r="AH25" s="2986"/>
    </row>
    <row r="26" spans="1:34" ht="15.75">
      <c r="A26" s="4829" t="s">
        <v>92</v>
      </c>
      <c r="B26" s="2952" t="s">
        <v>95</v>
      </c>
      <c r="C26" s="2953" t="s">
        <v>718</v>
      </c>
      <c r="D26" s="3037"/>
      <c r="E26" s="4294" t="s">
        <v>1090</v>
      </c>
      <c r="F26" s="4294"/>
      <c r="G26" s="4294"/>
      <c r="H26" s="4294"/>
      <c r="I26" s="4294"/>
      <c r="J26" s="779"/>
      <c r="K26" s="779"/>
      <c r="L26" s="779"/>
      <c r="M26" s="779"/>
      <c r="N26" s="779"/>
      <c r="O26" s="779"/>
      <c r="P26" s="779"/>
      <c r="Q26" s="2"/>
      <c r="R26" s="2"/>
      <c r="S26" s="2868" t="s">
        <v>717</v>
      </c>
      <c r="T26" s="2"/>
      <c r="U26" s="5774" t="s">
        <v>1094</v>
      </c>
      <c r="V26" s="5774"/>
      <c r="W26" s="5774"/>
      <c r="X26" s="5774"/>
      <c r="Y26" s="5774"/>
      <c r="Z26" s="5774"/>
      <c r="AA26" s="5774"/>
      <c r="AB26" s="5774"/>
      <c r="AC26" s="5774"/>
      <c r="AD26" s="5774"/>
      <c r="AE26" s="5774"/>
      <c r="AF26" s="5774"/>
      <c r="AG26" s="793"/>
      <c r="AH26" s="805"/>
    </row>
    <row r="27" spans="1:34" ht="15.75">
      <c r="A27" s="4666"/>
      <c r="B27" s="1490" t="s">
        <v>326</v>
      </c>
      <c r="C27" s="1491" t="s">
        <v>327</v>
      </c>
      <c r="D27" s="4293" t="s">
        <v>1095</v>
      </c>
      <c r="E27" s="5270"/>
      <c r="F27" s="5270"/>
      <c r="G27" s="5270"/>
      <c r="H27" s="5270"/>
      <c r="I27" s="5270"/>
      <c r="J27" s="5270"/>
      <c r="K27" s="5270"/>
      <c r="L27" s="779"/>
      <c r="M27" s="779"/>
      <c r="N27" s="779"/>
      <c r="O27" s="779"/>
      <c r="P27" s="2434" t="s">
        <v>722</v>
      </c>
      <c r="Q27" s="779"/>
      <c r="R27" s="779"/>
      <c r="S27" s="779"/>
      <c r="T27" s="779"/>
      <c r="U27" s="779"/>
      <c r="V27" s="2434"/>
      <c r="W27" s="2434"/>
      <c r="X27" s="2434" t="s">
        <v>720</v>
      </c>
      <c r="Y27" s="779"/>
      <c r="Z27" s="779"/>
      <c r="AA27" s="779"/>
      <c r="AB27" s="779"/>
      <c r="AC27" s="779"/>
      <c r="AD27" s="779"/>
      <c r="AE27" s="2434" t="s">
        <v>720</v>
      </c>
      <c r="AF27" s="2434"/>
      <c r="AG27" s="822"/>
      <c r="AH27" s="804"/>
    </row>
    <row r="28" spans="1:34" ht="15.75">
      <c r="A28" s="4830"/>
      <c r="B28" s="2954" t="s">
        <v>606</v>
      </c>
      <c r="C28" s="2955" t="s">
        <v>98</v>
      </c>
      <c r="D28" s="3039"/>
      <c r="E28" s="6124" t="s">
        <v>1090</v>
      </c>
      <c r="F28" s="6124"/>
      <c r="G28" s="6124"/>
      <c r="H28" s="6124"/>
      <c r="I28" s="6124"/>
      <c r="J28" s="785"/>
      <c r="K28" s="2439"/>
      <c r="L28" s="785"/>
      <c r="M28" s="785"/>
      <c r="N28" s="2439" t="s">
        <v>720</v>
      </c>
      <c r="O28" s="785"/>
      <c r="P28" s="785"/>
      <c r="Q28" s="5043" t="s">
        <v>1096</v>
      </c>
      <c r="R28" s="5043"/>
      <c r="S28" s="5043"/>
      <c r="T28" s="5043"/>
      <c r="U28" s="5043"/>
      <c r="V28" s="5043"/>
      <c r="W28" s="5043"/>
      <c r="X28" s="5043"/>
      <c r="Y28" s="5043"/>
      <c r="Z28" s="5043"/>
      <c r="AA28" s="5043"/>
      <c r="AB28" s="5043"/>
      <c r="AC28" s="5043"/>
      <c r="AD28" s="5043"/>
      <c r="AE28" s="5043"/>
      <c r="AF28" s="785"/>
      <c r="AG28" s="780"/>
      <c r="AH28" s="806"/>
    </row>
    <row r="29" spans="1:34">
      <c r="A29" s="4677" t="s">
        <v>99</v>
      </c>
      <c r="B29" s="949" t="s">
        <v>100</v>
      </c>
      <c r="C29" s="35" t="s">
        <v>725</v>
      </c>
      <c r="D29" s="1499"/>
      <c r="E29" s="6115" t="s">
        <v>1090</v>
      </c>
      <c r="F29" s="6115"/>
      <c r="G29" s="6115"/>
      <c r="H29" s="6115"/>
      <c r="I29" s="6115"/>
      <c r="J29" s="937"/>
      <c r="K29" s="937"/>
      <c r="L29" s="937"/>
      <c r="M29" s="937"/>
      <c r="N29" s="937"/>
      <c r="O29" s="937"/>
      <c r="P29" s="937"/>
      <c r="Q29" s="937"/>
      <c r="R29" s="937"/>
      <c r="S29" s="937"/>
      <c r="T29" s="937"/>
      <c r="U29" s="937"/>
      <c r="V29" s="937"/>
      <c r="W29" s="937"/>
      <c r="X29" s="937"/>
      <c r="Y29" s="937"/>
      <c r="Z29" s="937"/>
      <c r="AA29" s="937"/>
      <c r="AB29" s="937"/>
      <c r="AC29" s="937"/>
      <c r="AD29" s="937"/>
      <c r="AE29" s="937"/>
      <c r="AF29" s="937"/>
      <c r="AG29" s="937"/>
      <c r="AH29" s="1333"/>
    </row>
    <row r="30" spans="1:34">
      <c r="A30" s="4410"/>
      <c r="B30" s="1945" t="s">
        <v>95</v>
      </c>
      <c r="C30" s="32" t="s">
        <v>726</v>
      </c>
      <c r="D30" s="935"/>
      <c r="E30" s="4294" t="s">
        <v>1090</v>
      </c>
      <c r="F30" s="4294"/>
      <c r="G30" s="4294"/>
      <c r="H30" s="4294"/>
      <c r="I30" s="4294"/>
      <c r="J30" s="779"/>
      <c r="K30" s="779"/>
      <c r="L30" s="2434" t="s">
        <v>720</v>
      </c>
      <c r="M30" s="779"/>
      <c r="N30" s="380"/>
      <c r="O30" s="4475" t="s">
        <v>1097</v>
      </c>
      <c r="P30" s="4475"/>
      <c r="Q30" s="4475"/>
      <c r="R30" s="4475"/>
      <c r="S30" s="4475"/>
      <c r="T30" s="4475"/>
      <c r="U30" s="4475"/>
      <c r="V30" s="4475"/>
      <c r="W30" s="4475"/>
      <c r="X30" s="4475"/>
      <c r="Y30" s="4475"/>
      <c r="Z30" s="4475"/>
      <c r="AA30" s="4475"/>
      <c r="AB30" s="4475"/>
      <c r="AC30" s="4475"/>
      <c r="AD30" s="4475"/>
      <c r="AE30" s="4475"/>
      <c r="AF30" s="4475"/>
      <c r="AG30" s="779"/>
      <c r="AH30" s="804"/>
    </row>
    <row r="31" spans="1:34" ht="15.75" customHeight="1">
      <c r="A31" s="4410"/>
      <c r="B31" s="676" t="s">
        <v>95</v>
      </c>
      <c r="C31" s="32" t="s">
        <v>548</v>
      </c>
      <c r="D31" s="935"/>
      <c r="E31" s="4294" t="s">
        <v>1090</v>
      </c>
      <c r="F31" s="4294"/>
      <c r="G31" s="4294"/>
      <c r="H31" s="4294"/>
      <c r="I31" s="4294"/>
      <c r="J31" s="779"/>
      <c r="K31" s="779"/>
      <c r="L31" s="779"/>
      <c r="M31" s="779"/>
      <c r="N31" s="779"/>
      <c r="O31" s="779"/>
      <c r="P31" s="779"/>
      <c r="Q31" s="2434" t="s">
        <v>720</v>
      </c>
      <c r="R31" s="779"/>
      <c r="S31" s="779"/>
      <c r="T31" s="779"/>
      <c r="U31" s="2434" t="s">
        <v>720</v>
      </c>
      <c r="V31" s="2434"/>
      <c r="W31" s="779"/>
      <c r="X31" s="779"/>
      <c r="Y31" s="779"/>
      <c r="Z31" s="779"/>
      <c r="AA31" s="779"/>
      <c r="AB31" s="779"/>
      <c r="AC31" s="779"/>
      <c r="AD31" s="2434" t="s">
        <v>722</v>
      </c>
      <c r="AE31" s="779"/>
      <c r="AF31" s="779"/>
      <c r="AG31" s="779"/>
      <c r="AH31" s="804"/>
    </row>
    <row r="32" spans="1:34" ht="15.75" customHeight="1">
      <c r="A32" s="4410"/>
      <c r="B32" s="676" t="s">
        <v>95</v>
      </c>
      <c r="C32" s="32" t="s">
        <v>738</v>
      </c>
      <c r="D32" s="935"/>
      <c r="E32" s="2259"/>
      <c r="F32" s="2432" t="s">
        <v>717</v>
      </c>
      <c r="G32" s="2259"/>
      <c r="H32" s="2259"/>
      <c r="I32" s="2259"/>
      <c r="J32" s="779"/>
      <c r="K32" s="779"/>
      <c r="L32" s="779"/>
      <c r="M32" s="779"/>
      <c r="N32" s="779"/>
      <c r="O32" s="2432" t="s">
        <v>717</v>
      </c>
      <c r="P32" s="779"/>
      <c r="Q32" s="779"/>
      <c r="R32" s="779"/>
      <c r="S32" s="779"/>
      <c r="T32" s="779"/>
      <c r="U32" s="779"/>
      <c r="V32" s="779"/>
      <c r="W32" s="779"/>
      <c r="X32" s="779"/>
      <c r="Y32" s="779"/>
      <c r="Z32" s="779"/>
      <c r="AA32" s="779"/>
      <c r="AB32" s="779"/>
      <c r="AC32" s="779"/>
      <c r="AD32" s="779"/>
      <c r="AE32" s="779"/>
      <c r="AF32" s="779"/>
      <c r="AG32" s="779"/>
      <c r="AH32" s="3601" t="s">
        <v>711</v>
      </c>
    </row>
    <row r="33" spans="1:34">
      <c r="A33" s="4410"/>
      <c r="B33" s="676" t="s">
        <v>106</v>
      </c>
      <c r="C33" s="32" t="s">
        <v>107</v>
      </c>
      <c r="D33" s="935"/>
      <c r="E33" s="4294" t="s">
        <v>1090</v>
      </c>
      <c r="F33" s="4294"/>
      <c r="G33" s="4294"/>
      <c r="H33" s="4294"/>
      <c r="I33" s="4294"/>
      <c r="J33" s="779"/>
      <c r="K33" s="779"/>
      <c r="L33" s="779"/>
      <c r="M33" s="779"/>
      <c r="N33" s="779"/>
      <c r="O33" s="779"/>
      <c r="P33" s="779"/>
      <c r="Q33" s="779"/>
      <c r="R33" s="779"/>
      <c r="S33" s="6125"/>
      <c r="T33" s="6125"/>
      <c r="U33" s="6125"/>
      <c r="V33" s="6125"/>
      <c r="W33" s="6125"/>
      <c r="X33" s="6125"/>
      <c r="Y33" s="6125"/>
      <c r="Z33" s="6125"/>
      <c r="AA33" s="6125"/>
      <c r="AB33" s="6125"/>
      <c r="AC33" s="6125"/>
      <c r="AD33" s="6125"/>
      <c r="AE33" s="6125"/>
      <c r="AF33" s="6125"/>
      <c r="AG33" s="6125"/>
      <c r="AH33" s="6126"/>
    </row>
    <row r="34" spans="1:34">
      <c r="A34" s="4410"/>
      <c r="B34" s="38" t="s">
        <v>108</v>
      </c>
      <c r="C34" s="33" t="s">
        <v>109</v>
      </c>
      <c r="D34" s="938"/>
      <c r="E34" s="2435"/>
      <c r="F34" s="780"/>
      <c r="G34" s="2435"/>
      <c r="H34" s="780"/>
      <c r="I34" s="780"/>
      <c r="J34" s="2435" t="s">
        <v>722</v>
      </c>
      <c r="K34" s="780"/>
      <c r="L34" s="780"/>
      <c r="M34" s="780"/>
      <c r="N34" s="852"/>
      <c r="O34" s="852"/>
      <c r="P34" s="780"/>
      <c r="Q34" s="780"/>
      <c r="R34" s="2435" t="s">
        <v>720</v>
      </c>
      <c r="S34" s="780"/>
      <c r="T34" s="780"/>
      <c r="U34" s="780"/>
      <c r="V34" s="780"/>
      <c r="W34" s="780"/>
      <c r="X34" s="780"/>
      <c r="Y34" s="780"/>
      <c r="Z34" s="780"/>
      <c r="AA34" s="2435" t="s">
        <v>722</v>
      </c>
      <c r="AB34" s="780"/>
      <c r="AC34" s="780"/>
      <c r="AD34" s="780"/>
      <c r="AE34" s="780"/>
      <c r="AF34" s="780"/>
      <c r="AG34" s="780"/>
      <c r="AH34" s="806"/>
    </row>
    <row r="35" spans="1:34" ht="15.75">
      <c r="A35" s="4666" t="s">
        <v>110</v>
      </c>
      <c r="B35" s="845" t="s">
        <v>283</v>
      </c>
      <c r="C35" s="214" t="s">
        <v>201</v>
      </c>
      <c r="D35" s="1499"/>
      <c r="E35" s="6115" t="s">
        <v>1090</v>
      </c>
      <c r="F35" s="6115"/>
      <c r="G35" s="6115"/>
      <c r="H35" s="6115"/>
      <c r="I35" s="6115"/>
      <c r="J35" s="937"/>
      <c r="K35" s="937"/>
      <c r="L35" s="937"/>
      <c r="M35" s="937"/>
      <c r="N35" s="937"/>
      <c r="O35" s="937"/>
      <c r="P35" s="2433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3601" t="s">
        <v>711</v>
      </c>
    </row>
    <row r="36" spans="1:34" ht="15.75">
      <c r="A36" s="4666"/>
      <c r="B36" s="845" t="s">
        <v>283</v>
      </c>
      <c r="C36" s="1698" t="s">
        <v>610</v>
      </c>
      <c r="D36" s="2989" t="s">
        <v>1098</v>
      </c>
      <c r="E36" s="4294" t="s">
        <v>1090</v>
      </c>
      <c r="F36" s="4294"/>
      <c r="G36" s="4294"/>
      <c r="H36" s="4294"/>
      <c r="I36" s="4294"/>
      <c r="J36" s="779"/>
      <c r="K36" s="779"/>
      <c r="L36" s="779"/>
      <c r="M36" s="779"/>
      <c r="N36" s="779"/>
      <c r="O36" s="779"/>
      <c r="P36" s="2434"/>
      <c r="Q36" s="779"/>
      <c r="R36" s="779"/>
      <c r="S36" s="779"/>
      <c r="T36" s="779"/>
      <c r="U36" s="779"/>
      <c r="V36" s="779"/>
      <c r="W36" s="2434" t="s">
        <v>720</v>
      </c>
      <c r="X36" s="779"/>
      <c r="Y36" s="779"/>
      <c r="Z36" s="779"/>
      <c r="AA36" s="779"/>
      <c r="AB36" s="779"/>
      <c r="AC36" s="779"/>
      <c r="AD36" s="2434" t="s">
        <v>720</v>
      </c>
      <c r="AE36" s="779"/>
      <c r="AF36" s="779"/>
      <c r="AG36" s="779"/>
      <c r="AH36" s="2699" t="s">
        <v>1099</v>
      </c>
    </row>
    <row r="37" spans="1:34" ht="15.75">
      <c r="A37" s="4666"/>
      <c r="B37" s="845" t="s">
        <v>95</v>
      </c>
      <c r="C37" s="441" t="s">
        <v>249</v>
      </c>
      <c r="D37" s="935"/>
      <c r="E37" s="2434" t="s">
        <v>720</v>
      </c>
      <c r="F37" s="2434"/>
      <c r="G37" s="779"/>
      <c r="H37" s="779"/>
      <c r="I37" s="2434" t="s">
        <v>720</v>
      </c>
      <c r="J37" s="779"/>
      <c r="K37" s="779"/>
      <c r="L37" s="779"/>
      <c r="M37" s="2434"/>
      <c r="N37" s="779"/>
      <c r="O37" s="779"/>
      <c r="P37" s="4475" t="s">
        <v>1092</v>
      </c>
      <c r="Q37" s="4475"/>
      <c r="R37" s="4475"/>
      <c r="S37" s="4475"/>
      <c r="T37" s="4475"/>
      <c r="U37" s="4475"/>
      <c r="V37" s="4475"/>
      <c r="W37" s="4475"/>
      <c r="X37" s="4475"/>
      <c r="Y37" s="4475"/>
      <c r="Z37" s="4475"/>
      <c r="AA37" s="4475"/>
      <c r="AB37" s="4475"/>
      <c r="AC37" s="4475"/>
      <c r="AD37" s="4475"/>
      <c r="AE37" s="4475"/>
      <c r="AF37" s="4475"/>
      <c r="AG37" s="779"/>
      <c r="AH37" s="804"/>
    </row>
    <row r="38" spans="1:34">
      <c r="A38" s="4666"/>
      <c r="B38" s="28" t="s">
        <v>113</v>
      </c>
      <c r="C38" s="32" t="s">
        <v>116</v>
      </c>
      <c r="D38" s="935"/>
      <c r="E38" s="2434"/>
      <c r="F38" s="2434"/>
      <c r="G38" s="779"/>
      <c r="H38" s="779"/>
      <c r="I38" s="2434"/>
      <c r="J38" s="779"/>
      <c r="K38" s="779"/>
      <c r="L38" s="779"/>
      <c r="M38" s="2434" t="s">
        <v>720</v>
      </c>
      <c r="N38" s="779"/>
      <c r="O38" s="779"/>
      <c r="P38" s="779"/>
      <c r="Q38" s="779"/>
      <c r="R38" s="779"/>
      <c r="S38" s="779"/>
      <c r="T38" s="779"/>
      <c r="U38" s="779"/>
      <c r="V38" s="2434"/>
      <c r="W38" s="779"/>
      <c r="X38" s="779"/>
      <c r="Y38" s="779"/>
      <c r="Z38" s="779"/>
      <c r="AA38" s="779"/>
      <c r="AB38" s="779"/>
      <c r="AC38" s="779"/>
      <c r="AD38" s="779"/>
      <c r="AE38" s="2434" t="s">
        <v>722</v>
      </c>
      <c r="AF38" s="2434"/>
      <c r="AG38" s="779"/>
      <c r="AH38" s="3601" t="s">
        <v>711</v>
      </c>
    </row>
    <row r="39" spans="1:34">
      <c r="A39" s="4666"/>
      <c r="B39" s="28" t="s">
        <v>120</v>
      </c>
      <c r="C39" s="32" t="s">
        <v>1079</v>
      </c>
      <c r="D39" s="935"/>
      <c r="E39" s="779"/>
      <c r="F39" s="779"/>
      <c r="G39" s="779"/>
      <c r="H39" s="2434"/>
      <c r="I39" s="2434" t="s">
        <v>717</v>
      </c>
      <c r="J39" s="779"/>
      <c r="K39" s="779"/>
      <c r="L39" s="779"/>
      <c r="M39" s="779"/>
      <c r="N39" s="779"/>
      <c r="O39" s="779"/>
      <c r="P39" s="2434"/>
      <c r="Q39" s="779"/>
      <c r="R39" s="779"/>
      <c r="S39" s="779"/>
      <c r="T39" s="779"/>
      <c r="U39" s="779"/>
      <c r="V39" s="779"/>
      <c r="W39" s="779"/>
      <c r="X39" s="779"/>
      <c r="Y39" s="779"/>
      <c r="Z39" s="779"/>
      <c r="AA39" s="779"/>
      <c r="AB39" s="779"/>
      <c r="AC39" s="779"/>
      <c r="AD39" s="2434" t="s">
        <v>717</v>
      </c>
      <c r="AE39" s="779"/>
      <c r="AF39" s="779"/>
      <c r="AG39" s="779"/>
      <c r="AH39" s="3601" t="s">
        <v>711</v>
      </c>
    </row>
    <row r="40" spans="1:34">
      <c r="A40" s="4666"/>
      <c r="B40" s="28" t="s">
        <v>124</v>
      </c>
      <c r="C40" s="32" t="s">
        <v>125</v>
      </c>
      <c r="D40" s="2511"/>
      <c r="E40" s="779"/>
      <c r="F40" s="779"/>
      <c r="G40" s="779"/>
      <c r="H40" s="779"/>
      <c r="I40" s="779"/>
      <c r="J40" s="779"/>
      <c r="K40" s="779"/>
      <c r="L40" s="779"/>
      <c r="M40" s="779"/>
      <c r="N40" s="779"/>
      <c r="O40" s="779"/>
      <c r="P40" s="779"/>
      <c r="Q40" s="779"/>
      <c r="R40" s="779"/>
      <c r="S40" s="779"/>
      <c r="T40" s="779"/>
      <c r="U40" s="779"/>
      <c r="V40" s="779"/>
      <c r="W40" s="779"/>
      <c r="X40" s="779"/>
      <c r="Y40" s="779"/>
      <c r="Z40" s="779"/>
      <c r="AA40" s="779"/>
      <c r="AB40" s="779"/>
      <c r="AC40" s="779"/>
      <c r="AD40" s="779"/>
      <c r="AE40" s="779"/>
      <c r="AF40" s="779"/>
      <c r="AG40" s="779"/>
      <c r="AH40" s="1582"/>
    </row>
    <row r="41" spans="1:34">
      <c r="A41" s="4666"/>
      <c r="B41" s="28" t="s">
        <v>122</v>
      </c>
      <c r="C41" s="32" t="s">
        <v>553</v>
      </c>
      <c r="D41" s="2989" t="s">
        <v>523</v>
      </c>
      <c r="E41" s="822"/>
      <c r="F41" s="779"/>
      <c r="G41" s="779"/>
      <c r="H41" s="779"/>
      <c r="I41" s="779"/>
      <c r="J41" s="2434" t="s">
        <v>720</v>
      </c>
      <c r="K41" s="779"/>
      <c r="L41" s="779"/>
      <c r="M41" s="779"/>
      <c r="N41" s="779"/>
      <c r="O41" s="2434" t="s">
        <v>722</v>
      </c>
      <c r="P41" s="779"/>
      <c r="Q41" s="779"/>
      <c r="R41" s="779"/>
      <c r="S41" s="779"/>
      <c r="T41" s="779"/>
      <c r="U41" s="4475" t="s">
        <v>1100</v>
      </c>
      <c r="V41" s="4475"/>
      <c r="W41" s="4475"/>
      <c r="X41" s="4475"/>
      <c r="Y41" s="4475"/>
      <c r="Z41" s="4475"/>
      <c r="AA41" s="4475"/>
      <c r="AB41" s="4475"/>
      <c r="AC41" s="4475"/>
      <c r="AD41" s="4475"/>
      <c r="AE41" s="779"/>
      <c r="AF41" s="779"/>
      <c r="AG41" s="2434" t="s">
        <v>722</v>
      </c>
      <c r="AH41" s="2998"/>
    </row>
    <row r="42" spans="1:34">
      <c r="A42" s="4666"/>
      <c r="B42" s="28" t="s">
        <v>124</v>
      </c>
      <c r="C42" s="32" t="s">
        <v>733</v>
      </c>
      <c r="D42" s="3001" t="s">
        <v>251</v>
      </c>
      <c r="E42" s="6123" t="s">
        <v>1101</v>
      </c>
      <c r="F42" s="6123"/>
      <c r="G42" s="6123"/>
      <c r="H42" s="6123"/>
      <c r="I42" s="6123"/>
      <c r="J42" s="4333" t="s">
        <v>158</v>
      </c>
      <c r="K42" s="4411"/>
      <c r="L42" s="4334"/>
      <c r="M42" s="5443" t="s">
        <v>251</v>
      </c>
      <c r="N42" s="5444"/>
      <c r="O42" s="2287"/>
      <c r="P42" s="2434" t="s">
        <v>720</v>
      </c>
      <c r="Q42" s="779"/>
      <c r="R42" s="779"/>
      <c r="S42" s="779"/>
      <c r="T42" s="779"/>
      <c r="U42" s="779"/>
      <c r="V42" s="779"/>
      <c r="W42" s="779"/>
      <c r="X42" s="779"/>
      <c r="Y42" s="779"/>
      <c r="Z42" s="2434"/>
      <c r="AA42" s="779"/>
      <c r="AB42" s="779"/>
      <c r="AC42" s="779"/>
      <c r="AD42" s="779"/>
      <c r="AE42" s="779"/>
      <c r="AF42" s="2434" t="s">
        <v>720</v>
      </c>
      <c r="AG42" s="1631"/>
      <c r="AH42" s="1582"/>
    </row>
    <row r="43" spans="1:34">
      <c r="A43" s="4666"/>
      <c r="B43" s="28" t="s">
        <v>692</v>
      </c>
      <c r="C43" s="32" t="s">
        <v>1102</v>
      </c>
      <c r="D43" s="1663"/>
      <c r="E43" s="2434" t="s">
        <v>717</v>
      </c>
      <c r="F43" s="779"/>
      <c r="G43" s="779"/>
      <c r="H43" s="779"/>
      <c r="I43" s="779"/>
      <c r="J43" s="779"/>
      <c r="K43" s="779"/>
      <c r="L43" s="779"/>
      <c r="M43" s="2434" t="s">
        <v>717</v>
      </c>
      <c r="N43" s="779"/>
      <c r="O43" s="779"/>
      <c r="P43" s="4475" t="s">
        <v>1092</v>
      </c>
      <c r="Q43" s="4475"/>
      <c r="R43" s="4475"/>
      <c r="S43" s="4475"/>
      <c r="T43" s="4475"/>
      <c r="U43" s="4475"/>
      <c r="V43" s="4475"/>
      <c r="W43" s="4475"/>
      <c r="X43" s="4475"/>
      <c r="Y43" s="4475"/>
      <c r="Z43" s="4475"/>
      <c r="AA43" s="4475"/>
      <c r="AB43" s="4475"/>
      <c r="AC43" s="4475"/>
      <c r="AD43" s="4475"/>
      <c r="AE43" s="4475"/>
      <c r="AF43" s="4475"/>
      <c r="AG43" s="779"/>
      <c r="AH43" s="1582"/>
    </row>
    <row r="44" spans="1:34">
      <c r="A44" s="4666"/>
      <c r="B44" s="28" t="s">
        <v>554</v>
      </c>
      <c r="C44" s="32" t="s">
        <v>555</v>
      </c>
      <c r="D44" s="935"/>
      <c r="E44" s="4475" t="s">
        <v>1103</v>
      </c>
      <c r="F44" s="4475"/>
      <c r="G44" s="4475"/>
      <c r="H44" s="4475"/>
      <c r="I44" s="4475"/>
      <c r="J44" s="4475"/>
      <c r="K44" s="4475"/>
      <c r="L44" s="4475"/>
      <c r="M44" s="4475"/>
      <c r="N44" s="4475"/>
      <c r="O44" s="4475"/>
      <c r="P44" s="4475"/>
      <c r="Q44" s="4475"/>
      <c r="R44" s="4475"/>
      <c r="S44" s="4475"/>
      <c r="T44" s="4475"/>
      <c r="U44" s="4475"/>
      <c r="V44" s="779"/>
      <c r="W44" s="779"/>
      <c r="X44" s="2434" t="s">
        <v>722</v>
      </c>
      <c r="Y44" s="779"/>
      <c r="Z44" s="779"/>
      <c r="AA44" s="779"/>
      <c r="AB44" s="779"/>
      <c r="AC44" s="2434" t="s">
        <v>720</v>
      </c>
      <c r="AD44" s="779"/>
      <c r="AE44" s="779"/>
      <c r="AF44" s="779"/>
      <c r="AG44" s="1631"/>
      <c r="AH44" s="1582"/>
    </row>
    <row r="45" spans="1:34" s="1" customFormat="1">
      <c r="A45" s="4666"/>
      <c r="B45" s="28" t="s">
        <v>127</v>
      </c>
      <c r="C45" s="32" t="s">
        <v>657</v>
      </c>
      <c r="D45" s="935"/>
      <c r="E45" s="779"/>
      <c r="F45" s="779"/>
      <c r="G45" s="2434" t="s">
        <v>720</v>
      </c>
      <c r="H45" s="2434"/>
      <c r="I45" s="779"/>
      <c r="J45" s="779"/>
      <c r="K45" s="779"/>
      <c r="L45" s="779"/>
      <c r="M45" s="779"/>
      <c r="N45" s="779"/>
      <c r="O45" s="779"/>
      <c r="P45" s="779"/>
      <c r="Q45" s="779"/>
      <c r="R45" s="779"/>
      <c r="S45" s="779"/>
      <c r="T45" s="779"/>
      <c r="U45" s="779"/>
      <c r="V45" s="2434" t="s">
        <v>720</v>
      </c>
      <c r="W45" s="779"/>
      <c r="X45" s="779"/>
      <c r="Y45" s="779"/>
      <c r="Z45" s="779"/>
      <c r="AA45" s="779"/>
      <c r="AB45" s="779"/>
      <c r="AC45" s="779"/>
      <c r="AD45" s="2434"/>
      <c r="AE45" s="779"/>
      <c r="AF45" s="779"/>
      <c r="AG45" s="1631" t="s">
        <v>720</v>
      </c>
      <c r="AH45" s="1582"/>
    </row>
    <row r="46" spans="1:34">
      <c r="A46" s="4666"/>
      <c r="B46" s="28" t="s">
        <v>155</v>
      </c>
      <c r="C46" s="32" t="s">
        <v>135</v>
      </c>
      <c r="D46" s="2430" t="s">
        <v>722</v>
      </c>
      <c r="E46" s="779"/>
      <c r="F46" s="779"/>
      <c r="G46" s="779"/>
      <c r="H46" s="2434"/>
      <c r="I46" s="2434" t="s">
        <v>722</v>
      </c>
      <c r="J46" s="779"/>
      <c r="K46" s="779"/>
      <c r="L46" s="2434" t="s">
        <v>722</v>
      </c>
      <c r="M46" s="779"/>
      <c r="N46" s="2434"/>
      <c r="O46" s="779"/>
      <c r="P46" s="4475" t="s">
        <v>1092</v>
      </c>
      <c r="Q46" s="4475"/>
      <c r="R46" s="4475"/>
      <c r="S46" s="4475"/>
      <c r="T46" s="4475"/>
      <c r="U46" s="4475"/>
      <c r="V46" s="4475"/>
      <c r="W46" s="4475"/>
      <c r="X46" s="4475"/>
      <c r="Y46" s="4475"/>
      <c r="Z46" s="4475"/>
      <c r="AA46" s="4475"/>
      <c r="AB46" s="4475"/>
      <c r="AC46" s="4475"/>
      <c r="AD46" s="4475"/>
      <c r="AE46" s="4475"/>
      <c r="AF46" s="4475"/>
      <c r="AG46" s="779"/>
      <c r="AH46" s="1582"/>
    </row>
    <row r="47" spans="1:34">
      <c r="A47" s="4666"/>
      <c r="B47" s="28" t="s">
        <v>1056</v>
      </c>
      <c r="C47" s="32" t="s">
        <v>334</v>
      </c>
      <c r="D47" s="938"/>
      <c r="E47" s="780"/>
      <c r="F47" s="779"/>
      <c r="G47" s="779"/>
      <c r="H47" s="779"/>
      <c r="I47" s="779"/>
      <c r="J47" s="779"/>
      <c r="K47" s="779"/>
      <c r="L47" s="779"/>
      <c r="M47" s="779"/>
      <c r="N47" s="779"/>
      <c r="O47" s="779"/>
      <c r="P47" s="779"/>
      <c r="Q47" s="779"/>
      <c r="R47" s="2434" t="s">
        <v>722</v>
      </c>
      <c r="S47" s="779"/>
      <c r="T47" s="779"/>
      <c r="U47" s="779"/>
      <c r="V47" s="779"/>
      <c r="W47" s="779"/>
      <c r="X47" s="779"/>
      <c r="Y47" s="779"/>
      <c r="Z47" s="779"/>
      <c r="AA47" s="779"/>
      <c r="AB47" s="2434" t="s">
        <v>720</v>
      </c>
      <c r="AC47" s="779"/>
      <c r="AD47" s="779"/>
      <c r="AE47" s="779"/>
      <c r="AF47" s="2434" t="s">
        <v>722</v>
      </c>
      <c r="AG47" s="779"/>
      <c r="AH47" s="3601" t="s">
        <v>711</v>
      </c>
    </row>
    <row r="48" spans="1:34">
      <c r="A48" s="4666"/>
      <c r="B48" s="29" t="s">
        <v>129</v>
      </c>
      <c r="C48" s="39" t="s">
        <v>474</v>
      </c>
      <c r="D48" s="5456" t="s">
        <v>1104</v>
      </c>
      <c r="E48" s="4649"/>
      <c r="F48" s="784"/>
      <c r="G48" s="2435" t="s">
        <v>722</v>
      </c>
      <c r="H48" s="2435"/>
      <c r="I48" s="780"/>
      <c r="J48" s="780"/>
      <c r="K48" s="780"/>
      <c r="L48" s="780"/>
      <c r="M48" s="780"/>
      <c r="N48" s="780"/>
      <c r="O48" s="780"/>
      <c r="P48" s="780"/>
      <c r="Q48" s="780"/>
      <c r="R48" s="780"/>
      <c r="S48" s="2435" t="s">
        <v>722</v>
      </c>
      <c r="T48" s="780"/>
      <c r="U48" s="780"/>
      <c r="V48" s="780"/>
      <c r="W48" s="780"/>
      <c r="X48" s="780"/>
      <c r="Y48" s="780"/>
      <c r="Z48" s="780"/>
      <c r="AA48" s="2435" t="s">
        <v>720</v>
      </c>
      <c r="AB48" s="780"/>
      <c r="AC48" s="780"/>
      <c r="AD48" s="780"/>
      <c r="AE48" s="780"/>
      <c r="AF48" s="780"/>
      <c r="AG48" s="780"/>
      <c r="AH48" s="3639" t="s">
        <v>711</v>
      </c>
    </row>
    <row r="49" spans="1:34">
      <c r="A49" s="6088" t="s">
        <v>136</v>
      </c>
      <c r="B49" s="1033" t="s">
        <v>77</v>
      </c>
      <c r="C49" s="2769" t="s">
        <v>1036</v>
      </c>
      <c r="D49" s="1332"/>
      <c r="E49" s="6115" t="s">
        <v>1090</v>
      </c>
      <c r="F49" s="6115"/>
      <c r="G49" s="6115"/>
      <c r="H49" s="6115"/>
      <c r="I49" s="6115"/>
      <c r="J49" s="937"/>
      <c r="K49" s="2574" t="s">
        <v>251</v>
      </c>
      <c r="L49" s="5024" t="s">
        <v>1087</v>
      </c>
      <c r="M49" s="5024"/>
      <c r="N49" s="5024"/>
      <c r="O49" s="5024"/>
      <c r="P49" s="5024"/>
      <c r="Q49" s="2574" t="s">
        <v>251</v>
      </c>
      <c r="R49" s="2911"/>
      <c r="S49" s="2911"/>
      <c r="T49" s="2911"/>
      <c r="U49" s="4436" t="s">
        <v>482</v>
      </c>
      <c r="V49" s="4502"/>
      <c r="W49" s="4502"/>
      <c r="X49" s="4502"/>
      <c r="Y49" s="4502"/>
      <c r="Z49" s="4502"/>
      <c r="AA49" s="4502"/>
      <c r="AB49" s="4502"/>
      <c r="AC49" s="4502"/>
      <c r="AD49" s="4502"/>
      <c r="AE49" s="4502"/>
      <c r="AF49" s="4503"/>
      <c r="AG49" s="3030"/>
      <c r="AH49" s="1333"/>
    </row>
    <row r="50" spans="1:34">
      <c r="A50" s="6083"/>
      <c r="B50" s="1034" t="s">
        <v>95</v>
      </c>
      <c r="C50" s="927" t="s">
        <v>1058</v>
      </c>
      <c r="D50" s="2630"/>
      <c r="E50" s="4294" t="s">
        <v>1090</v>
      </c>
      <c r="F50" s="4294"/>
      <c r="G50" s="4294"/>
      <c r="H50" s="4294"/>
      <c r="I50" s="4294"/>
      <c r="J50" s="779"/>
      <c r="K50" s="779"/>
      <c r="L50" s="779"/>
      <c r="M50" s="779"/>
      <c r="N50" s="2434" t="s">
        <v>717</v>
      </c>
      <c r="O50" s="779"/>
      <c r="P50" s="779"/>
      <c r="Q50" s="779"/>
      <c r="R50" s="779"/>
      <c r="S50" s="779"/>
      <c r="T50" s="779"/>
      <c r="U50" s="2434" t="s">
        <v>717</v>
      </c>
      <c r="V50" s="2434"/>
      <c r="W50" s="779"/>
      <c r="X50" s="779"/>
      <c r="Y50" s="779"/>
      <c r="Z50" s="779"/>
      <c r="AA50" s="779"/>
      <c r="AB50" s="779"/>
      <c r="AC50" s="779"/>
      <c r="AD50" s="2434"/>
      <c r="AE50" s="779"/>
      <c r="AF50" s="779"/>
      <c r="AG50" s="779"/>
      <c r="AH50" s="3601" t="s">
        <v>711</v>
      </c>
    </row>
    <row r="51" spans="1:34">
      <c r="A51" s="6083"/>
      <c r="B51" s="1034" t="s">
        <v>248</v>
      </c>
      <c r="C51" s="927" t="s">
        <v>1037</v>
      </c>
      <c r="D51" s="2630"/>
      <c r="E51" s="4294" t="s">
        <v>1090</v>
      </c>
      <c r="F51" s="4294"/>
      <c r="G51" s="4294"/>
      <c r="H51" s="4294"/>
      <c r="I51" s="4294"/>
      <c r="J51" s="779"/>
      <c r="K51" s="3664" t="s">
        <v>251</v>
      </c>
      <c r="L51" s="5084" t="s">
        <v>1087</v>
      </c>
      <c r="M51" s="5084"/>
      <c r="N51" s="5084"/>
      <c r="O51" s="5084"/>
      <c r="P51" s="5084"/>
      <c r="Q51" s="3664" t="s">
        <v>251</v>
      </c>
      <c r="R51" s="779"/>
      <c r="S51" s="779"/>
      <c r="T51" s="2434" t="s">
        <v>717</v>
      </c>
      <c r="U51" s="779"/>
      <c r="V51" s="779"/>
      <c r="W51" s="2434" t="s">
        <v>717</v>
      </c>
      <c r="X51" s="779"/>
      <c r="Y51" s="779"/>
      <c r="Z51" s="779"/>
      <c r="AA51" s="779"/>
      <c r="AB51" s="779"/>
      <c r="AC51" s="4475" t="s">
        <v>1105</v>
      </c>
      <c r="AD51" s="4475"/>
      <c r="AE51" s="4475"/>
      <c r="AF51" s="4475"/>
      <c r="AG51" s="4475"/>
      <c r="AH51" s="4506"/>
    </row>
    <row r="52" spans="1:34">
      <c r="A52" s="6083"/>
      <c r="B52" s="1034" t="s">
        <v>739</v>
      </c>
      <c r="C52" s="927" t="s">
        <v>740</v>
      </c>
      <c r="D52" s="3035" t="s">
        <v>1083</v>
      </c>
      <c r="E52" s="4294" t="s">
        <v>1090</v>
      </c>
      <c r="F52" s="4294"/>
      <c r="G52" s="4294"/>
      <c r="H52" s="4294"/>
      <c r="I52" s="4294"/>
      <c r="J52" s="779"/>
      <c r="K52" s="779"/>
      <c r="L52" s="2434"/>
      <c r="M52" s="779"/>
      <c r="N52" s="380"/>
      <c r="O52" s="2434"/>
      <c r="P52" s="779"/>
      <c r="Q52" s="779"/>
      <c r="R52" s="779"/>
      <c r="S52" s="2434" t="s">
        <v>720</v>
      </c>
      <c r="T52" s="779"/>
      <c r="U52" s="779"/>
      <c r="V52" s="779"/>
      <c r="W52" s="779"/>
      <c r="X52" s="779"/>
      <c r="Y52" s="2434"/>
      <c r="Z52" s="2434" t="s">
        <v>722</v>
      </c>
      <c r="AA52" s="779"/>
      <c r="AB52" s="779"/>
      <c r="AC52" s="779"/>
      <c r="AD52" s="779"/>
      <c r="AE52" s="779"/>
      <c r="AF52" s="779"/>
      <c r="AG52" s="779"/>
      <c r="AH52" s="3601" t="s">
        <v>711</v>
      </c>
    </row>
    <row r="53" spans="1:34">
      <c r="A53" s="6087"/>
      <c r="B53" s="1035" t="s">
        <v>108</v>
      </c>
      <c r="C53" s="928" t="s">
        <v>1106</v>
      </c>
      <c r="D53" s="3036"/>
      <c r="E53" s="3031"/>
      <c r="F53" s="3031"/>
      <c r="G53" s="3031"/>
      <c r="H53" s="3031"/>
      <c r="I53" s="3031"/>
      <c r="J53" s="3032"/>
      <c r="K53" s="3032"/>
      <c r="L53" s="3033"/>
      <c r="M53" s="3032"/>
      <c r="N53" s="3034"/>
      <c r="O53" s="3033"/>
      <c r="P53" s="3032"/>
      <c r="Q53" s="3032"/>
      <c r="R53" s="3032"/>
      <c r="S53" s="2443"/>
      <c r="T53" s="782"/>
      <c r="U53" s="782"/>
      <c r="V53" s="782"/>
      <c r="W53" s="782"/>
      <c r="X53" s="782"/>
      <c r="Y53" s="2443"/>
      <c r="Z53" s="2443"/>
      <c r="AA53" s="782"/>
      <c r="AB53" s="782"/>
      <c r="AC53" s="782"/>
      <c r="AD53" s="782"/>
      <c r="AE53" s="782"/>
      <c r="AF53" s="782"/>
      <c r="AG53" s="782"/>
      <c r="AH53" s="3642"/>
    </row>
    <row r="54" spans="1:34">
      <c r="A54" s="4403" t="s">
        <v>144</v>
      </c>
      <c r="B54" s="2958" t="s">
        <v>145</v>
      </c>
      <c r="C54" s="818" t="s">
        <v>618</v>
      </c>
      <c r="D54" s="793"/>
      <c r="E54" s="4505" t="s">
        <v>1090</v>
      </c>
      <c r="F54" s="4505"/>
      <c r="G54" s="4505"/>
      <c r="H54" s="4505"/>
      <c r="I54" s="4505"/>
      <c r="J54" s="778"/>
      <c r="K54" s="778"/>
      <c r="L54" s="778"/>
      <c r="M54" s="2437" t="s">
        <v>722</v>
      </c>
      <c r="N54" s="778"/>
      <c r="O54" s="2549"/>
      <c r="P54" s="2549"/>
      <c r="Q54" s="2549"/>
      <c r="R54" s="2549"/>
      <c r="S54" s="2549"/>
      <c r="T54" s="2440" t="s">
        <v>720</v>
      </c>
      <c r="U54" s="2549"/>
      <c r="V54" s="2549"/>
      <c r="W54" s="2549"/>
      <c r="X54" s="2549"/>
      <c r="Y54" s="2549"/>
      <c r="Z54" s="2549"/>
      <c r="AA54" s="2549"/>
      <c r="AB54" s="2440" t="s">
        <v>722</v>
      </c>
      <c r="AC54" s="2549"/>
      <c r="AD54" s="2549"/>
      <c r="AE54" s="2549"/>
      <c r="AF54" s="2549"/>
      <c r="AG54" s="778"/>
      <c r="AH54" s="3629" t="s">
        <v>711</v>
      </c>
    </row>
    <row r="55" spans="1:34">
      <c r="A55" s="4403"/>
      <c r="B55" s="64" t="s">
        <v>145</v>
      </c>
      <c r="C55" s="63" t="s">
        <v>148</v>
      </c>
      <c r="D55" s="822"/>
      <c r="E55" s="6107" t="s">
        <v>1107</v>
      </c>
      <c r="F55" s="6108"/>
      <c r="G55" s="2983"/>
      <c r="H55" s="2983" t="s">
        <v>722</v>
      </c>
      <c r="I55" s="3029" t="s">
        <v>1107</v>
      </c>
      <c r="J55" s="2"/>
      <c r="K55" s="2868" t="s">
        <v>720</v>
      </c>
      <c r="L55" s="2"/>
      <c r="M55" s="2"/>
      <c r="N55" s="2"/>
      <c r="O55" s="4475" t="s">
        <v>482</v>
      </c>
      <c r="P55" s="4475"/>
      <c r="Q55" s="4475"/>
      <c r="R55" s="4475"/>
      <c r="S55" s="4475"/>
      <c r="T55" s="4475"/>
      <c r="U55" s="4475"/>
      <c r="V55" s="4475"/>
      <c r="W55" s="4475"/>
      <c r="X55" s="4475"/>
      <c r="Y55" s="4475"/>
      <c r="Z55" s="4475"/>
      <c r="AA55" s="4475"/>
      <c r="AB55" s="4475"/>
      <c r="AC55" s="4475"/>
      <c r="AD55" s="4475"/>
      <c r="AE55" s="4475"/>
      <c r="AF55" s="4475"/>
      <c r="AG55" s="779"/>
      <c r="AH55" s="2444" t="s">
        <v>720</v>
      </c>
    </row>
    <row r="56" spans="1:34">
      <c r="A56" s="4403"/>
      <c r="B56" s="64" t="s">
        <v>149</v>
      </c>
      <c r="C56" s="63" t="s">
        <v>744</v>
      </c>
      <c r="D56" s="822"/>
      <c r="E56" s="361"/>
      <c r="F56" s="361"/>
      <c r="G56" s="363"/>
      <c r="H56" s="380"/>
      <c r="I56" s="779"/>
      <c r="J56" s="779"/>
      <c r="K56" s="779"/>
      <c r="L56" s="779"/>
      <c r="M56" s="779"/>
      <c r="N56" s="380"/>
      <c r="O56" s="380"/>
      <c r="P56" s="779"/>
      <c r="Q56" s="779"/>
      <c r="R56" s="779"/>
      <c r="S56" s="779"/>
      <c r="T56" s="779"/>
      <c r="U56" s="779"/>
      <c r="V56" s="779"/>
      <c r="W56" s="905"/>
      <c r="X56" s="905"/>
      <c r="Y56" s="905"/>
      <c r="Z56" s="905"/>
      <c r="AA56" s="905"/>
      <c r="AB56" s="905"/>
      <c r="AC56" s="905"/>
      <c r="AD56" s="905"/>
      <c r="AE56" s="905"/>
      <c r="AF56" s="905"/>
      <c r="AG56" s="779"/>
      <c r="AH56" s="804"/>
    </row>
    <row r="57" spans="1:34">
      <c r="A57" s="4403"/>
      <c r="B57" s="2484" t="s">
        <v>149</v>
      </c>
      <c r="C57" s="817" t="s">
        <v>151</v>
      </c>
      <c r="D57" s="3051" t="s">
        <v>1083</v>
      </c>
      <c r="E57" s="3052" t="s">
        <v>722</v>
      </c>
      <c r="F57" s="323"/>
      <c r="G57" s="6109" t="s">
        <v>1090</v>
      </c>
      <c r="H57" s="6110"/>
      <c r="I57" s="6111"/>
      <c r="J57" s="797"/>
      <c r="K57" s="780"/>
      <c r="L57" s="780"/>
      <c r="M57" s="780"/>
      <c r="N57" s="3052" t="s">
        <v>722</v>
      </c>
      <c r="O57" s="780"/>
      <c r="P57" s="780"/>
      <c r="Q57" s="4419" t="s">
        <v>510</v>
      </c>
      <c r="R57" s="4468"/>
      <c r="S57" s="4468"/>
      <c r="T57" s="4468"/>
      <c r="U57" s="4468"/>
      <c r="V57" s="4468"/>
      <c r="W57" s="4468"/>
      <c r="X57" s="4468"/>
      <c r="Y57" s="4468"/>
      <c r="Z57" s="4515"/>
      <c r="AA57" s="780"/>
      <c r="AB57" s="780"/>
      <c r="AC57" s="2435" t="s">
        <v>722</v>
      </c>
      <c r="AD57" s="780"/>
      <c r="AE57" s="780"/>
      <c r="AF57" s="780"/>
      <c r="AG57" s="780"/>
      <c r="AH57" s="806"/>
    </row>
    <row r="58" spans="1:34">
      <c r="A58" s="6116" t="s">
        <v>745</v>
      </c>
      <c r="B58" s="1923" t="s">
        <v>283</v>
      </c>
      <c r="C58" s="1226" t="s">
        <v>1005</v>
      </c>
      <c r="D58" s="1332"/>
      <c r="E58" s="6104" t="s">
        <v>1090</v>
      </c>
      <c r="F58" s="6105"/>
      <c r="G58" s="6105"/>
      <c r="H58" s="6105"/>
      <c r="I58" s="6106"/>
      <c r="J58" s="937"/>
      <c r="K58" s="937"/>
      <c r="L58" s="2433" t="s">
        <v>717</v>
      </c>
      <c r="M58" s="937"/>
      <c r="N58" s="3048"/>
      <c r="O58" s="3048"/>
      <c r="P58" s="4599" t="s">
        <v>112</v>
      </c>
      <c r="Q58" s="4599"/>
      <c r="R58" s="4599"/>
      <c r="S58" s="4599"/>
      <c r="T58" s="4599"/>
      <c r="U58" s="4599"/>
      <c r="V58" s="4599"/>
      <c r="W58" s="4599"/>
      <c r="X58" s="4599"/>
      <c r="Y58" s="4599"/>
      <c r="Z58" s="4599"/>
      <c r="AA58" s="4599"/>
      <c r="AB58" s="4599"/>
      <c r="AC58" s="4599"/>
      <c r="AD58" s="4599"/>
      <c r="AE58" s="4599"/>
      <c r="AF58" s="4599"/>
      <c r="AG58" s="937"/>
      <c r="AH58" s="1333"/>
    </row>
    <row r="59" spans="1:34">
      <c r="A59" s="6117"/>
      <c r="B59" s="56" t="s">
        <v>95</v>
      </c>
      <c r="C59" s="63" t="s">
        <v>620</v>
      </c>
      <c r="D59" s="3035" t="s">
        <v>1083</v>
      </c>
      <c r="E59" s="4365" t="s">
        <v>1090</v>
      </c>
      <c r="F59" s="6119"/>
      <c r="G59" s="6119"/>
      <c r="H59" s="6119"/>
      <c r="I59" s="4366"/>
      <c r="J59" s="3585"/>
      <c r="K59" s="779"/>
      <c r="L59" s="779"/>
      <c r="M59" s="779"/>
      <c r="N59" s="3040"/>
      <c r="O59" s="3040"/>
      <c r="P59" s="374"/>
      <c r="Q59" s="2434" t="s">
        <v>722</v>
      </c>
      <c r="R59" s="779"/>
      <c r="S59" s="779"/>
      <c r="T59" s="779"/>
      <c r="U59" s="779"/>
      <c r="V59" s="779"/>
      <c r="W59" s="2434" t="s">
        <v>722</v>
      </c>
      <c r="X59" s="668"/>
      <c r="Y59" s="668"/>
      <c r="Z59" s="2434" t="s">
        <v>720</v>
      </c>
      <c r="AA59" s="779"/>
      <c r="AB59" s="779"/>
      <c r="AC59" s="779"/>
      <c r="AD59" s="2434"/>
      <c r="AE59" s="2434"/>
      <c r="AF59" s="2434"/>
      <c r="AG59" s="4333" t="s">
        <v>711</v>
      </c>
      <c r="AH59" s="4559"/>
    </row>
    <row r="60" spans="1:34">
      <c r="A60" s="6117"/>
      <c r="B60" s="56" t="s">
        <v>100</v>
      </c>
      <c r="C60" s="63" t="s">
        <v>78</v>
      </c>
      <c r="D60" s="779"/>
      <c r="E60" s="3040"/>
      <c r="F60" s="6101" t="s">
        <v>112</v>
      </c>
      <c r="G60" s="6102"/>
      <c r="H60" s="6102"/>
      <c r="I60" s="6102"/>
      <c r="J60" s="6102"/>
      <c r="K60" s="6102"/>
      <c r="L60" s="6102"/>
      <c r="M60" s="6102"/>
      <c r="N60" s="6102"/>
      <c r="O60" s="6103"/>
      <c r="P60" s="374"/>
      <c r="Q60" s="3685" t="s">
        <v>1108</v>
      </c>
      <c r="R60" s="779"/>
      <c r="S60" s="779"/>
      <c r="T60" s="779"/>
      <c r="U60" s="779"/>
      <c r="V60" s="779"/>
      <c r="W60" s="2434"/>
      <c r="X60" s="668"/>
      <c r="Y60" s="668"/>
      <c r="Z60" s="2434"/>
      <c r="AA60" s="779"/>
      <c r="AB60" s="779"/>
      <c r="AC60" s="779"/>
      <c r="AD60" s="2434"/>
      <c r="AE60" s="2434"/>
      <c r="AF60" s="2434"/>
      <c r="AG60" s="2894"/>
      <c r="AH60" s="2894"/>
    </row>
    <row r="61" spans="1:34">
      <c r="A61" s="6117"/>
      <c r="B61" s="2795" t="s">
        <v>127</v>
      </c>
      <c r="C61" s="3056" t="s">
        <v>128</v>
      </c>
      <c r="D61" s="822"/>
      <c r="E61" s="779"/>
      <c r="F61" s="2434" t="s">
        <v>720</v>
      </c>
      <c r="G61" s="2983"/>
      <c r="H61" s="779"/>
      <c r="I61" s="374"/>
      <c r="J61" s="779"/>
      <c r="K61" s="779"/>
      <c r="L61" s="779"/>
      <c r="M61" s="779"/>
      <c r="N61" s="3040"/>
      <c r="O61" s="3040"/>
      <c r="P61" s="374"/>
      <c r="Q61" s="779"/>
      <c r="R61" s="779"/>
      <c r="S61" s="779"/>
      <c r="T61" s="2434" t="s">
        <v>722</v>
      </c>
      <c r="U61" s="779"/>
      <c r="V61" s="779"/>
      <c r="W61" s="779"/>
      <c r="X61" s="779"/>
      <c r="Y61" s="2434" t="s">
        <v>722</v>
      </c>
      <c r="Z61" s="779"/>
      <c r="AA61" s="779"/>
      <c r="AB61" s="779"/>
      <c r="AC61" s="779"/>
      <c r="AD61" s="779"/>
      <c r="AE61" s="2434"/>
      <c r="AF61" s="2434"/>
      <c r="AG61" s="2894"/>
      <c r="AH61" s="3639" t="s">
        <v>711</v>
      </c>
    </row>
    <row r="62" spans="1:34">
      <c r="A62" s="6117"/>
      <c r="B62" s="2795" t="s">
        <v>602</v>
      </c>
      <c r="C62" s="3056" t="s">
        <v>660</v>
      </c>
      <c r="D62" s="822"/>
      <c r="E62" s="2983"/>
      <c r="F62" s="2983" t="s">
        <v>722</v>
      </c>
      <c r="G62" s="2983"/>
      <c r="H62" s="779"/>
      <c r="I62" s="4333" t="s">
        <v>1109</v>
      </c>
      <c r="J62" s="4411"/>
      <c r="K62" s="4411"/>
      <c r="L62" s="4411"/>
      <c r="M62" s="4411"/>
      <c r="N62" s="4411"/>
      <c r="O62" s="4411"/>
      <c r="P62" s="4411"/>
      <c r="Q62" s="4411"/>
      <c r="R62" s="4411"/>
      <c r="S62" s="4411"/>
      <c r="T62" s="4411"/>
      <c r="U62" s="4411"/>
      <c r="V62" s="4411"/>
      <c r="W62" s="4411"/>
      <c r="X62" s="4411"/>
      <c r="Y62" s="4411"/>
      <c r="Z62" s="4411"/>
      <c r="AA62" s="4411"/>
      <c r="AB62" s="4411"/>
      <c r="AC62" s="4411"/>
      <c r="AD62" s="4334"/>
      <c r="AE62" s="780"/>
      <c r="AF62" s="779"/>
      <c r="AG62" s="779"/>
      <c r="AH62" s="2444" t="s">
        <v>722</v>
      </c>
    </row>
    <row r="63" spans="1:34">
      <c r="A63" s="6118"/>
      <c r="B63" s="68" t="s">
        <v>81</v>
      </c>
      <c r="C63" s="925" t="s">
        <v>396</v>
      </c>
      <c r="D63" s="3057" t="s">
        <v>720</v>
      </c>
      <c r="E63" s="782"/>
      <c r="F63" s="782"/>
      <c r="G63" s="2252"/>
      <c r="H63" s="2252" t="s">
        <v>720</v>
      </c>
      <c r="I63" s="782"/>
      <c r="J63" s="782"/>
      <c r="K63" s="2443" t="s">
        <v>722</v>
      </c>
      <c r="L63" s="780"/>
      <c r="M63" s="780"/>
      <c r="N63" s="3049"/>
      <c r="O63" s="3049"/>
      <c r="P63" s="4424" t="s">
        <v>1110</v>
      </c>
      <c r="Q63" s="4424"/>
      <c r="R63" s="4424"/>
      <c r="S63" s="4424"/>
      <c r="T63" s="4424"/>
      <c r="U63" s="4424"/>
      <c r="V63" s="4424"/>
      <c r="W63" s="4424"/>
      <c r="X63" s="4638"/>
      <c r="Y63" s="2879"/>
      <c r="Z63" s="2879"/>
      <c r="AA63" s="2765"/>
      <c r="AB63" s="2879"/>
      <c r="AC63" s="2879"/>
      <c r="AD63" s="2879"/>
      <c r="AE63" s="2879"/>
      <c r="AF63" s="1404"/>
      <c r="AG63" s="782"/>
      <c r="AH63" s="3050"/>
    </row>
    <row r="64" spans="1:34">
      <c r="A64" s="5030" t="s">
        <v>751</v>
      </c>
      <c r="B64" s="2485" t="s">
        <v>561</v>
      </c>
      <c r="C64" s="2485" t="s">
        <v>303</v>
      </c>
      <c r="D64" s="3053" t="s">
        <v>754</v>
      </c>
      <c r="E64" s="3054"/>
      <c r="F64" s="2691" t="s">
        <v>251</v>
      </c>
      <c r="G64" s="6120"/>
      <c r="H64" s="6121"/>
      <c r="I64" s="6122"/>
      <c r="J64" s="776"/>
      <c r="K64" s="3055"/>
      <c r="L64" s="3061" t="s">
        <v>1111</v>
      </c>
      <c r="M64" s="3060"/>
      <c r="N64" s="3059"/>
      <c r="O64" s="2709" t="s">
        <v>720</v>
      </c>
      <c r="P64" s="785"/>
      <c r="Q64" s="1264"/>
      <c r="R64" s="785"/>
      <c r="S64" s="785"/>
      <c r="T64" s="785"/>
      <c r="U64" s="2709"/>
      <c r="V64" s="2709" t="s">
        <v>722</v>
      </c>
      <c r="W64" s="1324"/>
      <c r="X64" s="1324"/>
      <c r="Y64" s="3609"/>
      <c r="Z64" s="3609"/>
      <c r="AA64" s="3609"/>
      <c r="AB64" s="3609"/>
      <c r="AC64" s="3609"/>
      <c r="AD64" s="3609"/>
      <c r="AE64" s="3609"/>
      <c r="AF64" s="1264"/>
      <c r="AG64" s="776"/>
      <c r="AH64" s="2489"/>
    </row>
    <row r="65" spans="1:34">
      <c r="A65" s="5031"/>
      <c r="B65" s="1035" t="s">
        <v>155</v>
      </c>
      <c r="C65" s="1961" t="s">
        <v>532</v>
      </c>
      <c r="D65" s="2231"/>
      <c r="E65" s="6112" t="s">
        <v>1090</v>
      </c>
      <c r="F65" s="6113"/>
      <c r="G65" s="6113"/>
      <c r="H65" s="6113"/>
      <c r="I65" s="6114"/>
      <c r="J65" s="2985"/>
      <c r="K65" s="321"/>
      <c r="L65" s="2994" t="s">
        <v>1111</v>
      </c>
      <c r="M65" s="823"/>
      <c r="N65" s="1016"/>
      <c r="O65" s="2992"/>
      <c r="P65" s="2564" t="s">
        <v>251</v>
      </c>
      <c r="Q65" s="5317" t="s">
        <v>754</v>
      </c>
      <c r="R65" s="5318"/>
      <c r="S65" s="5319"/>
      <c r="T65" s="2564" t="s">
        <v>251</v>
      </c>
      <c r="U65" s="2992" t="s">
        <v>722</v>
      </c>
      <c r="V65" s="2992"/>
      <c r="W65" s="321"/>
      <c r="X65" s="321"/>
      <c r="Y65" s="2999" t="s">
        <v>720</v>
      </c>
      <c r="Z65" s="2999"/>
      <c r="AA65" s="2564" t="s">
        <v>251</v>
      </c>
      <c r="AB65" s="5317" t="s">
        <v>754</v>
      </c>
      <c r="AC65" s="5318"/>
      <c r="AD65" s="5319"/>
      <c r="AE65" s="2564" t="s">
        <v>251</v>
      </c>
      <c r="AF65" s="782"/>
      <c r="AG65" s="2994"/>
      <c r="AH65" s="3000" t="s">
        <v>711</v>
      </c>
    </row>
  </sheetData>
  <mergeCells count="83">
    <mergeCell ref="A29:A34"/>
    <mergeCell ref="D1:AH1"/>
    <mergeCell ref="E16:I16"/>
    <mergeCell ref="U49:AF49"/>
    <mergeCell ref="AB65:AD65"/>
    <mergeCell ref="A18:C18"/>
    <mergeCell ref="A14:C14"/>
    <mergeCell ref="U26:AF26"/>
    <mergeCell ref="A19:C19"/>
    <mergeCell ref="A20:C20"/>
    <mergeCell ref="A21:C21"/>
    <mergeCell ref="O21:AG21"/>
    <mergeCell ref="A26:A28"/>
    <mergeCell ref="Q28:AE28"/>
    <mergeCell ref="A15:C15"/>
    <mergeCell ref="A16:C16"/>
    <mergeCell ref="A17:C17"/>
    <mergeCell ref="A12:C12"/>
    <mergeCell ref="A13:C13"/>
    <mergeCell ref="A1:C1"/>
    <mergeCell ref="A5:C5"/>
    <mergeCell ref="A6:C6"/>
    <mergeCell ref="A9:C9"/>
    <mergeCell ref="A7:C7"/>
    <mergeCell ref="A8:C8"/>
    <mergeCell ref="A2:C2"/>
    <mergeCell ref="A3:C3"/>
    <mergeCell ref="A4:C4"/>
    <mergeCell ref="A10:C10"/>
    <mergeCell ref="A11:C11"/>
    <mergeCell ref="E28:I28"/>
    <mergeCell ref="S33:AH33"/>
    <mergeCell ref="E23:I23"/>
    <mergeCell ref="D27:K27"/>
    <mergeCell ref="E30:I30"/>
    <mergeCell ref="E31:I31"/>
    <mergeCell ref="E33:I33"/>
    <mergeCell ref="O30:AF30"/>
    <mergeCell ref="E29:I29"/>
    <mergeCell ref="L18:P18"/>
    <mergeCell ref="O22:AG22"/>
    <mergeCell ref="P24:AF24"/>
    <mergeCell ref="E26:I26"/>
    <mergeCell ref="E22:I22"/>
    <mergeCell ref="D25:U25"/>
    <mergeCell ref="A35:A48"/>
    <mergeCell ref="P37:AF37"/>
    <mergeCell ref="P46:AF46"/>
    <mergeCell ref="D48:E48"/>
    <mergeCell ref="E44:U44"/>
    <mergeCell ref="M42:N42"/>
    <mergeCell ref="U41:AD41"/>
    <mergeCell ref="E36:I36"/>
    <mergeCell ref="E42:I42"/>
    <mergeCell ref="E35:I35"/>
    <mergeCell ref="J42:L42"/>
    <mergeCell ref="P43:AF43"/>
    <mergeCell ref="A64:A65"/>
    <mergeCell ref="A54:A57"/>
    <mergeCell ref="E65:I65"/>
    <mergeCell ref="L49:P49"/>
    <mergeCell ref="E49:I49"/>
    <mergeCell ref="A58:A63"/>
    <mergeCell ref="I62:AD62"/>
    <mergeCell ref="E52:I52"/>
    <mergeCell ref="E51:I51"/>
    <mergeCell ref="E59:I59"/>
    <mergeCell ref="E50:I50"/>
    <mergeCell ref="Q57:Z57"/>
    <mergeCell ref="G64:I64"/>
    <mergeCell ref="Q65:S65"/>
    <mergeCell ref="A49:A53"/>
    <mergeCell ref="P63:X63"/>
    <mergeCell ref="F60:O60"/>
    <mergeCell ref="AC51:AH51"/>
    <mergeCell ref="E54:I54"/>
    <mergeCell ref="E58:I58"/>
    <mergeCell ref="P58:AF58"/>
    <mergeCell ref="O55:AF55"/>
    <mergeCell ref="L51:P51"/>
    <mergeCell ref="E55:F55"/>
    <mergeCell ref="G57:I57"/>
    <mergeCell ref="AG59:AH59"/>
  </mergeCells>
  <pageMargins left="0.25" right="0.25" top="0.75" bottom="0.75" header="0.3" footer="0.3"/>
  <pageSetup scale="43" fitToHeight="0" orientation="landscape" verticalDpi="598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4D2BB-FE56-44A3-8A59-DA355F213CB0}">
  <dimension ref="A1:BF62"/>
  <sheetViews>
    <sheetView workbookViewId="0">
      <pane ySplit="3" topLeftCell="A4" activePane="bottomLeft" state="frozen"/>
      <selection pane="bottomLeft"/>
    </sheetView>
  </sheetViews>
  <sheetFormatPr defaultRowHeight="15"/>
  <cols>
    <col min="2" max="2" width="13.5703125" bestFit="1" customWidth="1"/>
    <col min="30" max="33" width="9.140625" style="1"/>
    <col min="34" max="34" width="9.140625" style="368"/>
    <col min="35" max="35" width="12.7109375" style="368" bestFit="1" customWidth="1"/>
    <col min="36" max="39" width="12.7109375" style="283" customWidth="1"/>
    <col min="40" max="40" width="17.7109375" style="283" bestFit="1" customWidth="1"/>
    <col min="41" max="41" width="20.85546875" style="283" bestFit="1" customWidth="1"/>
    <col min="42" max="42" width="12.28515625" style="283" bestFit="1" customWidth="1"/>
    <col min="43" max="43" width="9.140625" style="283"/>
    <col min="44" max="44" width="15.42578125" style="283" bestFit="1" customWidth="1"/>
    <col min="45" max="16384" width="9.140625" style="283"/>
  </cols>
  <sheetData>
    <row r="1" spans="1:58">
      <c r="A1" s="6149" t="s">
        <v>29</v>
      </c>
      <c r="B1" s="6150"/>
      <c r="C1" s="6147" t="s">
        <v>1112</v>
      </c>
      <c r="D1" s="6147"/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7"/>
      <c r="AF1" s="6147"/>
      <c r="AG1" s="6148"/>
      <c r="AH1" s="3126"/>
      <c r="AI1" s="6143" t="s">
        <v>1113</v>
      </c>
      <c r="AJ1" s="6143"/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</row>
    <row r="2" spans="1:58">
      <c r="A2" s="6144" t="s">
        <v>31</v>
      </c>
      <c r="B2" s="6145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3588">
        <v>28</v>
      </c>
      <c r="AE2" s="3588">
        <v>29</v>
      </c>
      <c r="AF2" s="3588">
        <v>30</v>
      </c>
      <c r="AG2" s="2867">
        <v>31</v>
      </c>
      <c r="AH2" s="3126"/>
      <c r="AI2" s="283"/>
    </row>
    <row r="3" spans="1:58">
      <c r="A3" s="6144" t="s">
        <v>1114</v>
      </c>
      <c r="B3" s="6145"/>
      <c r="C3" s="1267" t="s">
        <v>34</v>
      </c>
      <c r="D3" s="1267" t="s">
        <v>33</v>
      </c>
      <c r="E3" s="3588" t="s">
        <v>35</v>
      </c>
      <c r="F3" s="1267" t="s">
        <v>36</v>
      </c>
      <c r="G3" s="1267" t="s">
        <v>36</v>
      </c>
      <c r="H3" s="3588" t="s">
        <v>37</v>
      </c>
      <c r="I3" s="3588" t="s">
        <v>33</v>
      </c>
      <c r="J3" s="3588" t="s">
        <v>34</v>
      </c>
      <c r="K3" s="3588" t="s">
        <v>33</v>
      </c>
      <c r="L3" s="3588" t="s">
        <v>35</v>
      </c>
      <c r="M3" s="1267" t="s">
        <v>36</v>
      </c>
      <c r="N3" s="1267" t="s">
        <v>36</v>
      </c>
      <c r="O3" s="3588" t="s">
        <v>37</v>
      </c>
      <c r="P3" s="3588" t="s">
        <v>33</v>
      </c>
      <c r="Q3" s="3588" t="s">
        <v>34</v>
      </c>
      <c r="R3" s="3588" t="s">
        <v>33</v>
      </c>
      <c r="S3" s="3588" t="s">
        <v>35</v>
      </c>
      <c r="T3" s="1267" t="s">
        <v>36</v>
      </c>
      <c r="U3" s="1267" t="s">
        <v>36</v>
      </c>
      <c r="V3" s="1267" t="s">
        <v>37</v>
      </c>
      <c r="W3" s="1267" t="s">
        <v>33</v>
      </c>
      <c r="X3" s="3588" t="s">
        <v>34</v>
      </c>
      <c r="Y3" s="3588" t="s">
        <v>33</v>
      </c>
      <c r="Z3" s="3588" t="s">
        <v>35</v>
      </c>
      <c r="AA3" s="1267" t="s">
        <v>36</v>
      </c>
      <c r="AB3" s="1267" t="s">
        <v>36</v>
      </c>
      <c r="AC3" s="3588" t="s">
        <v>37</v>
      </c>
      <c r="AD3" s="3588" t="s">
        <v>33</v>
      </c>
      <c r="AE3" s="3588" t="s">
        <v>34</v>
      </c>
      <c r="AF3" s="3588" t="s">
        <v>33</v>
      </c>
      <c r="AG3" s="2867" t="s">
        <v>35</v>
      </c>
      <c r="AH3" s="3126"/>
      <c r="AI3" s="6146" t="s">
        <v>1115</v>
      </c>
      <c r="AJ3" s="6146"/>
      <c r="AK3" s="6146"/>
      <c r="AL3" s="6146"/>
      <c r="AM3" s="6146"/>
      <c r="AN3" s="6146"/>
      <c r="AO3" s="6146"/>
      <c r="AP3" s="6146"/>
      <c r="AQ3" s="6146"/>
      <c r="AR3" s="6146"/>
      <c r="AT3" s="6146" t="s">
        <v>1116</v>
      </c>
      <c r="AU3" s="6146"/>
      <c r="AV3" s="6146"/>
      <c r="AW3" s="6146"/>
      <c r="AX3" s="6146"/>
      <c r="AY3" s="6146"/>
      <c r="AZ3" s="6146"/>
    </row>
    <row r="4" spans="1:58">
      <c r="A4" s="6155" t="s">
        <v>1117</v>
      </c>
      <c r="B4" s="6155"/>
      <c r="C4" s="3131">
        <v>2</v>
      </c>
      <c r="D4" s="3132">
        <v>3</v>
      </c>
      <c r="E4" s="3132">
        <v>1</v>
      </c>
      <c r="F4" s="3132">
        <v>2</v>
      </c>
      <c r="G4" s="3132">
        <v>3</v>
      </c>
      <c r="H4" s="3132">
        <v>0</v>
      </c>
      <c r="I4" s="3132">
        <v>0</v>
      </c>
      <c r="J4" s="3132">
        <v>0</v>
      </c>
      <c r="K4" s="3132">
        <v>0</v>
      </c>
      <c r="L4" s="3132">
        <v>1</v>
      </c>
      <c r="M4" s="3132">
        <v>2</v>
      </c>
      <c r="N4" s="3132">
        <v>3</v>
      </c>
      <c r="O4" s="3132">
        <v>0</v>
      </c>
      <c r="P4" s="3132">
        <v>0</v>
      </c>
      <c r="Q4" s="3132">
        <v>0</v>
      </c>
      <c r="R4" s="3132">
        <v>0</v>
      </c>
      <c r="S4" s="3132">
        <v>1</v>
      </c>
      <c r="T4" s="3132">
        <v>2</v>
      </c>
      <c r="U4" s="3132">
        <v>2</v>
      </c>
      <c r="V4" s="3132">
        <v>2</v>
      </c>
      <c r="W4" s="3132">
        <v>3</v>
      </c>
      <c r="X4" s="3132">
        <v>0</v>
      </c>
      <c r="Y4" s="3132">
        <v>0</v>
      </c>
      <c r="Z4" s="3132">
        <v>1</v>
      </c>
      <c r="AA4" s="3132">
        <v>2</v>
      </c>
      <c r="AB4" s="3132">
        <v>3</v>
      </c>
      <c r="AC4" s="3132">
        <v>0</v>
      </c>
      <c r="AD4" s="3132">
        <v>0</v>
      </c>
      <c r="AE4" s="3134">
        <v>0</v>
      </c>
      <c r="AF4" s="3134">
        <v>0</v>
      </c>
      <c r="AG4" s="3134">
        <v>1</v>
      </c>
      <c r="AH4" s="3126"/>
      <c r="AI4" s="283" t="s">
        <v>1118</v>
      </c>
      <c r="AJ4" s="283" t="s">
        <v>1119</v>
      </c>
      <c r="AK4" s="283" t="s">
        <v>1120</v>
      </c>
      <c r="AL4" s="283" t="s">
        <v>1121</v>
      </c>
      <c r="AM4" s="283" t="s">
        <v>1122</v>
      </c>
      <c r="AN4" s="283" t="s">
        <v>1123</v>
      </c>
      <c r="AO4" s="283" t="s">
        <v>1124</v>
      </c>
      <c r="AP4" s="283" t="s">
        <v>1125</v>
      </c>
      <c r="AQ4" s="283" t="s">
        <v>1126</v>
      </c>
      <c r="AR4" s="283" t="s">
        <v>1127</v>
      </c>
      <c r="AT4" s="283" t="s">
        <v>1128</v>
      </c>
      <c r="AU4" s="283" t="s">
        <v>1129</v>
      </c>
      <c r="AV4" s="283" t="s">
        <v>1130</v>
      </c>
      <c r="AW4" s="283" t="s">
        <v>1131</v>
      </c>
      <c r="AX4" s="283" t="s">
        <v>1132</v>
      </c>
      <c r="AY4" s="283" t="s">
        <v>1133</v>
      </c>
      <c r="AZ4" s="283" t="s">
        <v>1134</v>
      </c>
      <c r="BB4" s="283" t="s">
        <v>1135</v>
      </c>
    </row>
    <row r="5" spans="1:58">
      <c r="A5" s="56" t="s">
        <v>326</v>
      </c>
      <c r="B5" s="56" t="s">
        <v>327</v>
      </c>
      <c r="C5" s="1631" t="s">
        <v>720</v>
      </c>
      <c r="D5" s="1631"/>
      <c r="E5" s="779"/>
      <c r="F5" s="3685" t="s">
        <v>722</v>
      </c>
      <c r="G5" s="779"/>
      <c r="H5" s="779"/>
      <c r="I5" s="1631"/>
      <c r="J5" s="779"/>
      <c r="K5" s="1631" t="s">
        <v>720</v>
      </c>
      <c r="L5" s="779"/>
      <c r="M5" s="779"/>
      <c r="N5" s="779"/>
      <c r="O5" s="779"/>
      <c r="P5" s="1631"/>
      <c r="Q5" s="779"/>
      <c r="R5" s="779"/>
      <c r="S5" s="779"/>
      <c r="T5" s="779"/>
      <c r="U5" s="779"/>
      <c r="V5" s="779"/>
      <c r="W5" s="779"/>
      <c r="X5" s="5652" t="s">
        <v>1136</v>
      </c>
      <c r="Y5" s="5652"/>
      <c r="Z5" s="5652"/>
      <c r="AA5" s="779"/>
      <c r="AB5" s="3079" t="s">
        <v>251</v>
      </c>
      <c r="AC5" s="3079" t="s">
        <v>251</v>
      </c>
      <c r="AD5" s="6151" t="s">
        <v>1137</v>
      </c>
      <c r="AE5" s="5650"/>
      <c r="AF5" s="5650"/>
      <c r="AG5" s="6152"/>
      <c r="AH5" s="3126"/>
      <c r="AI5" s="283" cm="1">
        <f t="array" ref="AI5">SUM(COUNTIFS($C5:$AG5,{"0","4","5","6","7","8","9"}))</f>
        <v>0</v>
      </c>
      <c r="AJ5" s="283" cm="1">
        <f t="array" ref="AJ5">SUM(COUNTIFS($C5:$AG5,{"0","4","5","6","7","8","9"},$C$4:$AG$4,"0"))</f>
        <v>0</v>
      </c>
      <c r="AK5" s="283" cm="1">
        <f t="array" ref="AK5">SUM(COUNTIFS($C5:$AG5,{"0","4","5","6","7","8","9"},$C$4:$AG$4,"1"))</f>
        <v>0</v>
      </c>
      <c r="AL5" s="283" cm="1">
        <f t="array" ref="AL5">SUM(COUNTIFS($C5:$AG5,{"0","4","5","6","7","8","9"},$C$4:$AG$4,"2"))</f>
        <v>0</v>
      </c>
      <c r="AM5" s="283" cm="1">
        <f t="array" ref="AM5">SUM(COUNTIFS($C5:$AG5,{"0","4","5","6","7","8","9"},$C$4:$AG$4,"3"))</f>
        <v>0</v>
      </c>
      <c r="AN5" s="283" cm="1">
        <f t="array" ref="AN5">SUM(COUNTIFS($C5:$AG5,{"1","2","3"}))</f>
        <v>0</v>
      </c>
      <c r="AO5" s="283" cm="1">
        <f t="array" ref="AO5">SUM(COUNTIFS($C5:$AG5,{"4","5","6"}))</f>
        <v>0</v>
      </c>
      <c r="AP5" s="283">
        <f>AJ5*'Spreadsheet Key'!$A$23 + AK5*'Spreadsheet Key'!$A$24 + AL5*'Spreadsheet Key'!$A$25 + AM5*'Spreadsheet Key'!$A$26</f>
        <v>0</v>
      </c>
      <c r="AQ5" s="283" t="e">
        <f>AI5/#REF!</f>
        <v>#REF!</v>
      </c>
      <c r="AR5" s="283" t="e">
        <f>AQ5*#REF!</f>
        <v>#REF!</v>
      </c>
      <c r="AT5" s="283">
        <f t="shared" ref="AT5:AT12" si="0">COUNTIFS($C5:$AG5,"8",$C$4:$AG$4,"0")</f>
        <v>0</v>
      </c>
      <c r="AU5" s="283">
        <f t="shared" ref="AU5:AU12" si="1">COUNTIFS($C5:$AG5,"9",$C$4:$AG$4,"0")</f>
        <v>0</v>
      </c>
      <c r="AV5" s="283">
        <f t="shared" ref="AV5:AV12" si="2">COUNTIFS($C5:$AG5,"8",$C$4:$AG$4,"1")</f>
        <v>0</v>
      </c>
      <c r="AW5" s="283" cm="1">
        <f t="array" ref="AW5">COUNTIFS($C5:$AG5,"9",$C$4:$AG$4,"1")+SUM(COUNTIFS($C5:$AG5,{"8","9"},$C$4:$AG$4,"2"))+COUNTIFS($C5:$AG5,"8",$C$4:$AG$4,"3")</f>
        <v>0</v>
      </c>
      <c r="AX5" s="283">
        <f t="shared" ref="AX5:AX12" si="3">COUNTIFS($C5:$AG5,"9",$C$4:$AG$4,"3")</f>
        <v>0</v>
      </c>
      <c r="AY5" s="283">
        <f t="shared" ref="AY5:AY12" si="4">SUM(AT5:AX5)</f>
        <v>0</v>
      </c>
      <c r="AZ5" s="283">
        <f>AT5*'Spreadsheet Key'!$A$27+AU5*'Spreadsheet Key'!$A$28+AV5*'Spreadsheet Key'!$A$29+AW5*'Spreadsheet Key'!$A$30+AX5*'Spreadsheet Key'!$A$31</f>
        <v>0</v>
      </c>
      <c r="BB5" s="283" t="e">
        <f t="shared" ref="BB5:BB12" si="5">AR5-AZ5</f>
        <v>#REF!</v>
      </c>
    </row>
    <row r="6" spans="1:58">
      <c r="A6" s="56" t="s">
        <v>326</v>
      </c>
      <c r="B6" s="56" t="s">
        <v>327</v>
      </c>
      <c r="C6" s="2659">
        <v>8</v>
      </c>
      <c r="D6" s="2659">
        <v>0</v>
      </c>
      <c r="E6" s="2659">
        <v>0</v>
      </c>
      <c r="F6" s="2659">
        <v>9</v>
      </c>
      <c r="G6" s="2659">
        <v>0</v>
      </c>
      <c r="H6" s="2659">
        <v>0</v>
      </c>
      <c r="I6" s="2659">
        <v>0</v>
      </c>
      <c r="J6" s="2659">
        <v>0</v>
      </c>
      <c r="K6" s="2659">
        <v>8</v>
      </c>
      <c r="L6" s="2659">
        <v>0</v>
      </c>
      <c r="M6" s="2659">
        <v>0</v>
      </c>
      <c r="N6" s="2659">
        <v>0</v>
      </c>
      <c r="O6" s="2659">
        <v>0</v>
      </c>
      <c r="P6" s="2659">
        <v>0</v>
      </c>
      <c r="Q6" s="2659">
        <v>0</v>
      </c>
      <c r="R6" s="2659">
        <v>0</v>
      </c>
      <c r="S6" s="2659">
        <v>0</v>
      </c>
      <c r="T6" s="2659">
        <v>0</v>
      </c>
      <c r="U6" s="2659">
        <v>0</v>
      </c>
      <c r="V6" s="2659">
        <v>0</v>
      </c>
      <c r="W6" s="2659">
        <v>0</v>
      </c>
      <c r="X6" s="2659">
        <v>7</v>
      </c>
      <c r="Y6" s="2659">
        <v>7</v>
      </c>
      <c r="Z6" s="2659">
        <v>7</v>
      </c>
      <c r="AA6" s="2659">
        <v>0</v>
      </c>
      <c r="AB6" s="2659">
        <v>0</v>
      </c>
      <c r="AC6" s="2659">
        <v>0</v>
      </c>
      <c r="AD6" s="2659">
        <v>0</v>
      </c>
      <c r="AE6" s="2659">
        <v>0</v>
      </c>
      <c r="AF6" s="2659">
        <v>0</v>
      </c>
      <c r="AG6" s="2659">
        <v>0</v>
      </c>
      <c r="AH6" s="3126"/>
      <c r="AI6" s="283" cm="1">
        <f t="array" ref="AI6">SUM(COUNTIFS($C6:$AG6,{"0","4","5","6","7","8","9"}))</f>
        <v>31</v>
      </c>
      <c r="AJ6" s="283" cm="1">
        <f t="array" ref="AJ6">SUM(COUNTIFS($C6:$AG6,{"0","4","5","6","7","8","9"},$C$4:$AG$4,"0"))</f>
        <v>14</v>
      </c>
      <c r="AK6" s="283" cm="1">
        <f t="array" ref="AK6">SUM(COUNTIFS($C6:$AG6,{"0","4","5","6","7","8","9"},$C$4:$AG$4,"1"))</f>
        <v>5</v>
      </c>
      <c r="AL6" s="283" cm="1">
        <f t="array" ref="AL6">SUM(COUNTIFS($C6:$AG6,{"0","4","5","6","7","8","9"},$C$4:$AG$4,"2"))</f>
        <v>7</v>
      </c>
      <c r="AM6" s="283" cm="1">
        <f t="array" ref="AM6">SUM(COUNTIFS($C6:$AG6,{"0","4","5","6","7","8","9"},$C$4:$AG$4,"3"))</f>
        <v>5</v>
      </c>
      <c r="AN6" s="283" cm="1">
        <f t="array" ref="AN6">SUM(COUNTIFS($C6:$AG6,{"1","2","3"}))</f>
        <v>0</v>
      </c>
      <c r="AO6" s="283" cm="1">
        <f t="array" ref="AO6">SUM(COUNTIFS($C6:$AG6,{"4","5","6"}))</f>
        <v>0</v>
      </c>
      <c r="AP6" s="283">
        <f>AJ6*'Spreadsheet Key'!$A$23 + AK6*'Spreadsheet Key'!$A$24 + AL6*'Spreadsheet Key'!$A$25 + AM6*'Spreadsheet Key'!$A$26</f>
        <v>1362</v>
      </c>
      <c r="AQ6" s="283" t="e">
        <f>AI6/#REF!</f>
        <v>#REF!</v>
      </c>
      <c r="AR6" s="283" t="e">
        <f>AQ6*#REF!</f>
        <v>#REF!</v>
      </c>
      <c r="AT6" s="283">
        <f t="shared" si="0"/>
        <v>1</v>
      </c>
      <c r="AU6" s="283">
        <f t="shared" si="1"/>
        <v>0</v>
      </c>
      <c r="AV6" s="283">
        <f t="shared" si="2"/>
        <v>0</v>
      </c>
      <c r="AW6" s="283" cm="1">
        <f t="array" ref="AW6">COUNTIFS($C6:$AG6,"9",$C$4:$AG$4,"1")+SUM(COUNTIFS($C6:$AG6,{"8","9"},$C$4:$AG$4,"2"))+COUNTIFS($C6:$AG6,"8",$C$4:$AG$4,"3")</f>
        <v>2</v>
      </c>
      <c r="AX6" s="283">
        <f t="shared" si="3"/>
        <v>0</v>
      </c>
      <c r="AY6" s="283">
        <f t="shared" si="4"/>
        <v>3</v>
      </c>
      <c r="AZ6" s="283">
        <f>AT6*'Spreadsheet Key'!$A$27+AU6*'Spreadsheet Key'!$A$28+AV6*'Spreadsheet Key'!$A$29+AW6*'Spreadsheet Key'!$A$30+AX6*'Spreadsheet Key'!$A$31</f>
        <v>82</v>
      </c>
      <c r="BB6" s="283" t="e">
        <f t="shared" si="5"/>
        <v>#REF!</v>
      </c>
    </row>
    <row r="7" spans="1:58">
      <c r="A7" s="56" t="s">
        <v>606</v>
      </c>
      <c r="B7" s="56" t="s">
        <v>98</v>
      </c>
      <c r="C7" s="2252"/>
      <c r="D7" s="782"/>
      <c r="E7" s="782"/>
      <c r="F7" s="782"/>
      <c r="G7" s="782"/>
      <c r="H7" s="782"/>
      <c r="I7" s="2252"/>
      <c r="J7" s="782"/>
      <c r="K7" s="782"/>
      <c r="L7" s="782"/>
      <c r="M7" s="2252" t="s">
        <v>720</v>
      </c>
      <c r="N7" s="782"/>
      <c r="O7" s="782"/>
      <c r="P7" s="782"/>
      <c r="Q7" s="782"/>
      <c r="R7" s="3002" t="s">
        <v>1138</v>
      </c>
      <c r="S7" s="782"/>
      <c r="T7" s="782"/>
      <c r="U7" s="782"/>
      <c r="V7" s="2252" t="s">
        <v>720</v>
      </c>
      <c r="W7" s="782"/>
      <c r="X7" s="5656" t="s">
        <v>1136</v>
      </c>
      <c r="Y7" s="5656"/>
      <c r="Z7" s="5656"/>
      <c r="AA7" s="782"/>
      <c r="AB7" s="782"/>
      <c r="AC7" s="782"/>
      <c r="AD7" s="2252" t="s">
        <v>722</v>
      </c>
      <c r="AE7" s="782"/>
      <c r="AF7" s="782"/>
      <c r="AG7" s="807"/>
      <c r="AH7" s="3126"/>
      <c r="AI7" s="283" cm="1">
        <f t="array" ref="AI7">SUM(COUNTIFS($C7:$AG7,{"0","4","5","6","7","8","9"}))</f>
        <v>0</v>
      </c>
      <c r="AJ7" s="283" cm="1">
        <f t="array" ref="AJ7">SUM(COUNTIFS($C7:$AG7,{"0","4","5","6","7","8","9"},$C$4:$AG$4,"0"))</f>
        <v>0</v>
      </c>
      <c r="AK7" s="283" cm="1">
        <f t="array" ref="AK7">SUM(COUNTIFS($C7:$AG7,{"0","4","5","6","7","8","9"},$C$4:$AG$4,"1"))</f>
        <v>0</v>
      </c>
      <c r="AL7" s="283" cm="1">
        <f t="array" ref="AL7">SUM(COUNTIFS($C7:$AG7,{"0","4","5","6","7","8","9"},$C$4:$AG$4,"2"))</f>
        <v>0</v>
      </c>
      <c r="AM7" s="283" cm="1">
        <f t="array" ref="AM7">SUM(COUNTIFS($C7:$AG7,{"0","4","5","6","7","8","9"},$C$4:$AG$4,"3"))</f>
        <v>0</v>
      </c>
      <c r="AN7" s="283" cm="1">
        <f t="array" ref="AN7">SUM(COUNTIFS($C7:$AG7,{"1","2","3"}))</f>
        <v>0</v>
      </c>
      <c r="AO7" s="283" cm="1">
        <f t="array" ref="AO7">SUM(COUNTIFS($C7:$AG7,{"4","5","6"}))</f>
        <v>0</v>
      </c>
      <c r="AP7" s="283">
        <f>AJ7*'Spreadsheet Key'!$A$23 + AK7*'Spreadsheet Key'!$A$24 + AL7*'Spreadsheet Key'!$A$25 + AM7*'Spreadsheet Key'!$A$26</f>
        <v>0</v>
      </c>
      <c r="AQ7" s="283" t="e">
        <f>AI7/#REF!</f>
        <v>#REF!</v>
      </c>
      <c r="AR7" s="283" t="e">
        <f>AQ7*#REF!</f>
        <v>#REF!</v>
      </c>
      <c r="AT7" s="283">
        <f t="shared" si="0"/>
        <v>0</v>
      </c>
      <c r="AU7" s="283">
        <f t="shared" si="1"/>
        <v>0</v>
      </c>
      <c r="AV7" s="283">
        <f t="shared" si="2"/>
        <v>0</v>
      </c>
      <c r="AW7" s="283" cm="1">
        <f t="array" ref="AW7">COUNTIFS($C7:$AG7,"9",$C$4:$AG$4,"1")+SUM(COUNTIFS($C7:$AG7,{"8","9"},$C$4:$AG$4,"2"))+COUNTIFS($C7:$AG7,"8",$C$4:$AG$4,"3")</f>
        <v>0</v>
      </c>
      <c r="AX7" s="283">
        <f t="shared" si="3"/>
        <v>0</v>
      </c>
      <c r="AY7" s="283">
        <f t="shared" si="4"/>
        <v>0</v>
      </c>
      <c r="AZ7" s="283">
        <f>AT7*'Spreadsheet Key'!$A$27+AU7*'Spreadsheet Key'!$A$28+AV7*'Spreadsheet Key'!$A$29+AW7*'Spreadsheet Key'!$A$30+AX7*'Spreadsheet Key'!$A$31</f>
        <v>0</v>
      </c>
      <c r="BB7" s="283" t="e">
        <f t="shared" si="5"/>
        <v>#REF!</v>
      </c>
    </row>
    <row r="8" spans="1:58">
      <c r="A8" s="56" t="s">
        <v>606</v>
      </c>
      <c r="B8" s="56" t="s">
        <v>98</v>
      </c>
      <c r="C8" s="2659"/>
      <c r="D8" s="2659"/>
      <c r="E8" s="2659"/>
      <c r="F8" s="2659"/>
      <c r="G8" s="2659"/>
      <c r="H8" s="2659"/>
      <c r="I8" s="2659"/>
      <c r="J8" s="2659"/>
      <c r="K8" s="2659"/>
      <c r="L8" s="2659"/>
      <c r="M8" s="2659"/>
      <c r="N8" s="2659"/>
      <c r="O8" s="2659"/>
      <c r="P8" s="2659"/>
      <c r="Q8" s="2659"/>
      <c r="R8" s="2659"/>
      <c r="S8" s="2659"/>
      <c r="T8" s="2659"/>
      <c r="U8" s="2659"/>
      <c r="V8" s="2659"/>
      <c r="W8" s="2659"/>
      <c r="X8" s="2659"/>
      <c r="Y8" s="2659"/>
      <c r="Z8" s="2659"/>
      <c r="AA8" s="2659"/>
      <c r="AB8" s="2659"/>
      <c r="AC8" s="2659"/>
      <c r="AD8" s="2659"/>
      <c r="AE8" s="368"/>
      <c r="AF8" s="368"/>
      <c r="AG8" s="368"/>
      <c r="AH8" s="3126"/>
      <c r="AI8" s="283" cm="1">
        <f t="array" ref="AI8">SUM(COUNTIFS($C8:$AG8,{"0","4","5","6","7","8","9"}))</f>
        <v>0</v>
      </c>
      <c r="AJ8" s="283" cm="1">
        <f t="array" ref="AJ8">SUM(COUNTIFS($C8:$AG8,{"0","4","5","6","7","8","9"},$C$4:$AG$4,"0"))</f>
        <v>0</v>
      </c>
      <c r="AK8" s="283" cm="1">
        <f t="array" ref="AK8">SUM(COUNTIFS($C8:$AG8,{"0","4","5","6","7","8","9"},$C$4:$AG$4,"1"))</f>
        <v>0</v>
      </c>
      <c r="AL8" s="283" cm="1">
        <f t="array" ref="AL8">SUM(COUNTIFS($C8:$AG8,{"0","4","5","6","7","8","9"},$C$4:$AG$4,"2"))</f>
        <v>0</v>
      </c>
      <c r="AM8" s="283" cm="1">
        <f t="array" ref="AM8">SUM(COUNTIFS($C8:$AG8,{"0","4","5","6","7","8","9"},$C$4:$AG$4,"3"))</f>
        <v>0</v>
      </c>
      <c r="AN8" s="283" cm="1">
        <f t="array" ref="AN8">SUM(COUNTIFS($C8:$AG8,{"1","2","3"}))</f>
        <v>0</v>
      </c>
      <c r="AO8" s="283" cm="1">
        <f t="array" ref="AO8">SUM(COUNTIFS($C8:$AG8,{"4","5","6"}))</f>
        <v>0</v>
      </c>
      <c r="AP8" s="283">
        <f>AJ8*'Spreadsheet Key'!$A$23 + AK8*'Spreadsheet Key'!$A$24 + AL8*'Spreadsheet Key'!$A$25 + AM8*'Spreadsheet Key'!$A$26</f>
        <v>0</v>
      </c>
      <c r="AQ8" s="283" t="e">
        <f>AI8/#REF!</f>
        <v>#REF!</v>
      </c>
      <c r="AR8" s="283" t="e">
        <f>AQ8*#REF!</f>
        <v>#REF!</v>
      </c>
      <c r="AT8" s="283">
        <f t="shared" si="0"/>
        <v>0</v>
      </c>
      <c r="AU8" s="283">
        <f t="shared" si="1"/>
        <v>0</v>
      </c>
      <c r="AV8" s="283">
        <f t="shared" si="2"/>
        <v>0</v>
      </c>
      <c r="AW8" s="283" cm="1">
        <f t="array" ref="AW8">COUNTIFS($C8:$AG8,"9",$C$4:$AG$4,"1")+SUM(COUNTIFS($C8:$AG8,{"8","9"},$C$4:$AG$4,"2"))+COUNTIFS($C8:$AG8,"8",$C$4:$AG$4,"3")</f>
        <v>0</v>
      </c>
      <c r="AX8" s="283">
        <f t="shared" si="3"/>
        <v>0</v>
      </c>
      <c r="AY8" s="283">
        <f t="shared" si="4"/>
        <v>0</v>
      </c>
      <c r="AZ8" s="283">
        <f>AT8*'Spreadsheet Key'!$A$27+AU8*'Spreadsheet Key'!$A$28+AV8*'Spreadsheet Key'!$A$29+AW8*'Spreadsheet Key'!$A$30+AX8*'Spreadsheet Key'!$A$31</f>
        <v>0</v>
      </c>
      <c r="BB8" s="283" t="e">
        <f t="shared" si="5"/>
        <v>#REF!</v>
      </c>
    </row>
    <row r="9" spans="1:58">
      <c r="A9" s="2389" t="s">
        <v>95</v>
      </c>
      <c r="B9" s="56" t="s">
        <v>726</v>
      </c>
      <c r="C9" s="935"/>
      <c r="D9" s="779"/>
      <c r="E9" s="779"/>
      <c r="F9" s="779"/>
      <c r="G9" s="779"/>
      <c r="H9" s="779"/>
      <c r="I9" s="779"/>
      <c r="J9" s="1631" t="s">
        <v>720</v>
      </c>
      <c r="K9" s="779"/>
      <c r="L9" s="779"/>
      <c r="M9" s="779"/>
      <c r="N9" s="779"/>
      <c r="O9" s="779"/>
      <c r="P9" s="1631"/>
      <c r="Q9" s="779"/>
      <c r="R9" s="779"/>
      <c r="S9" s="779"/>
      <c r="T9" s="780"/>
      <c r="U9" s="780"/>
      <c r="V9" s="779"/>
      <c r="W9" s="1631" t="s">
        <v>720</v>
      </c>
      <c r="X9" s="5649" t="s">
        <v>1136</v>
      </c>
      <c r="Y9" s="6153"/>
      <c r="Z9" s="6154"/>
      <c r="AA9" s="780"/>
      <c r="AB9" s="2270" t="s">
        <v>722</v>
      </c>
      <c r="AC9" s="780"/>
      <c r="AD9" s="780"/>
      <c r="AE9" s="780"/>
      <c r="AF9" s="780"/>
      <c r="AG9" s="804"/>
      <c r="AH9" s="3126"/>
      <c r="AI9" s="283" cm="1">
        <f t="array" ref="AI9">SUM(COUNTIFS($C9:$AG9,{"0","4","5","6","7","8","9"}))</f>
        <v>0</v>
      </c>
      <c r="AJ9" s="283" cm="1">
        <f t="array" ref="AJ9">SUM(COUNTIFS($C9:$AG9,{"0","4","5","6","7","8","9"},$C$4:$AG$4,"0"))</f>
        <v>0</v>
      </c>
      <c r="AK9" s="283" cm="1">
        <f t="array" ref="AK9">SUM(COUNTIFS($C9:$AG9,{"0","4","5","6","7","8","9"},$C$4:$AG$4,"1"))</f>
        <v>0</v>
      </c>
      <c r="AL9" s="283" cm="1">
        <f t="array" ref="AL9">SUM(COUNTIFS($C9:$AG9,{"0","4","5","6","7","8","9"},$C$4:$AG$4,"2"))</f>
        <v>0</v>
      </c>
      <c r="AM9" s="283" cm="1">
        <f t="array" ref="AM9">SUM(COUNTIFS($C9:$AG9,{"0","4","5","6","7","8","9"},$C$4:$AG$4,"3"))</f>
        <v>0</v>
      </c>
      <c r="AN9" s="283" cm="1">
        <f t="array" ref="AN9">SUM(COUNTIFS($C9:$AG9,{"1","2","3"}))</f>
        <v>0</v>
      </c>
      <c r="AO9" s="283" cm="1">
        <f t="array" ref="AO9">SUM(COUNTIFS($C9:$AG9,{"4","5","6"}))</f>
        <v>0</v>
      </c>
      <c r="AP9" s="283">
        <f>AJ9*'Spreadsheet Key'!$A$23 + AK9*'Spreadsheet Key'!$A$24 + AL9*'Spreadsheet Key'!$A$25 + AM9*'Spreadsheet Key'!$A$26</f>
        <v>0</v>
      </c>
      <c r="AQ9" s="283" t="e">
        <f>AI9/#REF!</f>
        <v>#REF!</v>
      </c>
      <c r="AR9" s="283" t="e">
        <f>AQ9*#REF!</f>
        <v>#REF!</v>
      </c>
      <c r="AT9" s="283">
        <f t="shared" si="0"/>
        <v>0</v>
      </c>
      <c r="AU9" s="283">
        <f t="shared" si="1"/>
        <v>0</v>
      </c>
      <c r="AV9" s="283">
        <f t="shared" si="2"/>
        <v>0</v>
      </c>
      <c r="AW9" s="283" cm="1">
        <f t="array" ref="AW9">COUNTIFS($C9:$AG9,"9",$C$4:$AG$4,"1")+SUM(COUNTIFS($C9:$AG9,{"8","9"},$C$4:$AG$4,"2"))+COUNTIFS($C9:$AG9,"8",$C$4:$AG$4,"3")</f>
        <v>0</v>
      </c>
      <c r="AX9" s="283">
        <f t="shared" si="3"/>
        <v>0</v>
      </c>
      <c r="AY9" s="283">
        <f t="shared" si="4"/>
        <v>0</v>
      </c>
      <c r="AZ9" s="283">
        <f>AT9*'Spreadsheet Key'!$A$27+AU9*'Spreadsheet Key'!$A$28+AV9*'Spreadsheet Key'!$A$29+AW9*'Spreadsheet Key'!$A$30+AX9*'Spreadsheet Key'!$A$31</f>
        <v>0</v>
      </c>
      <c r="BB9" s="283" t="e">
        <f t="shared" si="5"/>
        <v>#REF!</v>
      </c>
    </row>
    <row r="10" spans="1:58">
      <c r="A10" s="2389" t="s">
        <v>95</v>
      </c>
      <c r="B10" s="56" t="s">
        <v>726</v>
      </c>
      <c r="C10" s="2659"/>
      <c r="D10" s="2659"/>
      <c r="E10" s="2659"/>
      <c r="F10" s="2659"/>
      <c r="G10" s="2659"/>
      <c r="H10" s="2659"/>
      <c r="I10" s="2659"/>
      <c r="J10" s="2659"/>
      <c r="K10" s="2659"/>
      <c r="L10" s="2659"/>
      <c r="M10" s="2659"/>
      <c r="N10" s="2659"/>
      <c r="O10" s="2659"/>
      <c r="P10" s="2659"/>
      <c r="Q10" s="2659"/>
      <c r="R10" s="2659"/>
      <c r="S10" s="2659"/>
      <c r="T10" s="2659"/>
      <c r="U10" s="2659"/>
      <c r="V10" s="2659"/>
      <c r="W10" s="2659"/>
      <c r="X10" s="2659"/>
      <c r="Y10" s="2659"/>
      <c r="Z10" s="2659"/>
      <c r="AA10" s="2659"/>
      <c r="AB10" s="2659"/>
      <c r="AC10" s="2659"/>
      <c r="AD10" s="2659"/>
      <c r="AE10" s="368"/>
      <c r="AF10" s="368"/>
      <c r="AG10" s="368"/>
      <c r="AH10" s="3126"/>
      <c r="AI10" s="283" cm="1">
        <f t="array" ref="AI10">SUM(COUNTIFS($C10:$AG10,{"0","4","5","6","7","8","9"}))</f>
        <v>0</v>
      </c>
      <c r="AJ10" s="283" cm="1">
        <f t="array" ref="AJ10">SUM(COUNTIFS($C10:$AG10,{"0","4","5","6","7","8","9"},$C$4:$AG$4,"0"))</f>
        <v>0</v>
      </c>
      <c r="AK10" s="283" cm="1">
        <f t="array" ref="AK10">SUM(COUNTIFS($C10:$AG10,{"0","4","5","6","7","8","9"},$C$4:$AG$4,"1"))</f>
        <v>0</v>
      </c>
      <c r="AL10" s="283" cm="1">
        <f t="array" ref="AL10">SUM(COUNTIFS($C10:$AG10,{"0","4","5","6","7","8","9"},$C$4:$AG$4,"2"))</f>
        <v>0</v>
      </c>
      <c r="AM10" s="283" cm="1">
        <f t="array" ref="AM10">SUM(COUNTIFS($C10:$AG10,{"0","4","5","6","7","8","9"},$C$4:$AG$4,"3"))</f>
        <v>0</v>
      </c>
      <c r="AN10" s="283" cm="1">
        <f t="array" ref="AN10">SUM(COUNTIFS($C10:$AG10,{"1","2","3"}))</f>
        <v>0</v>
      </c>
      <c r="AO10" s="283" cm="1">
        <f t="array" ref="AO10">SUM(COUNTIFS($C10:$AG10,{"4","5","6"}))</f>
        <v>0</v>
      </c>
      <c r="AP10" s="283">
        <f>AJ10*'Spreadsheet Key'!$A$23 + AK10*'Spreadsheet Key'!$A$24 + AL10*'Spreadsheet Key'!$A$25 + AM10*'Spreadsheet Key'!$A$26</f>
        <v>0</v>
      </c>
      <c r="AQ10" s="283" t="e">
        <f>AI10/#REF!</f>
        <v>#REF!</v>
      </c>
      <c r="AR10" s="283" t="e">
        <f>AQ10*#REF!</f>
        <v>#REF!</v>
      </c>
      <c r="AT10" s="283">
        <f t="shared" si="0"/>
        <v>0</v>
      </c>
      <c r="AU10" s="283">
        <f t="shared" si="1"/>
        <v>0</v>
      </c>
      <c r="AV10" s="283">
        <f t="shared" si="2"/>
        <v>0</v>
      </c>
      <c r="AW10" s="283" cm="1">
        <f t="array" ref="AW10">COUNTIFS($C10:$AG10,"9",$C$4:$AG$4,"1")+SUM(COUNTIFS($C10:$AG10,{"8","9"},$C$4:$AG$4,"2"))+COUNTIFS($C10:$AG10,"8",$C$4:$AG$4,"3")</f>
        <v>0</v>
      </c>
      <c r="AX10" s="283">
        <f t="shared" si="3"/>
        <v>0</v>
      </c>
      <c r="AY10" s="283">
        <f t="shared" si="4"/>
        <v>0</v>
      </c>
      <c r="AZ10" s="283">
        <f>AT10*'Spreadsheet Key'!$A$27+AU10*'Spreadsheet Key'!$A$28+AV10*'Spreadsheet Key'!$A$29+AW10*'Spreadsheet Key'!$A$30+AX10*'Spreadsheet Key'!$A$31</f>
        <v>0</v>
      </c>
      <c r="BB10" s="283" t="e">
        <f t="shared" si="5"/>
        <v>#REF!</v>
      </c>
    </row>
    <row r="11" spans="1:58">
      <c r="A11" s="56" t="s">
        <v>95</v>
      </c>
      <c r="B11" s="522" t="s">
        <v>548</v>
      </c>
      <c r="C11" s="935"/>
      <c r="D11" s="779"/>
      <c r="E11" s="779"/>
      <c r="F11" s="779"/>
      <c r="G11" s="779"/>
      <c r="H11" s="779"/>
      <c r="I11" s="1631" t="s">
        <v>720</v>
      </c>
      <c r="J11" s="779"/>
      <c r="K11" s="1631"/>
      <c r="L11" s="779"/>
      <c r="M11" s="779"/>
      <c r="N11" s="779"/>
      <c r="O11" s="779"/>
      <c r="P11" s="779"/>
      <c r="Q11" s="779"/>
      <c r="R11" s="779"/>
      <c r="S11" s="847"/>
      <c r="T11" s="2"/>
      <c r="U11" s="668"/>
      <c r="V11" s="4411" t="s">
        <v>1051</v>
      </c>
      <c r="W11" s="4334"/>
      <c r="X11" s="847"/>
      <c r="Y11" s="6142" t="s">
        <v>1139</v>
      </c>
      <c r="Z11" s="6142"/>
      <c r="AA11" s="6142"/>
      <c r="AB11" s="6142"/>
      <c r="AC11" s="6142"/>
      <c r="AD11" s="1351"/>
      <c r="AE11" s="675"/>
      <c r="AF11" s="675"/>
      <c r="AG11" s="3098" t="s">
        <v>1140</v>
      </c>
      <c r="AH11" s="3126"/>
      <c r="AI11" cm="1">
        <f t="array" ref="AI11">SUM(COUNTIFS($C11:$AG11,{"0","4","5","6","7","8","9"}))</f>
        <v>0</v>
      </c>
      <c r="AJ11" cm="1">
        <f t="array" ref="AJ11">SUM(COUNTIFS($C11:$AG11,{"0","4","5","6","7","8","9"},$C$4:$AG$4,"0"))</f>
        <v>0</v>
      </c>
      <c r="AK11" cm="1">
        <f t="array" ref="AK11">SUM(COUNTIFS($C11:$AG11,{"0","4","5","6","7","8","9"},$C$4:$AG$4,"1"))</f>
        <v>0</v>
      </c>
      <c r="AL11" cm="1">
        <f t="array" ref="AL11">SUM(COUNTIFS($C11:$AG11,{"0","4","5","6","7","8","9"},$C$4:$AG$4,"2"))</f>
        <v>0</v>
      </c>
      <c r="AM11" cm="1">
        <f t="array" ref="AM11">SUM(COUNTIFS($C11:$AG11,{"0","4","5","6","7","8","9"},$C$4:$AG$4,"3"))</f>
        <v>0</v>
      </c>
      <c r="AN11" cm="1">
        <f t="array" ref="AN11">SUM(COUNTIFS($C11:$AG11,{"1","2","3"}))</f>
        <v>0</v>
      </c>
      <c r="AO11" cm="1">
        <f t="array" ref="AO11">SUM(COUNTIFS($C11:$AG11,{"4","5","6"}))</f>
        <v>0</v>
      </c>
      <c r="AP11" s="283">
        <f>AJ11*'Spreadsheet Key'!$A$23 + AK11*'Spreadsheet Key'!$A$24 + AL11*'Spreadsheet Key'!$A$25 + AM11*'Spreadsheet Key'!$A$26</f>
        <v>0</v>
      </c>
      <c r="AQ11" s="283" t="e">
        <f>AI11/#REF!</f>
        <v>#REF!</v>
      </c>
      <c r="AR11" s="283" t="e">
        <f>AQ11*#REF!</f>
        <v>#REF!</v>
      </c>
      <c r="AT11" s="283">
        <f t="shared" si="0"/>
        <v>0</v>
      </c>
      <c r="AU11" s="283">
        <f t="shared" si="1"/>
        <v>0</v>
      </c>
      <c r="AV11" s="283">
        <f t="shared" si="2"/>
        <v>0</v>
      </c>
      <c r="AW11" cm="1">
        <f t="array" ref="AW11">COUNTIFS($C11:$AG11,"9",$C$4:$AG$4,"1")+SUM(COUNTIFS($C11:$AG11,{"8","9"},$C$4:$AG$4,"2"))+COUNTIFS($C11:$AG11,"8",$C$4:$AG$4,"3")</f>
        <v>0</v>
      </c>
      <c r="AX11" s="283">
        <f t="shared" si="3"/>
        <v>0</v>
      </c>
      <c r="AY11" s="283">
        <f t="shared" si="4"/>
        <v>0</v>
      </c>
      <c r="AZ11" s="283">
        <f>AT11*'Spreadsheet Key'!$A$27+AU11*'Spreadsheet Key'!$A$28+AV11*'Spreadsheet Key'!$A$29+AW11*'Spreadsheet Key'!$A$30+AX11*'Spreadsheet Key'!$A$31</f>
        <v>0</v>
      </c>
      <c r="BB11" s="283" t="e">
        <f t="shared" si="5"/>
        <v>#REF!</v>
      </c>
    </row>
    <row r="12" spans="1:58">
      <c r="A12" s="56" t="s">
        <v>95</v>
      </c>
      <c r="B12" s="522" t="s">
        <v>548</v>
      </c>
      <c r="C12" s="2659"/>
      <c r="D12" s="2659"/>
      <c r="E12" s="2659"/>
      <c r="F12" s="2659"/>
      <c r="G12" s="2659"/>
      <c r="H12" s="2659"/>
      <c r="I12" s="2659"/>
      <c r="J12" s="2659"/>
      <c r="K12" s="2659"/>
      <c r="L12" s="2659"/>
      <c r="M12" s="2659"/>
      <c r="N12" s="2659"/>
      <c r="O12" s="2659"/>
      <c r="P12" s="2659"/>
      <c r="Q12" s="2659"/>
      <c r="R12" s="2659"/>
      <c r="S12" s="2659"/>
      <c r="T12" s="2659"/>
      <c r="U12" s="2659"/>
      <c r="V12" s="2659"/>
      <c r="W12" s="2659"/>
      <c r="X12" s="2659"/>
      <c r="Y12" s="2659"/>
      <c r="Z12" s="2659"/>
      <c r="AA12" s="2659"/>
      <c r="AB12" s="2659"/>
      <c r="AC12" s="2659"/>
      <c r="AD12" s="2659"/>
      <c r="AE12" s="368"/>
      <c r="AF12" s="368"/>
      <c r="AG12" s="368"/>
      <c r="AH12" s="3126"/>
      <c r="AI12" cm="1">
        <f t="array" ref="AI12">SUM(COUNTIFS($C12:$AG12,{"0","4","5","6","7","8","9"}))</f>
        <v>0</v>
      </c>
      <c r="AJ12" cm="1">
        <f t="array" ref="AJ12">SUM(COUNTIFS($C12:$AG12,{"0","4","5","6","7","8","9"},$C$4:$AG$4,"0"))</f>
        <v>0</v>
      </c>
      <c r="AK12" cm="1">
        <f t="array" ref="AK12">SUM(COUNTIFS($C12:$AG12,{"0","4","5","6","7","8","9"},$C$4:$AG$4,"1"))</f>
        <v>0</v>
      </c>
      <c r="AL12" cm="1">
        <f t="array" ref="AL12">SUM(COUNTIFS($C12:$AG12,{"0","4","5","6","7","8","9"},$C$4:$AG$4,"2"))</f>
        <v>0</v>
      </c>
      <c r="AM12" cm="1">
        <f t="array" ref="AM12">SUM(COUNTIFS($C12:$AG12,{"0","4","5","6","7","8","9"},$C$4:$AG$4,"3"))</f>
        <v>0</v>
      </c>
      <c r="AN12" cm="1">
        <f t="array" ref="AN12">SUM(COUNTIFS($C12:$AG12,{"1","2","3"}))</f>
        <v>0</v>
      </c>
      <c r="AO12" cm="1">
        <f t="array" ref="AO12">SUM(COUNTIFS($C12:$AG12,{"4","5","6"}))</f>
        <v>0</v>
      </c>
      <c r="AP12" s="283">
        <f>AJ12*'Spreadsheet Key'!$A$23 + AK12*'Spreadsheet Key'!$A$24 + AL12*'Spreadsheet Key'!$A$25 + AM12*'Spreadsheet Key'!$A$26</f>
        <v>0</v>
      </c>
      <c r="AQ12" s="283" t="e">
        <f>AI12/#REF!</f>
        <v>#REF!</v>
      </c>
      <c r="AR12" s="283" t="e">
        <f>AQ12*#REF!</f>
        <v>#REF!</v>
      </c>
      <c r="AT12" s="283">
        <f t="shared" si="0"/>
        <v>0</v>
      </c>
      <c r="AU12" s="283">
        <f t="shared" si="1"/>
        <v>0</v>
      </c>
      <c r="AV12" s="283">
        <f t="shared" si="2"/>
        <v>0</v>
      </c>
      <c r="AW12" cm="1">
        <f t="array" ref="AW12">COUNTIFS($C12:$AG12,"9",$C$4:$AG$4,"1")+SUM(COUNTIFS($C12:$AG12,{"8","9"},$C$4:$AG$4,"2"))+COUNTIFS($C12:$AG12,"8",$C$4:$AG$4,"3")</f>
        <v>0</v>
      </c>
      <c r="AX12" s="283">
        <f t="shared" si="3"/>
        <v>0</v>
      </c>
      <c r="AY12" s="283">
        <f t="shared" si="4"/>
        <v>0</v>
      </c>
      <c r="AZ12" s="283">
        <f>AT12*'Spreadsheet Key'!$A$27+AU12*'Spreadsheet Key'!$A$28+AV12*'Spreadsheet Key'!$A$29+AW12*'Spreadsheet Key'!$A$30+AX12*'Spreadsheet Key'!$A$31</f>
        <v>0</v>
      </c>
      <c r="BB12" s="283" t="e">
        <f t="shared" si="5"/>
        <v>#REF!</v>
      </c>
    </row>
    <row r="13" spans="1:58">
      <c r="A13" s="56" t="s">
        <v>108</v>
      </c>
      <c r="B13" s="56" t="s">
        <v>109</v>
      </c>
      <c r="C13" s="936"/>
      <c r="D13" s="782"/>
      <c r="E13" s="782"/>
      <c r="F13" s="2252"/>
      <c r="G13" s="782"/>
      <c r="H13" s="782"/>
      <c r="I13" s="782"/>
      <c r="J13" s="3047" t="s">
        <v>722</v>
      </c>
      <c r="K13" s="782"/>
      <c r="L13" s="782"/>
      <c r="M13" s="782"/>
      <c r="N13" s="782"/>
      <c r="O13" s="782"/>
      <c r="P13" s="3685" t="s">
        <v>722</v>
      </c>
      <c r="Q13" s="782"/>
      <c r="R13" s="3002" t="s">
        <v>1138</v>
      </c>
      <c r="S13" s="2252"/>
      <c r="T13" s="782"/>
      <c r="U13" s="782"/>
      <c r="V13" s="782"/>
      <c r="W13" s="782"/>
      <c r="X13" s="5649" t="s">
        <v>1136</v>
      </c>
      <c r="Y13" s="5650"/>
      <c r="Z13" s="5651"/>
      <c r="AA13" s="2252" t="s">
        <v>722</v>
      </c>
      <c r="AB13" s="782"/>
      <c r="AC13" s="782"/>
      <c r="AD13" s="782"/>
      <c r="AE13" s="782"/>
      <c r="AF13" s="782"/>
      <c r="AG13" s="807"/>
      <c r="AH13" s="3126"/>
      <c r="AI13" s="283" cm="1">
        <f t="array" ref="AI13">SUM(COUNTIFS($C13:$AG13,{"0","4","5","6","7","8","9"}))</f>
        <v>0</v>
      </c>
      <c r="AJ13" s="283" cm="1">
        <f t="array" ref="AJ13">SUM(COUNTIFS($C13:$AG13,{"0","4","5","6","7","8","9"},$C$4:$AG$4,"0"))</f>
        <v>0</v>
      </c>
      <c r="AK13" s="283" cm="1">
        <f t="array" ref="AK13">SUM(COUNTIFS($C13:$AG13,{"0","4","5","6","7","8","9"},$C$4:$AG$4,"1"))</f>
        <v>0</v>
      </c>
      <c r="AL13" s="283" cm="1">
        <f t="array" ref="AL13">SUM(COUNTIFS($C13:$AG13,{"0","4","5","6","7","8","9"},$C$4:$AG$4,"2"))</f>
        <v>0</v>
      </c>
      <c r="AM13" s="283" cm="1">
        <f t="array" ref="AM13">SUM(COUNTIFS($C13:$AG13,{"0","4","5","6","7","8","9"},$C$4:$AG$4,"3"))</f>
        <v>0</v>
      </c>
      <c r="AN13" s="283" cm="1">
        <f t="array" ref="AN13">SUM(COUNTIFS($C13:$AG13,{"1","2","3"}))</f>
        <v>0</v>
      </c>
      <c r="AO13" s="283" cm="1">
        <f t="array" ref="AO13">SUM(COUNTIFS($C13:$AG13,{"4","5","6"}))</f>
        <v>0</v>
      </c>
      <c r="AP13" s="283">
        <f>AJ13*'Spreadsheet Key'!$A$23 + AK13*'Spreadsheet Key'!$A$24 + AL13*'Spreadsheet Key'!$A$25 + AM13*'Spreadsheet Key'!$A$26</f>
        <v>0</v>
      </c>
      <c r="AQ13" s="283" t="e">
        <f>AI13/#REF!</f>
        <v>#REF!</v>
      </c>
      <c r="AR13" s="283" t="e">
        <f>AQ13*#REF!</f>
        <v>#REF!</v>
      </c>
      <c r="AT13" s="283">
        <f t="shared" ref="AT13:AT56" si="6">COUNTIFS($C13:$AG13,"8",$C$4:$AG$4,"0")</f>
        <v>0</v>
      </c>
      <c r="AU13" s="283">
        <f t="shared" ref="AU13:AU56" si="7">COUNTIFS($C13:$AG13,"9",$C$4:$AG$4,"0")</f>
        <v>0</v>
      </c>
      <c r="AV13" s="283">
        <f t="shared" ref="AV13:AV56" si="8">COUNTIFS($C13:$AG13,"8",$C$4:$AG$4,"1")</f>
        <v>0</v>
      </c>
      <c r="AW13" s="283" cm="1">
        <f t="array" ref="AW13">COUNTIFS($C13:$AG13,"9",$C$4:$AG$4,"1")+SUM(COUNTIFS($C13:$AG13,{"8","9"},$C$4:$AG$4,"2"))+COUNTIFS($C13:$AG13,"8",$C$4:$AG$4,"3")</f>
        <v>0</v>
      </c>
      <c r="AX13" s="283">
        <f t="shared" ref="AX13:AX56" si="9">COUNTIFS($C13:$AG13,"9",$C$4:$AG$4,"3")</f>
        <v>0</v>
      </c>
      <c r="AY13" s="283">
        <f t="shared" ref="AY13:AY56" si="10">SUM(AT13:AX13)</f>
        <v>0</v>
      </c>
      <c r="AZ13" s="283">
        <f>AT13*'Spreadsheet Key'!$A$27+AU13*'Spreadsheet Key'!$A$28+AV13*'Spreadsheet Key'!$A$29+AW13*'Spreadsheet Key'!$A$30+AX13*'Spreadsheet Key'!$A$31</f>
        <v>0</v>
      </c>
      <c r="BB13" s="283" t="e">
        <f t="shared" ref="BB13:BB56" si="11">AR13-AZ13</f>
        <v>#REF!</v>
      </c>
    </row>
    <row r="14" spans="1:58">
      <c r="A14" s="56" t="s">
        <v>108</v>
      </c>
      <c r="B14" s="56" t="s">
        <v>109</v>
      </c>
      <c r="C14" s="2659"/>
      <c r="D14" s="2659"/>
      <c r="E14" s="2659"/>
      <c r="F14" s="2659"/>
      <c r="G14" s="2659"/>
      <c r="H14" s="2659"/>
      <c r="I14" s="2659"/>
      <c r="J14" s="2659"/>
      <c r="K14" s="2659"/>
      <c r="L14" s="2659"/>
      <c r="M14" s="2659"/>
      <c r="N14" s="2659"/>
      <c r="O14" s="2659"/>
      <c r="P14" s="2659"/>
      <c r="Q14" s="2659"/>
      <c r="R14" s="2659"/>
      <c r="S14" s="2659"/>
      <c r="T14" s="2659"/>
      <c r="U14" s="2659"/>
      <c r="V14" s="2659"/>
      <c r="W14" s="2659"/>
      <c r="X14" s="2659"/>
      <c r="Y14" s="2659"/>
      <c r="Z14" s="2659"/>
      <c r="AA14" s="2659"/>
      <c r="AB14" s="2659"/>
      <c r="AC14" s="2659"/>
      <c r="AD14" s="2659"/>
      <c r="AE14" s="368"/>
      <c r="AF14" s="368"/>
      <c r="AG14" s="368"/>
      <c r="AH14" s="3126"/>
      <c r="AI14" s="283" cm="1">
        <f t="array" ref="AI14">SUM(COUNTIFS($C14:$AG14,{"0","4","5","6","7","8","9"}))</f>
        <v>0</v>
      </c>
      <c r="AJ14" s="283" cm="1">
        <f t="array" ref="AJ14">SUM(COUNTIFS($C14:$AG14,{"0","4","5","6","7","8","9"},$C$4:$AG$4,"0"))</f>
        <v>0</v>
      </c>
      <c r="AK14" s="283" cm="1">
        <f t="array" ref="AK14">SUM(COUNTIFS($C14:$AG14,{"0","4","5","6","7","8","9"},$C$4:$AG$4,"1"))</f>
        <v>0</v>
      </c>
      <c r="AL14" s="283" cm="1">
        <f t="array" ref="AL14">SUM(COUNTIFS($C14:$AG14,{"0","4","5","6","7","8","9"},$C$4:$AG$4,"2"))</f>
        <v>0</v>
      </c>
      <c r="AM14" s="283" cm="1">
        <f t="array" ref="AM14">SUM(COUNTIFS($C14:$AG14,{"0","4","5","6","7","8","9"},$C$4:$AG$4,"3"))</f>
        <v>0</v>
      </c>
      <c r="AN14" s="283" cm="1">
        <f t="array" ref="AN14">SUM(COUNTIFS($C14:$AG14,{"1","2","3"}))</f>
        <v>0</v>
      </c>
      <c r="AO14" s="283" cm="1">
        <f t="array" ref="AO14">SUM(COUNTIFS($C14:$AG14,{"4","5","6"}))</f>
        <v>0</v>
      </c>
      <c r="AP14" s="283">
        <f>AJ14*'Spreadsheet Key'!$A$23 + AK14*'Spreadsheet Key'!$A$24 + AL14*'Spreadsheet Key'!$A$25 + AM14*'Spreadsheet Key'!$A$26</f>
        <v>0</v>
      </c>
      <c r="AQ14" s="283" t="e">
        <f>AI14/#REF!</f>
        <v>#REF!</v>
      </c>
      <c r="AR14" s="283" t="e">
        <f>AQ14*#REF!</f>
        <v>#REF!</v>
      </c>
      <c r="AT14" s="283">
        <f t="shared" si="6"/>
        <v>0</v>
      </c>
      <c r="AU14" s="283">
        <f t="shared" si="7"/>
        <v>0</v>
      </c>
      <c r="AV14" s="283">
        <f t="shared" si="8"/>
        <v>0</v>
      </c>
      <c r="AW14" s="283" cm="1">
        <f t="array" ref="AW14">COUNTIFS($C14:$AG14,"9",$C$4:$AG$4,"1")+SUM(COUNTIFS($C14:$AG14,{"8","9"},$C$4:$AG$4,"2"))+COUNTIFS($C14:$AG14,"8",$C$4:$AG$4,"3")</f>
        <v>0</v>
      </c>
      <c r="AX14" s="283">
        <f t="shared" si="9"/>
        <v>0</v>
      </c>
      <c r="AY14" s="283">
        <f t="shared" si="10"/>
        <v>0</v>
      </c>
      <c r="AZ14" s="283">
        <f>AT14*'Spreadsheet Key'!$A$27+AU14*'Spreadsheet Key'!$A$28+AV14*'Spreadsheet Key'!$A$29+AW14*'Spreadsheet Key'!$A$30+AX14*'Spreadsheet Key'!$A$31</f>
        <v>0</v>
      </c>
      <c r="BB14" s="283" t="e">
        <f t="shared" si="11"/>
        <v>#REF!</v>
      </c>
    </row>
    <row r="15" spans="1:58">
      <c r="A15" s="2389" t="s">
        <v>283</v>
      </c>
      <c r="B15" s="2389" t="s">
        <v>610</v>
      </c>
      <c r="C15" s="4333" t="s">
        <v>1141</v>
      </c>
      <c r="D15" s="4334"/>
      <c r="E15" s="1631" t="s">
        <v>720</v>
      </c>
      <c r="F15" s="779"/>
      <c r="G15" s="779"/>
      <c r="H15" s="779"/>
      <c r="I15" s="779"/>
      <c r="J15" s="779"/>
      <c r="K15" s="779"/>
      <c r="L15" s="779"/>
      <c r="M15" s="779"/>
      <c r="N15" s="779"/>
      <c r="O15" s="1631" t="s">
        <v>720</v>
      </c>
      <c r="P15" s="779"/>
      <c r="Q15" s="779"/>
      <c r="R15" s="779"/>
      <c r="S15" s="779"/>
      <c r="T15" s="4333" t="s">
        <v>1142</v>
      </c>
      <c r="U15" s="4411"/>
      <c r="V15" s="4411"/>
      <c r="W15" s="4334"/>
      <c r="X15" s="779"/>
      <c r="Y15" s="779"/>
      <c r="Z15" s="1631"/>
      <c r="AA15" s="779"/>
      <c r="AB15" s="779"/>
      <c r="AC15" s="1631" t="s">
        <v>720</v>
      </c>
      <c r="AD15" s="779"/>
      <c r="AE15" s="779"/>
      <c r="AF15" s="779"/>
      <c r="AG15" s="804"/>
      <c r="AH15" s="3126"/>
      <c r="AI15" s="283" cm="1">
        <f t="array" ref="AI15">SUM(COUNTIFS($C15:$AG15,{"0","4","5","6","7","8","9"}))</f>
        <v>0</v>
      </c>
      <c r="AJ15" s="283" cm="1">
        <f t="array" ref="AJ15">SUM(COUNTIFS($C15:$AG15,{"0","4","5","6","7","8","9"},$C$4:$AG$4,"0"))</f>
        <v>0</v>
      </c>
      <c r="AK15" s="283" cm="1">
        <f t="array" ref="AK15">SUM(COUNTIFS($C15:$AG15,{"0","4","5","6","7","8","9"},$C$4:$AG$4,"1"))</f>
        <v>0</v>
      </c>
      <c r="AL15" s="283" cm="1">
        <f t="array" ref="AL15">SUM(COUNTIFS($C15:$AG15,{"0","4","5","6","7","8","9"},$C$4:$AG$4,"2"))</f>
        <v>0</v>
      </c>
      <c r="AM15" s="283" cm="1">
        <f t="array" ref="AM15">SUM(COUNTIFS($C15:$AG15,{"0","4","5","6","7","8","9"},$C$4:$AG$4,"3"))</f>
        <v>0</v>
      </c>
      <c r="AN15" s="283" cm="1">
        <f t="array" ref="AN15">SUM(COUNTIFS($C15:$AG15,{"1","2","3"}))</f>
        <v>0</v>
      </c>
      <c r="AO15" s="283" cm="1">
        <f t="array" ref="AO15">SUM(COUNTIFS($C15:$AG15,{"4","5","6"}))</f>
        <v>0</v>
      </c>
      <c r="AP15" s="283">
        <f>AJ15*'Spreadsheet Key'!$A$23 + AK15*'Spreadsheet Key'!$A$24 + AL15*'Spreadsheet Key'!$A$25 + AM15*'Spreadsheet Key'!$A$26</f>
        <v>0</v>
      </c>
      <c r="AQ15" s="283" t="e">
        <f>AI15/#REF!</f>
        <v>#REF!</v>
      </c>
      <c r="AR15" s="283" t="e">
        <f>AQ15*#REF!</f>
        <v>#REF!</v>
      </c>
      <c r="AT15" s="283">
        <f t="shared" si="6"/>
        <v>0</v>
      </c>
      <c r="AU15" s="283">
        <f t="shared" si="7"/>
        <v>0</v>
      </c>
      <c r="AV15" s="283">
        <f t="shared" si="8"/>
        <v>0</v>
      </c>
      <c r="AW15" s="283" cm="1">
        <f t="array" ref="AW15">COUNTIFS($C15:$AG15,"9",$C$4:$AG$4,"1")+SUM(COUNTIFS($C15:$AG15,{"8","9"},$C$4:$AG$4,"2"))+COUNTIFS($C15:$AG15,"8",$C$4:$AG$4,"3")</f>
        <v>0</v>
      </c>
      <c r="AX15" s="283">
        <f t="shared" si="9"/>
        <v>0</v>
      </c>
      <c r="AY15" s="283">
        <f t="shared" si="10"/>
        <v>0</v>
      </c>
      <c r="AZ15" s="283">
        <f>AT15*'Spreadsheet Key'!$A$27+AU15*'Spreadsheet Key'!$A$28+AV15*'Spreadsheet Key'!$A$29+AW15*'Spreadsheet Key'!$A$30+AX15*'Spreadsheet Key'!$A$31</f>
        <v>0</v>
      </c>
      <c r="BB15" s="283" t="e">
        <f t="shared" si="11"/>
        <v>#REF!</v>
      </c>
    </row>
    <row r="16" spans="1:58">
      <c r="A16" s="2389" t="s">
        <v>283</v>
      </c>
      <c r="B16" s="2389" t="s">
        <v>610</v>
      </c>
      <c r="C16" s="2659"/>
      <c r="D16" s="2659"/>
      <c r="E16" s="2659"/>
      <c r="F16" s="2659"/>
      <c r="G16" s="2659"/>
      <c r="H16" s="2659"/>
      <c r="I16" s="2659"/>
      <c r="J16" s="2659"/>
      <c r="K16" s="2659"/>
      <c r="L16" s="2659"/>
      <c r="M16" s="2659"/>
      <c r="N16" s="2659"/>
      <c r="O16" s="2659"/>
      <c r="P16" s="2659"/>
      <c r="Q16" s="2659"/>
      <c r="R16" s="2659"/>
      <c r="S16" s="2659"/>
      <c r="T16" s="2659"/>
      <c r="U16" s="2659"/>
      <c r="V16" s="2659"/>
      <c r="W16" s="2659"/>
      <c r="X16" s="2659"/>
      <c r="Y16" s="2659"/>
      <c r="Z16" s="2659"/>
      <c r="AA16" s="2659"/>
      <c r="AB16" s="2659"/>
      <c r="AC16" s="2659"/>
      <c r="AD16" s="2659"/>
      <c r="AE16" s="368"/>
      <c r="AF16" s="368"/>
      <c r="AG16" s="368"/>
      <c r="AH16" s="3126"/>
      <c r="AI16" s="283" cm="1">
        <f t="array" ref="AI16">SUM(COUNTIFS($C16:$AG16,{"0","4","5","6","7","8","9"}))</f>
        <v>0</v>
      </c>
      <c r="AJ16" s="283" cm="1">
        <f t="array" ref="AJ16">SUM(COUNTIFS($C16:$AG16,{"0","4","5","6","7","8","9"},$C$4:$AG$4,"0"))</f>
        <v>0</v>
      </c>
      <c r="AK16" s="283" cm="1">
        <f t="array" ref="AK16">SUM(COUNTIFS($C16:$AG16,{"0","4","5","6","7","8","9"},$C$4:$AG$4,"1"))</f>
        <v>0</v>
      </c>
      <c r="AL16" s="283" cm="1">
        <f t="array" ref="AL16">SUM(COUNTIFS($C16:$AG16,{"0","4","5","6","7","8","9"},$C$4:$AG$4,"2"))</f>
        <v>0</v>
      </c>
      <c r="AM16" s="283" cm="1">
        <f t="array" ref="AM16">SUM(COUNTIFS($C16:$AG16,{"0","4","5","6","7","8","9"},$C$4:$AG$4,"3"))</f>
        <v>0</v>
      </c>
      <c r="AN16" s="283" cm="1">
        <f t="array" ref="AN16">SUM(COUNTIFS($C16:$AG16,{"1","2","3"}))</f>
        <v>0</v>
      </c>
      <c r="AO16" s="283" cm="1">
        <f t="array" ref="AO16">SUM(COUNTIFS($C16:$AG16,{"4","5","6"}))</f>
        <v>0</v>
      </c>
      <c r="AP16" s="283">
        <f>AJ16*'Spreadsheet Key'!$A$23 + AK16*'Spreadsheet Key'!$A$24 + AL16*'Spreadsheet Key'!$A$25 + AM16*'Spreadsheet Key'!$A$26</f>
        <v>0</v>
      </c>
      <c r="AQ16" s="283" t="e">
        <f>AI16/#REF!</f>
        <v>#REF!</v>
      </c>
      <c r="AR16" s="283" t="e">
        <f>AQ16*#REF!</f>
        <v>#REF!</v>
      </c>
      <c r="AT16" s="283">
        <f t="shared" si="6"/>
        <v>0</v>
      </c>
      <c r="AU16" s="283">
        <f t="shared" si="7"/>
        <v>0</v>
      </c>
      <c r="AV16" s="283">
        <f t="shared" si="8"/>
        <v>0</v>
      </c>
      <c r="AW16" s="283" cm="1">
        <f t="array" ref="AW16">COUNTIFS($C16:$AG16,"9",$C$4:$AG$4,"1")+SUM(COUNTIFS($C16:$AG16,{"8","9"},$C$4:$AG$4,"2"))+COUNTIFS($C16:$AG16,"8",$C$4:$AG$4,"3")</f>
        <v>0</v>
      </c>
      <c r="AX16" s="283">
        <f t="shared" si="9"/>
        <v>0</v>
      </c>
      <c r="AY16" s="283">
        <f t="shared" si="10"/>
        <v>0</v>
      </c>
      <c r="AZ16" s="283">
        <f>AT16*'Spreadsheet Key'!$A$27+AU16*'Spreadsheet Key'!$A$28+AV16*'Spreadsheet Key'!$A$29+AW16*'Spreadsheet Key'!$A$30+AX16*'Spreadsheet Key'!$A$31</f>
        <v>0</v>
      </c>
      <c r="BB16" s="283" t="e">
        <f t="shared" si="11"/>
        <v>#REF!</v>
      </c>
    </row>
    <row r="17" spans="1:54">
      <c r="A17" s="2389" t="s">
        <v>113</v>
      </c>
      <c r="B17" s="2389" t="s">
        <v>116</v>
      </c>
      <c r="C17" s="4434" t="s">
        <v>1143</v>
      </c>
      <c r="D17" s="6133"/>
      <c r="E17" s="6133"/>
      <c r="F17" s="6133"/>
      <c r="G17" s="6133"/>
      <c r="H17" s="6133"/>
      <c r="I17" s="6133"/>
      <c r="J17" s="6133"/>
      <c r="K17" s="6133"/>
      <c r="L17" s="6133"/>
      <c r="M17" s="6133"/>
      <c r="N17" s="6133"/>
      <c r="O17" s="6134"/>
      <c r="P17" s="779"/>
      <c r="Q17" s="2"/>
      <c r="R17" s="779"/>
      <c r="S17" s="2"/>
      <c r="T17" s="1631" t="s">
        <v>720</v>
      </c>
      <c r="U17" s="779"/>
      <c r="V17" s="4333" t="s">
        <v>1144</v>
      </c>
      <c r="W17" s="4411"/>
      <c r="X17" s="4411"/>
      <c r="Y17" s="4411"/>
      <c r="Z17" s="4411"/>
      <c r="AA17" s="4411"/>
      <c r="AB17" s="4411"/>
      <c r="AC17" s="4411"/>
      <c r="AD17" s="4411"/>
      <c r="AE17" s="4411"/>
      <c r="AF17" s="4411"/>
      <c r="AG17" s="4334"/>
      <c r="AH17" s="3126"/>
      <c r="AI17" s="283"/>
    </row>
    <row r="18" spans="1:54">
      <c r="A18" s="2389" t="s">
        <v>113</v>
      </c>
      <c r="B18" s="2389" t="s">
        <v>116</v>
      </c>
      <c r="C18" s="2659"/>
      <c r="D18" s="2659"/>
      <c r="E18" s="2659"/>
      <c r="F18" s="2659"/>
      <c r="G18" s="2659"/>
      <c r="H18" s="2659"/>
      <c r="I18" s="2659"/>
      <c r="J18" s="2659"/>
      <c r="K18" s="2659"/>
      <c r="L18" s="2659"/>
      <c r="M18" s="2659"/>
      <c r="N18" s="2659"/>
      <c r="O18" s="2659"/>
      <c r="P18" s="2659"/>
      <c r="Q18" s="2659"/>
      <c r="R18" s="2659"/>
      <c r="S18" s="2659"/>
      <c r="T18" s="2659"/>
      <c r="U18" s="2659"/>
      <c r="V18" s="2659"/>
      <c r="W18" s="2659"/>
      <c r="X18" s="2659"/>
      <c r="Y18" s="2659"/>
      <c r="Z18" s="2659"/>
      <c r="AA18" s="2659"/>
      <c r="AB18" s="2659"/>
      <c r="AC18" s="2659"/>
      <c r="AD18" s="2659"/>
      <c r="AE18" s="368"/>
      <c r="AF18" s="368"/>
      <c r="AG18" s="368"/>
      <c r="AH18" s="3126"/>
      <c r="AI18" s="283"/>
    </row>
    <row r="19" spans="1:54">
      <c r="A19" s="2389" t="s">
        <v>122</v>
      </c>
      <c r="B19" s="1957" t="s">
        <v>553</v>
      </c>
      <c r="C19" s="2193"/>
      <c r="D19" s="2996"/>
      <c r="E19" s="2716"/>
      <c r="F19" s="2996"/>
      <c r="G19" s="1631"/>
      <c r="H19" s="2996"/>
      <c r="I19" s="2996"/>
      <c r="J19" s="2716"/>
      <c r="K19" s="2716" t="s">
        <v>722</v>
      </c>
      <c r="L19" s="2996"/>
      <c r="M19" s="6139" t="s">
        <v>1145</v>
      </c>
      <c r="N19" s="6140"/>
      <c r="O19" s="6140"/>
      <c r="P19" s="6140"/>
      <c r="Q19" s="6140"/>
      <c r="R19" s="6140"/>
      <c r="S19" s="6140"/>
      <c r="T19" s="6140"/>
      <c r="U19" s="6140"/>
      <c r="V19" s="6140"/>
      <c r="W19" s="6140"/>
      <c r="X19" s="6140"/>
      <c r="Y19" s="6140"/>
      <c r="Z19" s="6140"/>
      <c r="AA19" s="6140"/>
      <c r="AB19" s="6140"/>
      <c r="AC19" s="6140"/>
      <c r="AD19" s="6140"/>
      <c r="AE19" s="6140"/>
      <c r="AF19" s="6140"/>
      <c r="AG19" s="6141"/>
      <c r="AH19" s="3126"/>
      <c r="AI19" s="283" cm="1">
        <f t="array" ref="AI19">SUM(COUNTIFS($C19:$AG19,{"0","4","5","6","7","8","9"}))</f>
        <v>0</v>
      </c>
      <c r="AJ19" s="283" cm="1">
        <f t="array" ref="AJ19">SUM(COUNTIFS($C19:$AG19,{"0","4","5","6","7","8","9"},$C$4:$AG$4,"0"))</f>
        <v>0</v>
      </c>
      <c r="AK19" s="283" cm="1">
        <f t="array" ref="AK19">SUM(COUNTIFS($C19:$AG19,{"0","4","5","6","7","8","9"},$C$4:$AG$4,"1"))</f>
        <v>0</v>
      </c>
      <c r="AL19" s="283" cm="1">
        <f t="array" ref="AL19">SUM(COUNTIFS($C19:$AG19,{"0","4","5","6","7","8","9"},$C$4:$AG$4,"2"))</f>
        <v>0</v>
      </c>
      <c r="AM19" s="283" cm="1">
        <f t="array" ref="AM19">SUM(COUNTIFS($C19:$AG19,{"0","4","5","6","7","8","9"},$C$4:$AG$4,"3"))</f>
        <v>0</v>
      </c>
      <c r="AN19" s="283" cm="1">
        <f t="array" ref="AN19">SUM(COUNTIFS($C19:$AG19,{"1","2","3"}))</f>
        <v>0</v>
      </c>
      <c r="AO19" s="283" cm="1">
        <f t="array" ref="AO19">SUM(COUNTIFS($C19:$AG19,{"4","5","6"}))</f>
        <v>0</v>
      </c>
      <c r="AP19" s="283">
        <f>AJ19*'Spreadsheet Key'!$A$23 + AK19*'Spreadsheet Key'!$A$24 + AL19*'Spreadsheet Key'!$A$25 + AM19*'Spreadsheet Key'!$A$26</f>
        <v>0</v>
      </c>
      <c r="AQ19" s="283" t="e">
        <f>AI19/#REF!</f>
        <v>#REF!</v>
      </c>
      <c r="AR19" s="283" t="e">
        <f>AQ19*#REF!</f>
        <v>#REF!</v>
      </c>
      <c r="AT19" s="283">
        <f t="shared" si="6"/>
        <v>0</v>
      </c>
      <c r="AU19" s="283">
        <f t="shared" si="7"/>
        <v>0</v>
      </c>
      <c r="AV19" s="283">
        <f t="shared" si="8"/>
        <v>0</v>
      </c>
      <c r="AW19" s="283" cm="1">
        <f t="array" ref="AW19">COUNTIFS($C19:$AG19,"9",$C$4:$AG$4,"1")+SUM(COUNTIFS($C19:$AG19,{"8","9"},$C$4:$AG$4,"2"))+COUNTIFS($C19:$AG19,"8",$C$4:$AG$4,"3")</f>
        <v>0</v>
      </c>
      <c r="AX19" s="283">
        <f t="shared" si="9"/>
        <v>0</v>
      </c>
      <c r="AY19" s="283">
        <f t="shared" si="10"/>
        <v>0</v>
      </c>
      <c r="AZ19" s="283">
        <f>AT19*'Spreadsheet Key'!$A$27+AU19*'Spreadsheet Key'!$A$28+AV19*'Spreadsheet Key'!$A$29+AW19*'Spreadsheet Key'!$A$30+AX19*'Spreadsheet Key'!$A$31</f>
        <v>0</v>
      </c>
      <c r="BB19" s="283" t="e">
        <f t="shared" si="11"/>
        <v>#REF!</v>
      </c>
    </row>
    <row r="20" spans="1:54">
      <c r="A20" s="2389" t="s">
        <v>122</v>
      </c>
      <c r="B20" s="2389" t="s">
        <v>553</v>
      </c>
      <c r="C20" s="2659"/>
      <c r="D20" s="2659"/>
      <c r="E20" s="2659"/>
      <c r="F20" s="2659"/>
      <c r="G20" s="2659"/>
      <c r="H20" s="2659"/>
      <c r="I20" s="2659"/>
      <c r="J20" s="2659"/>
      <c r="K20" s="2659"/>
      <c r="L20" s="2659"/>
      <c r="M20" s="2659"/>
      <c r="N20" s="2659"/>
      <c r="O20" s="2659"/>
      <c r="P20" s="2659"/>
      <c r="Q20" s="2659"/>
      <c r="R20" s="2659"/>
      <c r="S20" s="2659"/>
      <c r="T20" s="2659"/>
      <c r="U20" s="2659"/>
      <c r="V20" s="2659"/>
      <c r="W20" s="2659"/>
      <c r="X20" s="2659"/>
      <c r="Y20" s="2659"/>
      <c r="Z20" s="2659"/>
      <c r="AA20" s="2659"/>
      <c r="AB20" s="2659"/>
      <c r="AC20" s="2659"/>
      <c r="AD20" s="2659"/>
      <c r="AE20" s="368"/>
      <c r="AF20" s="368"/>
      <c r="AG20" s="368"/>
      <c r="AH20" s="3126"/>
      <c r="AI20" s="283" cm="1">
        <f t="array" ref="AI20">SUM(COUNTIFS($C20:$AG20,{"0","4","5","6","7","8","9"}))</f>
        <v>0</v>
      </c>
      <c r="AJ20" s="283" cm="1">
        <f t="array" ref="AJ20">SUM(COUNTIFS($C20:$AG20,{"0","4","5","6","7","8","9"},$C$4:$AG$4,"0"))</f>
        <v>0</v>
      </c>
      <c r="AK20" s="283" cm="1">
        <f t="array" ref="AK20">SUM(COUNTIFS($C20:$AG20,{"0","4","5","6","7","8","9"},$C$4:$AG$4,"1"))</f>
        <v>0</v>
      </c>
      <c r="AL20" s="283" cm="1">
        <f t="array" ref="AL20">SUM(COUNTIFS($C20:$AG20,{"0","4","5","6","7","8","9"},$C$4:$AG$4,"2"))</f>
        <v>0</v>
      </c>
      <c r="AM20" s="283" cm="1">
        <f t="array" ref="AM20">SUM(COUNTIFS($C20:$AG20,{"0","4","5","6","7","8","9"},$C$4:$AG$4,"3"))</f>
        <v>0</v>
      </c>
      <c r="AN20" s="283" cm="1">
        <f t="array" ref="AN20">SUM(COUNTIFS($C20:$AG20,{"1","2","3"}))</f>
        <v>0</v>
      </c>
      <c r="AO20" s="283" cm="1">
        <f t="array" ref="AO20">SUM(COUNTIFS($C20:$AG20,{"4","5","6"}))</f>
        <v>0</v>
      </c>
      <c r="AP20" s="283">
        <f>AJ20*'Spreadsheet Key'!$A$23 + AK20*'Spreadsheet Key'!$A$24 + AL20*'Spreadsheet Key'!$A$25 + AM20*'Spreadsheet Key'!$A$26</f>
        <v>0</v>
      </c>
      <c r="AQ20" s="283" t="e">
        <f>AI20/#REF!</f>
        <v>#REF!</v>
      </c>
      <c r="AR20" s="283" t="e">
        <f>AQ20*#REF!</f>
        <v>#REF!</v>
      </c>
      <c r="AT20" s="283">
        <f t="shared" si="6"/>
        <v>0</v>
      </c>
      <c r="AU20" s="283">
        <f t="shared" si="7"/>
        <v>0</v>
      </c>
      <c r="AV20" s="283">
        <f t="shared" si="8"/>
        <v>0</v>
      </c>
      <c r="AW20" s="283" cm="1">
        <f t="array" ref="AW20">COUNTIFS($C20:$AG20,"9",$C$4:$AG$4,"1")+SUM(COUNTIFS($C20:$AG20,{"8","9"},$C$4:$AG$4,"2"))+COUNTIFS($C20:$AG20,"8",$C$4:$AG$4,"3")</f>
        <v>0</v>
      </c>
      <c r="AX20" s="283">
        <f t="shared" si="9"/>
        <v>0</v>
      </c>
      <c r="AY20" s="283">
        <f t="shared" si="10"/>
        <v>0</v>
      </c>
      <c r="AZ20" s="283">
        <f>AT20*'Spreadsheet Key'!$A$27+AU20*'Spreadsheet Key'!$A$28+AV20*'Spreadsheet Key'!$A$29+AW20*'Spreadsheet Key'!$A$30+AX20*'Spreadsheet Key'!$A$31</f>
        <v>0</v>
      </c>
      <c r="BB20" s="283" t="e">
        <f t="shared" si="11"/>
        <v>#REF!</v>
      </c>
    </row>
    <row r="21" spans="1:54">
      <c r="A21" s="2389" t="s">
        <v>293</v>
      </c>
      <c r="B21" s="2389" t="s">
        <v>733</v>
      </c>
      <c r="C21" s="779"/>
      <c r="D21" s="779"/>
      <c r="E21" s="2"/>
      <c r="F21" s="779"/>
      <c r="G21" s="779"/>
      <c r="H21" s="1631"/>
      <c r="I21" s="779"/>
      <c r="J21" s="779"/>
      <c r="K21" s="779"/>
      <c r="L21" s="779"/>
      <c r="M21" s="1631"/>
      <c r="N21" s="1631" t="s">
        <v>720</v>
      </c>
      <c r="O21" s="779"/>
      <c r="P21" s="779"/>
      <c r="Q21" s="2"/>
      <c r="R21" s="779"/>
      <c r="S21" s="2"/>
      <c r="T21" s="2"/>
      <c r="U21" s="2434" t="s">
        <v>722</v>
      </c>
      <c r="V21" s="779"/>
      <c r="W21" s="779"/>
      <c r="X21" s="779"/>
      <c r="Y21" s="779"/>
      <c r="Z21" s="779"/>
      <c r="AA21" s="779"/>
      <c r="AB21" s="1631" t="s">
        <v>720</v>
      </c>
      <c r="AC21" s="779"/>
      <c r="AD21" s="3102" t="s">
        <v>251</v>
      </c>
      <c r="AE21" s="6135" t="s">
        <v>1146</v>
      </c>
      <c r="AF21" s="6136"/>
      <c r="AG21" s="3102" t="s">
        <v>251</v>
      </c>
      <c r="AH21" s="3126"/>
      <c r="AI21" s="283" cm="1">
        <f t="array" ref="AI21">SUM(COUNTIFS($C21:$AG21,{"0","4","5","6","7","8","9"}))</f>
        <v>0</v>
      </c>
      <c r="AJ21" s="283" cm="1">
        <f t="array" ref="AJ21">SUM(COUNTIFS($C21:$AG21,{"0","4","5","6","7","8","9"},$C$4:$AG$4,"0"))</f>
        <v>0</v>
      </c>
      <c r="AK21" s="283" cm="1">
        <f t="array" ref="AK21">SUM(COUNTIFS($C21:$AG21,{"0","4","5","6","7","8","9"},$C$4:$AG$4,"1"))</f>
        <v>0</v>
      </c>
      <c r="AL21" s="283" cm="1">
        <f t="array" ref="AL21">SUM(COUNTIFS($C21:$AG21,{"0","4","5","6","7","8","9"},$C$4:$AG$4,"2"))</f>
        <v>0</v>
      </c>
      <c r="AM21" s="283" cm="1">
        <f t="array" ref="AM21">SUM(COUNTIFS($C21:$AG21,{"0","4","5","6","7","8","9"},$C$4:$AG$4,"3"))</f>
        <v>0</v>
      </c>
      <c r="AN21" s="283" cm="1">
        <f t="array" ref="AN21">SUM(COUNTIFS($C21:$AG21,{"1","2","3"}))</f>
        <v>0</v>
      </c>
      <c r="AO21" s="283" cm="1">
        <f t="array" ref="AO21">SUM(COUNTIFS($C21:$AG21,{"4","5","6"}))</f>
        <v>0</v>
      </c>
      <c r="AP21" s="283">
        <f>AJ21*'Spreadsheet Key'!$A$23 + AK21*'Spreadsheet Key'!$A$24 + AL21*'Spreadsheet Key'!$A$25 + AM21*'Spreadsheet Key'!$A$26</f>
        <v>0</v>
      </c>
      <c r="AQ21" s="283" t="e">
        <f>AI21/#REF!</f>
        <v>#REF!</v>
      </c>
      <c r="AR21" s="283" t="e">
        <f>AQ21*#REF!</f>
        <v>#REF!</v>
      </c>
      <c r="AT21" s="283">
        <f t="shared" si="6"/>
        <v>0</v>
      </c>
      <c r="AU21" s="283">
        <f t="shared" si="7"/>
        <v>0</v>
      </c>
      <c r="AV21" s="283">
        <f t="shared" si="8"/>
        <v>0</v>
      </c>
      <c r="AW21" s="283" cm="1">
        <f t="array" ref="AW21">COUNTIFS($C21:$AG21,"9",$C$4:$AG$4,"1")+SUM(COUNTIFS($C21:$AG21,{"8","9"},$C$4:$AG$4,"2"))+COUNTIFS($C21:$AG21,"8",$C$4:$AG$4,"3")</f>
        <v>0</v>
      </c>
      <c r="AX21" s="283">
        <f t="shared" si="9"/>
        <v>0</v>
      </c>
      <c r="AY21" s="283">
        <f t="shared" si="10"/>
        <v>0</v>
      </c>
      <c r="AZ21" s="283">
        <f>AT21*'Spreadsheet Key'!$A$27+AU21*'Spreadsheet Key'!$A$28+AV21*'Spreadsheet Key'!$A$29+AW21*'Spreadsheet Key'!$A$30+AX21*'Spreadsheet Key'!$A$31</f>
        <v>0</v>
      </c>
      <c r="BB21" s="283" t="e">
        <f t="shared" si="11"/>
        <v>#REF!</v>
      </c>
    </row>
    <row r="22" spans="1:54">
      <c r="A22" s="2389" t="s">
        <v>293</v>
      </c>
      <c r="B22" s="2389" t="s">
        <v>733</v>
      </c>
      <c r="C22" s="2659"/>
      <c r="D22" s="2659"/>
      <c r="E22" s="2659"/>
      <c r="F22" s="2659"/>
      <c r="G22" s="2659"/>
      <c r="H22" s="2659"/>
      <c r="I22" s="2659"/>
      <c r="J22" s="2659"/>
      <c r="K22" s="2659"/>
      <c r="L22" s="2659"/>
      <c r="M22" s="2659"/>
      <c r="N22" s="2659"/>
      <c r="O22" s="2659"/>
      <c r="P22" s="2659"/>
      <c r="Q22" s="2659"/>
      <c r="R22" s="2659"/>
      <c r="S22" s="2659"/>
      <c r="T22" s="2659"/>
      <c r="U22" s="2659"/>
      <c r="V22" s="2659"/>
      <c r="W22" s="2659"/>
      <c r="X22" s="2659"/>
      <c r="Y22" s="2659"/>
      <c r="Z22" s="2659"/>
      <c r="AA22" s="2659"/>
      <c r="AB22" s="2659"/>
      <c r="AC22" s="2659"/>
      <c r="AD22" s="2659"/>
      <c r="AE22" s="368"/>
      <c r="AF22" s="368"/>
      <c r="AG22" s="368"/>
      <c r="AH22" s="3126"/>
      <c r="AI22" s="283" cm="1">
        <f t="array" ref="AI22">SUM(COUNTIFS($C22:$AG22,{"0","4","5","6","7","8","9"}))</f>
        <v>0</v>
      </c>
      <c r="AJ22" s="283" cm="1">
        <f t="array" ref="AJ22">SUM(COUNTIFS($C22:$AG22,{"0","4","5","6","7","8","9"},$C$4:$AG$4,"0"))</f>
        <v>0</v>
      </c>
      <c r="AK22" s="283" cm="1">
        <f t="array" ref="AK22">SUM(COUNTIFS($C22:$AG22,{"0","4","5","6","7","8","9"},$C$4:$AG$4,"1"))</f>
        <v>0</v>
      </c>
      <c r="AL22" s="283" cm="1">
        <f t="array" ref="AL22">SUM(COUNTIFS($C22:$AG22,{"0","4","5","6","7","8","9"},$C$4:$AG$4,"2"))</f>
        <v>0</v>
      </c>
      <c r="AM22" s="283" cm="1">
        <f t="array" ref="AM22">SUM(COUNTIFS($C22:$AG22,{"0","4","5","6","7","8","9"},$C$4:$AG$4,"3"))</f>
        <v>0</v>
      </c>
      <c r="AN22" s="283" cm="1">
        <f t="array" ref="AN22">SUM(COUNTIFS($C22:$AG22,{"1","2","3"}))</f>
        <v>0</v>
      </c>
      <c r="AO22" s="283" cm="1">
        <f t="array" ref="AO22">SUM(COUNTIFS($C22:$AG22,{"4","5","6"}))</f>
        <v>0</v>
      </c>
      <c r="AP22" s="283">
        <f>AJ22*'Spreadsheet Key'!$A$23 + AK22*'Spreadsheet Key'!$A$24 + AL22*'Spreadsheet Key'!$A$25 + AM22*'Spreadsheet Key'!$A$26</f>
        <v>0</v>
      </c>
      <c r="AQ22" s="283" t="e">
        <f>AI22/#REF!</f>
        <v>#REF!</v>
      </c>
      <c r="AR22" s="283" t="e">
        <f>AQ22*#REF!</f>
        <v>#REF!</v>
      </c>
      <c r="AT22" s="283">
        <f t="shared" si="6"/>
        <v>0</v>
      </c>
      <c r="AU22" s="283">
        <f t="shared" si="7"/>
        <v>0</v>
      </c>
      <c r="AV22" s="283">
        <f t="shared" si="8"/>
        <v>0</v>
      </c>
      <c r="AW22" s="283" cm="1">
        <f t="array" ref="AW22">COUNTIFS($C22:$AG22,"9",$C$4:$AG$4,"1")+SUM(COUNTIFS($C22:$AG22,{"8","9"},$C$4:$AG$4,"2"))+COUNTIFS($C22:$AG22,"8",$C$4:$AG$4,"3")</f>
        <v>0</v>
      </c>
      <c r="AX22" s="283">
        <f t="shared" si="9"/>
        <v>0</v>
      </c>
      <c r="AY22" s="283">
        <f t="shared" si="10"/>
        <v>0</v>
      </c>
      <c r="AZ22" s="283">
        <f>AT22*'Spreadsheet Key'!$A$27+AU22*'Spreadsheet Key'!$A$28+AV22*'Spreadsheet Key'!$A$29+AW22*'Spreadsheet Key'!$A$30+AX22*'Spreadsheet Key'!$A$31</f>
        <v>0</v>
      </c>
      <c r="BB22" s="283" t="e">
        <f t="shared" si="11"/>
        <v>#REF!</v>
      </c>
    </row>
    <row r="23" spans="1:54">
      <c r="A23" s="2389" t="s">
        <v>127</v>
      </c>
      <c r="B23" s="2389" t="s">
        <v>657</v>
      </c>
      <c r="C23" s="779"/>
      <c r="D23" s="1631" t="s">
        <v>720</v>
      </c>
      <c r="E23" s="779"/>
      <c r="F23" s="779"/>
      <c r="G23" s="779"/>
      <c r="H23" s="779"/>
      <c r="I23" s="779"/>
      <c r="J23" s="779"/>
      <c r="K23" s="779"/>
      <c r="L23" s="1631" t="s">
        <v>722</v>
      </c>
      <c r="M23" s="779"/>
      <c r="N23" s="779"/>
      <c r="O23" s="779"/>
      <c r="P23" s="779"/>
      <c r="Q23" s="779"/>
      <c r="R23" s="779"/>
      <c r="S23" s="1631" t="s">
        <v>722</v>
      </c>
      <c r="T23" s="779"/>
      <c r="V23" s="779"/>
      <c r="W23" s="779"/>
      <c r="X23" s="779"/>
      <c r="Y23" s="779"/>
      <c r="Z23" s="4333" t="s">
        <v>946</v>
      </c>
      <c r="AA23" s="4411"/>
      <c r="AB23" s="4411"/>
      <c r="AC23" s="4411"/>
      <c r="AD23" s="4411"/>
      <c r="AE23" s="4411"/>
      <c r="AF23" s="4411"/>
      <c r="AG23" s="4559"/>
      <c r="AH23" s="3126"/>
      <c r="AI23" s="283" cm="1">
        <f t="array" ref="AI23">SUM(COUNTIFS($C23:$AG23,{"0","4","5","6","7","8","9"}))</f>
        <v>0</v>
      </c>
      <c r="AJ23" s="283" cm="1">
        <f t="array" ref="AJ23">SUM(COUNTIFS($C23:$AG23,{"0","4","5","6","7","8","9"},$C$4:$AG$4,"0"))</f>
        <v>0</v>
      </c>
      <c r="AK23" s="283" cm="1">
        <f t="array" ref="AK23">SUM(COUNTIFS($C23:$AG23,{"0","4","5","6","7","8","9"},$C$4:$AG$4,"1"))</f>
        <v>0</v>
      </c>
      <c r="AL23" s="283" cm="1">
        <f t="array" ref="AL23">SUM(COUNTIFS($C23:$AG23,{"0","4","5","6","7","8","9"},$C$4:$AG$4,"2"))</f>
        <v>0</v>
      </c>
      <c r="AM23" s="283" cm="1">
        <f t="array" ref="AM23">SUM(COUNTIFS($C23:$AG23,{"0","4","5","6","7","8","9"},$C$4:$AG$4,"3"))</f>
        <v>0</v>
      </c>
      <c r="AN23" s="283" cm="1">
        <f t="array" ref="AN23">SUM(COUNTIFS($C23:$AG23,{"1","2","3"}))</f>
        <v>0</v>
      </c>
      <c r="AO23" s="283" cm="1">
        <f t="array" ref="AO23">SUM(COUNTIFS($C23:$AG23,{"4","5","6"}))</f>
        <v>0</v>
      </c>
      <c r="AP23" s="283">
        <f>AJ23*'Spreadsheet Key'!$A$23 + AK23*'Spreadsheet Key'!$A$24 + AL23*'Spreadsheet Key'!$A$25 + AM23*'Spreadsheet Key'!$A$26</f>
        <v>0</v>
      </c>
      <c r="AQ23" s="283" t="e">
        <f>AI23/#REF!</f>
        <v>#REF!</v>
      </c>
      <c r="AR23" s="283" t="e">
        <f>AQ23*#REF!</f>
        <v>#REF!</v>
      </c>
      <c r="AT23" s="283">
        <f t="shared" si="6"/>
        <v>0</v>
      </c>
      <c r="AU23" s="283">
        <f t="shared" si="7"/>
        <v>0</v>
      </c>
      <c r="AV23" s="283">
        <f t="shared" si="8"/>
        <v>0</v>
      </c>
      <c r="AW23" s="283" cm="1">
        <f t="array" ref="AW23">COUNTIFS($C23:$AG23,"9",$C$4:$AG$4,"1")+SUM(COUNTIFS($C23:$AG23,{"8","9"},$C$4:$AG$4,"2"))+COUNTIFS($C23:$AG23,"8",$C$4:$AG$4,"3")</f>
        <v>0</v>
      </c>
      <c r="AX23" s="283">
        <f t="shared" si="9"/>
        <v>0</v>
      </c>
      <c r="AY23" s="283">
        <f t="shared" si="10"/>
        <v>0</v>
      </c>
      <c r="AZ23" s="283">
        <f>AT23*'Spreadsheet Key'!$A$27+AU23*'Spreadsheet Key'!$A$28+AV23*'Spreadsheet Key'!$A$29+AW23*'Spreadsheet Key'!$A$30+AX23*'Spreadsheet Key'!$A$31</f>
        <v>0</v>
      </c>
      <c r="BB23" s="283" t="e">
        <f t="shared" si="11"/>
        <v>#REF!</v>
      </c>
    </row>
    <row r="24" spans="1:54">
      <c r="A24" s="2389" t="s">
        <v>127</v>
      </c>
      <c r="B24" s="2389" t="s">
        <v>657</v>
      </c>
      <c r="C24" s="2659"/>
      <c r="D24" s="2659"/>
      <c r="E24" s="2659"/>
      <c r="F24" s="2659"/>
      <c r="G24" s="2659"/>
      <c r="H24" s="2659"/>
      <c r="I24" s="2659"/>
      <c r="J24" s="2659"/>
      <c r="K24" s="2659"/>
      <c r="L24" s="2659"/>
      <c r="M24" s="2659"/>
      <c r="N24" s="2659"/>
      <c r="O24" s="2659"/>
      <c r="P24" s="2659"/>
      <c r="Q24" s="2659"/>
      <c r="R24" s="2659"/>
      <c r="S24" s="2659"/>
      <c r="T24" s="2659"/>
      <c r="U24" s="2659"/>
      <c r="V24" s="2659"/>
      <c r="W24" s="2659"/>
      <c r="X24" s="2659"/>
      <c r="Y24" s="2659"/>
      <c r="Z24" s="2659"/>
      <c r="AA24" s="2659"/>
      <c r="AB24" s="2659"/>
      <c r="AC24" s="2659"/>
      <c r="AD24" s="2659"/>
      <c r="AE24" s="368"/>
      <c r="AF24" s="368"/>
      <c r="AG24" s="368"/>
      <c r="AH24" s="3126"/>
      <c r="AI24" s="283" cm="1">
        <f t="array" ref="AI24">SUM(COUNTIFS($C24:$AG24,{"0","4","5","6","7","8","9"}))</f>
        <v>0</v>
      </c>
      <c r="AJ24" s="283" cm="1">
        <f t="array" ref="AJ24">SUM(COUNTIFS($C24:$AG24,{"0","4","5","6","7","8","9"},$C$4:$AG$4,"0"))</f>
        <v>0</v>
      </c>
      <c r="AK24" s="283" cm="1">
        <f t="array" ref="AK24">SUM(COUNTIFS($C24:$AG24,{"0","4","5","6","7","8","9"},$C$4:$AG$4,"1"))</f>
        <v>0</v>
      </c>
      <c r="AL24" s="283" cm="1">
        <f t="array" ref="AL24">SUM(COUNTIFS($C24:$AG24,{"0","4","5","6","7","8","9"},$C$4:$AG$4,"2"))</f>
        <v>0</v>
      </c>
      <c r="AM24" s="283" cm="1">
        <f t="array" ref="AM24">SUM(COUNTIFS($C24:$AG24,{"0","4","5","6","7","8","9"},$C$4:$AG$4,"3"))</f>
        <v>0</v>
      </c>
      <c r="AN24" s="283" cm="1">
        <f t="array" ref="AN24">SUM(COUNTIFS($C24:$AG24,{"1","2","3"}))</f>
        <v>0</v>
      </c>
      <c r="AO24" s="283" cm="1">
        <f t="array" ref="AO24">SUM(COUNTIFS($C24:$AG24,{"4","5","6"}))</f>
        <v>0</v>
      </c>
      <c r="AP24" s="283">
        <f>AJ24*'Spreadsheet Key'!$A$23 + AK24*'Spreadsheet Key'!$A$24 + AL24*'Spreadsheet Key'!$A$25 + AM24*'Spreadsheet Key'!$A$26</f>
        <v>0</v>
      </c>
      <c r="AQ24" s="283" t="e">
        <f>AI24/#REF!</f>
        <v>#REF!</v>
      </c>
      <c r="AR24" s="283" t="e">
        <f>AQ24*#REF!</f>
        <v>#REF!</v>
      </c>
      <c r="AT24" s="283">
        <f t="shared" si="6"/>
        <v>0</v>
      </c>
      <c r="AU24" s="283">
        <f t="shared" si="7"/>
        <v>0</v>
      </c>
      <c r="AV24" s="283">
        <f t="shared" si="8"/>
        <v>0</v>
      </c>
      <c r="AW24" s="283" cm="1">
        <f t="array" ref="AW24">COUNTIFS($C24:$AG24,"9",$C$4:$AG$4,"1")+SUM(COUNTIFS($C24:$AG24,{"8","9"},$C$4:$AG$4,"2"))+COUNTIFS($C24:$AG24,"8",$C$4:$AG$4,"3")</f>
        <v>0</v>
      </c>
      <c r="AX24" s="283">
        <f t="shared" si="9"/>
        <v>0</v>
      </c>
      <c r="AY24" s="283">
        <f t="shared" si="10"/>
        <v>0</v>
      </c>
      <c r="AZ24" s="283">
        <f>AT24*'Spreadsheet Key'!$A$27+AU24*'Spreadsheet Key'!$A$28+AV24*'Spreadsheet Key'!$A$29+AW24*'Spreadsheet Key'!$A$30+AX24*'Spreadsheet Key'!$A$31</f>
        <v>0</v>
      </c>
      <c r="BB24" s="283" t="e">
        <f t="shared" si="11"/>
        <v>#REF!</v>
      </c>
    </row>
    <row r="25" spans="1:54">
      <c r="A25" s="2389" t="s">
        <v>554</v>
      </c>
      <c r="B25" s="2389" t="s">
        <v>555</v>
      </c>
      <c r="C25" s="779"/>
      <c r="D25" s="779"/>
      <c r="E25" s="2"/>
      <c r="F25" s="779"/>
      <c r="G25" s="1631" t="s">
        <v>722</v>
      </c>
      <c r="H25" s="779"/>
      <c r="I25" s="779"/>
      <c r="J25" s="779"/>
      <c r="K25" s="779"/>
      <c r="L25" s="779"/>
      <c r="M25" s="779"/>
      <c r="N25" s="779"/>
      <c r="O25" s="779"/>
      <c r="P25" s="779"/>
      <c r="Q25" s="2"/>
      <c r="R25" s="2764" t="s">
        <v>1138</v>
      </c>
      <c r="S25" s="2"/>
      <c r="T25" s="2"/>
      <c r="U25" s="779"/>
      <c r="V25" s="779"/>
      <c r="W25" s="779"/>
      <c r="X25" s="779"/>
      <c r="Y25" s="1631" t="s">
        <v>722</v>
      </c>
      <c r="Z25" s="779"/>
      <c r="AA25" s="779"/>
      <c r="AB25" s="779"/>
      <c r="AC25" s="1631" t="s">
        <v>722</v>
      </c>
      <c r="AD25" s="779"/>
      <c r="AE25" s="779"/>
      <c r="AF25" s="2"/>
      <c r="AG25" s="804"/>
      <c r="AH25" s="3126"/>
      <c r="AI25" s="283" cm="1">
        <f t="array" ref="AI25">SUM(COUNTIFS($C25:$AG25,{"0","4","5","6","7","8","9"}))</f>
        <v>0</v>
      </c>
      <c r="AJ25" s="283" cm="1">
        <f t="array" ref="AJ25">SUM(COUNTIFS($C25:$AG25,{"0","4","5","6","7","8","9"},$C$4:$AG$4,"0"))</f>
        <v>0</v>
      </c>
      <c r="AK25" s="283" cm="1">
        <f t="array" ref="AK25">SUM(COUNTIFS($C25:$AG25,{"0","4","5","6","7","8","9"},$C$4:$AG$4,"1"))</f>
        <v>0</v>
      </c>
      <c r="AL25" s="283" cm="1">
        <f t="array" ref="AL25">SUM(COUNTIFS($C25:$AG25,{"0","4","5","6","7","8","9"},$C$4:$AG$4,"2"))</f>
        <v>0</v>
      </c>
      <c r="AM25" s="283" cm="1">
        <f t="array" ref="AM25">SUM(COUNTIFS($C25:$AG25,{"0","4","5","6","7","8","9"},$C$4:$AG$4,"3"))</f>
        <v>0</v>
      </c>
      <c r="AN25" s="283" cm="1">
        <f t="array" ref="AN25">SUM(COUNTIFS($C25:$AG25,{"1","2","3"}))</f>
        <v>0</v>
      </c>
      <c r="AO25" s="283" cm="1">
        <f t="array" ref="AO25">SUM(COUNTIFS($C25:$AG25,{"4","5","6"}))</f>
        <v>0</v>
      </c>
      <c r="AP25" s="283">
        <f>AJ25*'Spreadsheet Key'!$A$23 + AK25*'Spreadsheet Key'!$A$24 + AL25*'Spreadsheet Key'!$A$25 + AM25*'Spreadsheet Key'!$A$26</f>
        <v>0</v>
      </c>
      <c r="AQ25" s="283" t="e">
        <f>AI25/#REF!</f>
        <v>#REF!</v>
      </c>
      <c r="AR25" s="283" t="e">
        <f>AQ25*#REF!</f>
        <v>#REF!</v>
      </c>
      <c r="AT25" s="283">
        <f t="shared" si="6"/>
        <v>0</v>
      </c>
      <c r="AU25" s="283">
        <f t="shared" si="7"/>
        <v>0</v>
      </c>
      <c r="AV25" s="283">
        <f t="shared" si="8"/>
        <v>0</v>
      </c>
      <c r="AW25" s="283" cm="1">
        <f t="array" ref="AW25">COUNTIFS($C25:$AG25,"9",$C$4:$AG$4,"1")+SUM(COUNTIFS($C25:$AG25,{"8","9"},$C$4:$AG$4,"2"))+COUNTIFS($C25:$AG25,"8",$C$4:$AG$4,"3")</f>
        <v>0</v>
      </c>
      <c r="AX25" s="283">
        <f t="shared" si="9"/>
        <v>0</v>
      </c>
      <c r="AY25" s="283">
        <f t="shared" si="10"/>
        <v>0</v>
      </c>
      <c r="AZ25" s="283">
        <f>AT25*'Spreadsheet Key'!$A$27+AU25*'Spreadsheet Key'!$A$28+AV25*'Spreadsheet Key'!$A$29+AW25*'Spreadsheet Key'!$A$30+AX25*'Spreadsheet Key'!$A$31</f>
        <v>0</v>
      </c>
      <c r="BB25" s="283" t="e">
        <f t="shared" si="11"/>
        <v>#REF!</v>
      </c>
    </row>
    <row r="26" spans="1:54">
      <c r="A26" s="2389" t="s">
        <v>554</v>
      </c>
      <c r="B26" s="2389" t="s">
        <v>555</v>
      </c>
      <c r="C26" s="2659"/>
      <c r="D26" s="2659"/>
      <c r="E26" s="2659"/>
      <c r="F26" s="2659"/>
      <c r="G26" s="2659"/>
      <c r="H26" s="2659"/>
      <c r="I26" s="2659"/>
      <c r="J26" s="2659"/>
      <c r="K26" s="2659"/>
      <c r="L26" s="2659"/>
      <c r="M26" s="2659"/>
      <c r="N26" s="2659"/>
      <c r="O26" s="2659"/>
      <c r="P26" s="2659"/>
      <c r="Q26" s="2659"/>
      <c r="R26" s="2659"/>
      <c r="S26" s="2659"/>
      <c r="T26" s="2659"/>
      <c r="U26" s="2659"/>
      <c r="V26" s="2659"/>
      <c r="W26" s="2659"/>
      <c r="X26" s="2659"/>
      <c r="Y26" s="2659"/>
      <c r="Z26" s="2659"/>
      <c r="AA26" s="2659"/>
      <c r="AB26" s="2659"/>
      <c r="AC26" s="2659"/>
      <c r="AD26" s="2659"/>
      <c r="AE26" s="368"/>
      <c r="AF26" s="368"/>
      <c r="AG26" s="368"/>
      <c r="AH26" s="3126"/>
      <c r="AI26" s="283" cm="1">
        <f t="array" ref="AI26">SUM(COUNTIFS($C26:$AG26,{"0","4","5","6","7","8","9"}))</f>
        <v>0</v>
      </c>
      <c r="AJ26" s="283" cm="1">
        <f t="array" ref="AJ26">SUM(COUNTIFS($C26:$AG26,{"0","4","5","6","7","8","9"},$C$4:$AG$4,"0"))</f>
        <v>0</v>
      </c>
      <c r="AK26" s="283" cm="1">
        <f t="array" ref="AK26">SUM(COUNTIFS($C26:$AG26,{"0","4","5","6","7","8","9"},$C$4:$AG$4,"1"))</f>
        <v>0</v>
      </c>
      <c r="AL26" s="283" cm="1">
        <f t="array" ref="AL26">SUM(COUNTIFS($C26:$AG26,{"0","4","5","6","7","8","9"},$C$4:$AG$4,"2"))</f>
        <v>0</v>
      </c>
      <c r="AM26" s="283" cm="1">
        <f t="array" ref="AM26">SUM(COUNTIFS($C26:$AG26,{"0","4","5","6","7","8","9"},$C$4:$AG$4,"3"))</f>
        <v>0</v>
      </c>
      <c r="AN26" s="283" cm="1">
        <f t="array" ref="AN26">SUM(COUNTIFS($C26:$AG26,{"1","2","3"}))</f>
        <v>0</v>
      </c>
      <c r="AO26" s="283" cm="1">
        <f t="array" ref="AO26">SUM(COUNTIFS($C26:$AG26,{"4","5","6"}))</f>
        <v>0</v>
      </c>
      <c r="AP26" s="283">
        <f>AJ26*'Spreadsheet Key'!$A$23 + AK26*'Spreadsheet Key'!$A$24 + AL26*'Spreadsheet Key'!$A$25 + AM26*'Spreadsheet Key'!$A$26</f>
        <v>0</v>
      </c>
      <c r="AQ26" s="283" t="e">
        <f>AI26/#REF!</f>
        <v>#REF!</v>
      </c>
      <c r="AR26" s="283" t="e">
        <f>AQ26*#REF!</f>
        <v>#REF!</v>
      </c>
      <c r="AT26" s="283">
        <f t="shared" si="6"/>
        <v>0</v>
      </c>
      <c r="AU26" s="283">
        <f t="shared" si="7"/>
        <v>0</v>
      </c>
      <c r="AV26" s="283">
        <f t="shared" si="8"/>
        <v>0</v>
      </c>
      <c r="AW26" s="283" cm="1">
        <f t="array" ref="AW26">COUNTIFS($C26:$AG26,"9",$C$4:$AG$4,"1")+SUM(COUNTIFS($C26:$AG26,{"8","9"},$C$4:$AG$4,"2"))+COUNTIFS($C26:$AG26,"8",$C$4:$AG$4,"3")</f>
        <v>0</v>
      </c>
      <c r="AX26" s="283">
        <f t="shared" si="9"/>
        <v>0</v>
      </c>
      <c r="AY26" s="283">
        <f t="shared" si="10"/>
        <v>0</v>
      </c>
      <c r="AZ26" s="283">
        <f>AT26*'Spreadsheet Key'!$A$27+AU26*'Spreadsheet Key'!$A$28+AV26*'Spreadsheet Key'!$A$29+AW26*'Spreadsheet Key'!$A$30+AX26*'Spreadsheet Key'!$A$31</f>
        <v>0</v>
      </c>
      <c r="BB26" s="283" t="e">
        <f t="shared" si="11"/>
        <v>#REF!</v>
      </c>
    </row>
    <row r="27" spans="1:54">
      <c r="A27" s="2389" t="s">
        <v>129</v>
      </c>
      <c r="B27" s="2389" t="s">
        <v>474</v>
      </c>
      <c r="C27" s="779"/>
      <c r="D27" s="779"/>
      <c r="E27" s="779"/>
      <c r="F27" s="779"/>
      <c r="G27" s="779"/>
      <c r="H27" s="1631" t="s">
        <v>720</v>
      </c>
      <c r="I27" s="779"/>
      <c r="J27" s="779"/>
      <c r="K27" s="779"/>
      <c r="L27" s="779"/>
      <c r="M27" s="779"/>
      <c r="N27" s="779"/>
      <c r="O27" s="779"/>
      <c r="P27" s="779"/>
      <c r="Q27" s="2"/>
      <c r="R27" s="2764" t="s">
        <v>1138</v>
      </c>
      <c r="S27" s="2"/>
      <c r="T27" s="2"/>
      <c r="U27" s="779"/>
      <c r="V27" s="1631" t="s">
        <v>722</v>
      </c>
      <c r="W27" s="779"/>
      <c r="X27" s="779"/>
      <c r="Y27" s="779"/>
      <c r="Z27" s="779"/>
      <c r="AA27" s="779"/>
      <c r="AB27" s="1631"/>
      <c r="AC27" s="779"/>
      <c r="AD27" s="1631" t="s">
        <v>720</v>
      </c>
      <c r="AE27" s="779"/>
      <c r="AF27" s="1631" t="s">
        <v>720</v>
      </c>
      <c r="AG27" s="804"/>
      <c r="AH27" s="3126"/>
      <c r="AI27" s="283" cm="1">
        <f t="array" ref="AI27">SUM(COUNTIFS($C27:$AG27,{"0","4","5","6","7","8","9"}))</f>
        <v>0</v>
      </c>
      <c r="AJ27" s="283" cm="1">
        <f t="array" ref="AJ27">SUM(COUNTIFS($C27:$AG27,{"0","4","5","6","7","8","9"},$C$4:$AG$4,"0"))</f>
        <v>0</v>
      </c>
      <c r="AK27" s="283" cm="1">
        <f t="array" ref="AK27">SUM(COUNTIFS($C27:$AG27,{"0","4","5","6","7","8","9"},$C$4:$AG$4,"1"))</f>
        <v>0</v>
      </c>
      <c r="AL27" s="283" cm="1">
        <f t="array" ref="AL27">SUM(COUNTIFS($C27:$AG27,{"0","4","5","6","7","8","9"},$C$4:$AG$4,"2"))</f>
        <v>0</v>
      </c>
      <c r="AM27" s="283" cm="1">
        <f t="array" ref="AM27">SUM(COUNTIFS($C27:$AG27,{"0","4","5","6","7","8","9"},$C$4:$AG$4,"3"))</f>
        <v>0</v>
      </c>
      <c r="AN27" s="283" cm="1">
        <f t="array" ref="AN27">SUM(COUNTIFS($C27:$AG27,{"1","2","3"}))</f>
        <v>0</v>
      </c>
      <c r="AO27" s="283" cm="1">
        <f t="array" ref="AO27">SUM(COUNTIFS($C27:$AG27,{"4","5","6"}))</f>
        <v>0</v>
      </c>
      <c r="AP27" s="283">
        <f>AJ27*'Spreadsheet Key'!$A$23 + AK27*'Spreadsheet Key'!$A$24 + AL27*'Spreadsheet Key'!$A$25 + AM27*'Spreadsheet Key'!$A$26</f>
        <v>0</v>
      </c>
      <c r="AQ27" s="283" t="e">
        <f>AI27/#REF!</f>
        <v>#REF!</v>
      </c>
      <c r="AR27" s="283" t="e">
        <f>AQ27*#REF!</f>
        <v>#REF!</v>
      </c>
      <c r="AT27" s="283">
        <f t="shared" si="6"/>
        <v>0</v>
      </c>
      <c r="AU27" s="283">
        <f t="shared" si="7"/>
        <v>0</v>
      </c>
      <c r="AV27" s="283">
        <f t="shared" si="8"/>
        <v>0</v>
      </c>
      <c r="AW27" s="283" cm="1">
        <f t="array" ref="AW27">COUNTIFS($C27:$AG27,"9",$C$4:$AG$4,"1")+SUM(COUNTIFS($C27:$AG27,{"8","9"},$C$4:$AG$4,"2"))+COUNTIFS($C27:$AG27,"8",$C$4:$AG$4,"3")</f>
        <v>0</v>
      </c>
      <c r="AX27" s="283">
        <f t="shared" si="9"/>
        <v>0</v>
      </c>
      <c r="AY27" s="283">
        <f t="shared" si="10"/>
        <v>0</v>
      </c>
      <c r="AZ27" s="283">
        <f>AT27*'Spreadsheet Key'!$A$27+AU27*'Spreadsheet Key'!$A$28+AV27*'Spreadsheet Key'!$A$29+AW27*'Spreadsheet Key'!$A$30+AX27*'Spreadsheet Key'!$A$31</f>
        <v>0</v>
      </c>
      <c r="BB27" s="283" t="e">
        <f t="shared" si="11"/>
        <v>#REF!</v>
      </c>
    </row>
    <row r="28" spans="1:54">
      <c r="A28" s="2389" t="s">
        <v>129</v>
      </c>
      <c r="B28" s="2389" t="s">
        <v>474</v>
      </c>
      <c r="C28" s="2659"/>
      <c r="D28" s="2659"/>
      <c r="E28" s="2659"/>
      <c r="F28" s="2659"/>
      <c r="G28" s="2659"/>
      <c r="H28" s="2659"/>
      <c r="I28" s="2659"/>
      <c r="J28" s="2659"/>
      <c r="K28" s="2659"/>
      <c r="L28" s="2659"/>
      <c r="M28" s="2659"/>
      <c r="N28" s="2659"/>
      <c r="O28" s="2659"/>
      <c r="P28" s="2659"/>
      <c r="Q28" s="2659"/>
      <c r="R28" s="2659"/>
      <c r="S28" s="2659"/>
      <c r="T28" s="2659"/>
      <c r="U28" s="2659"/>
      <c r="V28" s="2659"/>
      <c r="W28" s="2659"/>
      <c r="X28" s="2659"/>
      <c r="Y28" s="2659"/>
      <c r="Z28" s="2659"/>
      <c r="AA28" s="2659"/>
      <c r="AB28" s="2659"/>
      <c r="AC28" s="2659"/>
      <c r="AD28" s="2659"/>
      <c r="AE28" s="368"/>
      <c r="AF28" s="368"/>
      <c r="AG28" s="368"/>
      <c r="AH28" s="3126"/>
      <c r="AI28" s="283" cm="1">
        <f t="array" ref="AI28">SUM(COUNTIFS($C28:$AG28,{"0","4","5","6","7","8","9"}))</f>
        <v>0</v>
      </c>
      <c r="AJ28" s="283" cm="1">
        <f t="array" ref="AJ28">SUM(COUNTIFS($C28:$AG28,{"0","4","5","6","7","8","9"},$C$4:$AG$4,"0"))</f>
        <v>0</v>
      </c>
      <c r="AK28" s="283" cm="1">
        <f t="array" ref="AK28">SUM(COUNTIFS($C28:$AG28,{"0","4","5","6","7","8","9"},$C$4:$AG$4,"1"))</f>
        <v>0</v>
      </c>
      <c r="AL28" s="283" cm="1">
        <f t="array" ref="AL28">SUM(COUNTIFS($C28:$AG28,{"0","4","5","6","7","8","9"},$C$4:$AG$4,"2"))</f>
        <v>0</v>
      </c>
      <c r="AM28" s="283" cm="1">
        <f t="array" ref="AM28">SUM(COUNTIFS($C28:$AG28,{"0","4","5","6","7","8","9"},$C$4:$AG$4,"3"))</f>
        <v>0</v>
      </c>
      <c r="AN28" s="283" cm="1">
        <f t="array" ref="AN28">SUM(COUNTIFS($C28:$AG28,{"1","2","3"}))</f>
        <v>0</v>
      </c>
      <c r="AO28" s="283" cm="1">
        <f t="array" ref="AO28">SUM(COUNTIFS($C28:$AG28,{"4","5","6"}))</f>
        <v>0</v>
      </c>
      <c r="AP28" s="283">
        <f>AJ28*'Spreadsheet Key'!$A$23 + AK28*'Spreadsheet Key'!$A$24 + AL28*'Spreadsheet Key'!$A$25 + AM28*'Spreadsheet Key'!$A$26</f>
        <v>0</v>
      </c>
      <c r="AQ28" s="283" t="e">
        <f>AI28/#REF!</f>
        <v>#REF!</v>
      </c>
      <c r="AR28" s="283" t="e">
        <f>AQ28*#REF!</f>
        <v>#REF!</v>
      </c>
      <c r="AT28" s="283">
        <f t="shared" si="6"/>
        <v>0</v>
      </c>
      <c r="AU28" s="283">
        <f t="shared" si="7"/>
        <v>0</v>
      </c>
      <c r="AV28" s="283">
        <f t="shared" si="8"/>
        <v>0</v>
      </c>
      <c r="AW28" s="283" cm="1">
        <f t="array" ref="AW28">COUNTIFS($C28:$AG28,"9",$C$4:$AG$4,"1")+SUM(COUNTIFS($C28:$AG28,{"8","9"},$C$4:$AG$4,"2"))+COUNTIFS($C28:$AG28,"8",$C$4:$AG$4,"3")</f>
        <v>0</v>
      </c>
      <c r="AX28" s="283">
        <f t="shared" si="9"/>
        <v>0</v>
      </c>
      <c r="AY28" s="283">
        <f t="shared" si="10"/>
        <v>0</v>
      </c>
      <c r="AZ28" s="283">
        <f>AT28*'Spreadsheet Key'!$A$27+AU28*'Spreadsheet Key'!$A$28+AV28*'Spreadsheet Key'!$A$29+AW28*'Spreadsheet Key'!$A$30+AX28*'Spreadsheet Key'!$A$31</f>
        <v>0</v>
      </c>
      <c r="BB28" s="283" t="e">
        <f t="shared" si="11"/>
        <v>#REF!</v>
      </c>
    </row>
    <row r="29" spans="1:54">
      <c r="A29" s="2763" t="s">
        <v>155</v>
      </c>
      <c r="B29" s="2763" t="s">
        <v>135</v>
      </c>
      <c r="C29" s="780"/>
      <c r="D29" s="2270" t="s">
        <v>722</v>
      </c>
      <c r="E29" s="780"/>
      <c r="F29" s="780"/>
      <c r="G29" s="780"/>
      <c r="H29" s="780"/>
      <c r="I29" s="780"/>
      <c r="J29" s="780"/>
      <c r="K29" s="780"/>
      <c r="L29" s="780"/>
      <c r="M29" s="780"/>
      <c r="N29" s="2270" t="s">
        <v>722</v>
      </c>
      <c r="O29" s="780"/>
      <c r="P29" s="780"/>
      <c r="Q29" s="780"/>
      <c r="R29" s="780"/>
      <c r="S29" s="780"/>
      <c r="T29" s="780"/>
      <c r="U29" s="780"/>
      <c r="V29" s="780"/>
      <c r="W29" s="780"/>
      <c r="X29" s="780"/>
      <c r="Y29" s="780"/>
      <c r="Z29" s="1631"/>
      <c r="AA29" s="780"/>
      <c r="AB29" s="780"/>
      <c r="AC29" s="780"/>
      <c r="AD29" s="780"/>
      <c r="AE29" s="780"/>
      <c r="AF29" s="780"/>
      <c r="AG29" s="3013" t="s">
        <v>722</v>
      </c>
      <c r="AH29" s="3126"/>
      <c r="AI29" s="283" cm="1">
        <f t="array" ref="AI29">SUM(COUNTIFS($C29:$AG29,{"0","4","5","6","7","8","9"}))</f>
        <v>0</v>
      </c>
      <c r="AJ29" s="283" cm="1">
        <f t="array" ref="AJ29">SUM(COUNTIFS($C29:$AG29,{"0","4","5","6","7","8","9"},$C$4:$AG$4,"0"))</f>
        <v>0</v>
      </c>
      <c r="AK29" s="283" cm="1">
        <f t="array" ref="AK29">SUM(COUNTIFS($C29:$AG29,{"0","4","5","6","7","8","9"},$C$4:$AG$4,"1"))</f>
        <v>0</v>
      </c>
      <c r="AL29" s="283" cm="1">
        <f t="array" ref="AL29">SUM(COUNTIFS($C29:$AG29,{"0","4","5","6","7","8","9"},$C$4:$AG$4,"2"))</f>
        <v>0</v>
      </c>
      <c r="AM29" s="283" cm="1">
        <f t="array" ref="AM29">SUM(COUNTIFS($C29:$AG29,{"0","4","5","6","7","8","9"},$C$4:$AG$4,"3"))</f>
        <v>0</v>
      </c>
      <c r="AN29" s="283" cm="1">
        <f t="array" ref="AN29">SUM(COUNTIFS($C29:$AG29,{"1","2","3"}))</f>
        <v>0</v>
      </c>
      <c r="AO29" s="283" cm="1">
        <f t="array" ref="AO29">SUM(COUNTIFS($C29:$AG29,{"4","5","6"}))</f>
        <v>0</v>
      </c>
      <c r="AP29" s="283">
        <f>AJ29*'Spreadsheet Key'!$A$23 + AK29*'Spreadsheet Key'!$A$24 + AL29*'Spreadsheet Key'!$A$25 + AM29*'Spreadsheet Key'!$A$26</f>
        <v>0</v>
      </c>
      <c r="AQ29" s="283" t="e">
        <f>AI29/#REF!</f>
        <v>#REF!</v>
      </c>
      <c r="AR29" s="283" t="e">
        <f>AQ29*#REF!</f>
        <v>#REF!</v>
      </c>
      <c r="AT29" s="283">
        <f t="shared" si="6"/>
        <v>0</v>
      </c>
      <c r="AU29" s="283">
        <f t="shared" si="7"/>
        <v>0</v>
      </c>
      <c r="AV29" s="283">
        <f t="shared" si="8"/>
        <v>0</v>
      </c>
      <c r="AW29" s="283" cm="1">
        <f t="array" ref="AW29">COUNTIFS($C29:$AG29,"9",$C$4:$AG$4,"1")+SUM(COUNTIFS($C29:$AG29,{"8","9"},$C$4:$AG$4,"2"))+COUNTIFS($C29:$AG29,"8",$C$4:$AG$4,"3")</f>
        <v>0</v>
      </c>
      <c r="AX29" s="283">
        <f t="shared" si="9"/>
        <v>0</v>
      </c>
      <c r="AY29" s="283">
        <f t="shared" si="10"/>
        <v>0</v>
      </c>
      <c r="AZ29" s="283">
        <f>AT29*'Spreadsheet Key'!$A$27+AU29*'Spreadsheet Key'!$A$28+AV29*'Spreadsheet Key'!$A$29+AW29*'Spreadsheet Key'!$A$30+AX29*'Spreadsheet Key'!$A$31</f>
        <v>0</v>
      </c>
      <c r="BB29" s="283" t="e">
        <f t="shared" si="11"/>
        <v>#REF!</v>
      </c>
    </row>
    <row r="30" spans="1:54">
      <c r="A30" s="2389" t="s">
        <v>155</v>
      </c>
      <c r="B30" s="2389" t="s">
        <v>135</v>
      </c>
      <c r="C30" s="2659"/>
      <c r="D30" s="2659"/>
      <c r="E30" s="2659"/>
      <c r="F30" s="2659"/>
      <c r="G30" s="2659"/>
      <c r="H30" s="2659"/>
      <c r="I30" s="2659"/>
      <c r="J30" s="2659"/>
      <c r="K30" s="2659"/>
      <c r="L30" s="2659"/>
      <c r="M30" s="2659"/>
      <c r="N30" s="2659"/>
      <c r="O30" s="2659"/>
      <c r="P30" s="2659"/>
      <c r="Q30" s="2659"/>
      <c r="R30" s="2659"/>
      <c r="S30" s="2659"/>
      <c r="T30" s="2659"/>
      <c r="U30" s="2659"/>
      <c r="V30" s="2659"/>
      <c r="W30" s="2659"/>
      <c r="X30" s="2659"/>
      <c r="Y30" s="2659"/>
      <c r="Z30" s="2659"/>
      <c r="AA30" s="2659"/>
      <c r="AB30" s="2659"/>
      <c r="AC30" s="2659"/>
      <c r="AD30" s="2659"/>
      <c r="AE30" s="368"/>
      <c r="AF30" s="368"/>
      <c r="AG30" s="368"/>
      <c r="AH30" s="3126"/>
      <c r="AI30" s="283" cm="1">
        <f t="array" ref="AI30">SUM(COUNTIFS($C30:$AG30,{"0","4","5","6","7","8","9"}))</f>
        <v>0</v>
      </c>
      <c r="AJ30" s="283" cm="1">
        <f t="array" ref="AJ30">SUM(COUNTIFS($C30:$AG30,{"0","4","5","6","7","8","9"},$C$4:$AG$4,"0"))</f>
        <v>0</v>
      </c>
      <c r="AK30" s="283" cm="1">
        <f t="array" ref="AK30">SUM(COUNTIFS($C30:$AG30,{"0","4","5","6","7","8","9"},$C$4:$AG$4,"1"))</f>
        <v>0</v>
      </c>
      <c r="AL30" s="283" cm="1">
        <f t="array" ref="AL30">SUM(COUNTIFS($C30:$AG30,{"0","4","5","6","7","8","9"},$C$4:$AG$4,"2"))</f>
        <v>0</v>
      </c>
      <c r="AM30" s="283" cm="1">
        <f t="array" ref="AM30">SUM(COUNTIFS($C30:$AG30,{"0","4","5","6","7","8","9"},$C$4:$AG$4,"3"))</f>
        <v>0</v>
      </c>
      <c r="AN30" s="283" cm="1">
        <f t="array" ref="AN30">SUM(COUNTIFS($C30:$AG30,{"1","2","3"}))</f>
        <v>0</v>
      </c>
      <c r="AO30" s="283" cm="1">
        <f t="array" ref="AO30">SUM(COUNTIFS($C30:$AG30,{"4","5","6"}))</f>
        <v>0</v>
      </c>
      <c r="AP30" s="283">
        <f>AJ30*'Spreadsheet Key'!$A$23 + AK30*'Spreadsheet Key'!$A$24 + AL30*'Spreadsheet Key'!$A$25 + AM30*'Spreadsheet Key'!$A$26</f>
        <v>0</v>
      </c>
      <c r="AQ30" s="283" t="e">
        <f>AI30/#REF!</f>
        <v>#REF!</v>
      </c>
      <c r="AR30" s="283" t="e">
        <f>AQ30*#REF!</f>
        <v>#REF!</v>
      </c>
      <c r="AT30" s="283">
        <f t="shared" si="6"/>
        <v>0</v>
      </c>
      <c r="AU30" s="283">
        <f t="shared" si="7"/>
        <v>0</v>
      </c>
      <c r="AV30" s="283">
        <f t="shared" si="8"/>
        <v>0</v>
      </c>
      <c r="AW30" s="283" cm="1">
        <f t="array" ref="AW30">COUNTIFS($C30:$AG30,"9",$C$4:$AG$4,"1")+SUM(COUNTIFS($C30:$AG30,{"8","9"},$C$4:$AG$4,"2"))+COUNTIFS($C30:$AG30,"8",$C$4:$AG$4,"3")</f>
        <v>0</v>
      </c>
      <c r="AX30" s="283">
        <f t="shared" si="9"/>
        <v>0</v>
      </c>
      <c r="AY30" s="283">
        <f t="shared" si="10"/>
        <v>0</v>
      </c>
      <c r="AZ30" s="283">
        <f>AT30*'Spreadsheet Key'!$A$27+AU30*'Spreadsheet Key'!$A$28+AV30*'Spreadsheet Key'!$A$29+AW30*'Spreadsheet Key'!$A$30+AX30*'Spreadsheet Key'!$A$31</f>
        <v>0</v>
      </c>
      <c r="BB30" s="283" t="e">
        <f t="shared" si="11"/>
        <v>#REF!</v>
      </c>
    </row>
    <row r="31" spans="1:54">
      <c r="A31" s="2763" t="s">
        <v>1056</v>
      </c>
      <c r="B31" s="2763" t="s">
        <v>334</v>
      </c>
      <c r="C31" s="5082" t="s">
        <v>1143</v>
      </c>
      <c r="D31" s="6156"/>
      <c r="E31" s="6156"/>
      <c r="F31" s="6156"/>
      <c r="G31" s="6156"/>
      <c r="H31" s="6156"/>
      <c r="I31" s="6156"/>
      <c r="J31" s="6156"/>
      <c r="K31" s="6156"/>
      <c r="L31" s="6156"/>
      <c r="M31" s="6156"/>
      <c r="N31" s="6156"/>
      <c r="O31" s="6157"/>
      <c r="P31" s="780"/>
      <c r="Q31" s="2270" t="s">
        <v>722</v>
      </c>
      <c r="R31" s="780"/>
      <c r="S31" s="780"/>
      <c r="T31" s="2270"/>
      <c r="U31" s="2270"/>
      <c r="V31" s="780"/>
      <c r="W31" s="780"/>
      <c r="X31" s="780"/>
      <c r="Y31" s="2270" t="s">
        <v>720</v>
      </c>
      <c r="Z31" s="780"/>
      <c r="AA31" s="780"/>
      <c r="AB31" s="2270"/>
      <c r="AC31" s="780"/>
      <c r="AD31" s="780"/>
      <c r="AE31" s="780"/>
      <c r="AF31" s="2270" t="s">
        <v>722</v>
      </c>
      <c r="AG31" s="806"/>
      <c r="AH31" s="3126"/>
      <c r="AI31" s="283" cm="1">
        <f t="array" ref="AI31">SUM(COUNTIFS($C31:$AG31,{"0","4","5","6","7","8","9"}))</f>
        <v>0</v>
      </c>
      <c r="AJ31" s="283" cm="1">
        <f t="array" ref="AJ31">SUM(COUNTIFS($C31:$AG31,{"0","4","5","6","7","8","9"},$C$4:$AG$4,"0"))</f>
        <v>0</v>
      </c>
      <c r="AK31" s="283" cm="1">
        <f t="array" ref="AK31">SUM(COUNTIFS($C31:$AG31,{"0","4","5","6","7","8","9"},$C$4:$AG$4,"1"))</f>
        <v>0</v>
      </c>
      <c r="AL31" s="283" cm="1">
        <f t="array" ref="AL31">SUM(COUNTIFS($C31:$AG31,{"0","4","5","6","7","8","9"},$C$4:$AG$4,"2"))</f>
        <v>0</v>
      </c>
      <c r="AM31" s="283" cm="1">
        <f t="array" ref="AM31">SUM(COUNTIFS($C31:$AG31,{"0","4","5","6","7","8","9"},$C$4:$AG$4,"3"))</f>
        <v>0</v>
      </c>
      <c r="AN31" s="283" cm="1">
        <f t="array" ref="AN31">SUM(COUNTIFS($C31:$AG31,{"1","2","3"}))</f>
        <v>0</v>
      </c>
      <c r="AO31" s="283" cm="1">
        <f t="array" ref="AO31">SUM(COUNTIFS($C31:$AG31,{"4","5","6"}))</f>
        <v>0</v>
      </c>
      <c r="AP31" s="283">
        <f>AJ31*'Spreadsheet Key'!$A$23 + AK31*'Spreadsheet Key'!$A$24 + AL31*'Spreadsheet Key'!$A$25 + AM31*'Spreadsheet Key'!$A$26</f>
        <v>0</v>
      </c>
      <c r="AQ31" s="283" t="e">
        <f>AI31/#REF!</f>
        <v>#REF!</v>
      </c>
      <c r="AR31" s="283" t="e">
        <f>AQ31*#REF!</f>
        <v>#REF!</v>
      </c>
      <c r="AT31" s="283">
        <f t="shared" si="6"/>
        <v>0</v>
      </c>
      <c r="AU31" s="283">
        <f t="shared" si="7"/>
        <v>0</v>
      </c>
      <c r="AV31" s="283">
        <f t="shared" si="8"/>
        <v>0</v>
      </c>
      <c r="AW31" s="283" cm="1">
        <f t="array" ref="AW31">COUNTIFS($C31:$AG31,"9",$C$4:$AG$4,"1")+SUM(COUNTIFS($C31:$AG31,{"8","9"},$C$4:$AG$4,"2"))+COUNTIFS($C31:$AG31,"8",$C$4:$AG$4,"3")</f>
        <v>0</v>
      </c>
      <c r="AX31" s="283">
        <f t="shared" si="9"/>
        <v>0</v>
      </c>
      <c r="AY31" s="283">
        <f t="shared" si="10"/>
        <v>0</v>
      </c>
      <c r="AZ31" s="283">
        <f>AT31*'Spreadsheet Key'!$A$27+AU31*'Spreadsheet Key'!$A$28+AV31*'Spreadsheet Key'!$A$29+AW31*'Spreadsheet Key'!$A$30+AX31*'Spreadsheet Key'!$A$31</f>
        <v>0</v>
      </c>
      <c r="BB31" s="283" t="e">
        <f t="shared" si="11"/>
        <v>#REF!</v>
      </c>
    </row>
    <row r="32" spans="1:54">
      <c r="A32" s="2389" t="s">
        <v>1056</v>
      </c>
      <c r="B32" s="2389" t="s">
        <v>334</v>
      </c>
      <c r="C32" s="2659"/>
      <c r="D32" s="2659"/>
      <c r="E32" s="2659"/>
      <c r="F32" s="2659"/>
      <c r="G32" s="2659"/>
      <c r="H32" s="2659"/>
      <c r="I32" s="2659"/>
      <c r="J32" s="2659"/>
      <c r="K32" s="2659"/>
      <c r="L32" s="2659"/>
      <c r="M32" s="2659"/>
      <c r="N32" s="2659"/>
      <c r="O32" s="2659"/>
      <c r="P32" s="2659"/>
      <c r="Q32" s="2659"/>
      <c r="R32" s="2659"/>
      <c r="S32" s="2659"/>
      <c r="T32" s="2659"/>
      <c r="U32" s="2659"/>
      <c r="V32" s="2659"/>
      <c r="W32" s="2659"/>
      <c r="X32" s="2659"/>
      <c r="Y32" s="2659"/>
      <c r="Z32" s="2659"/>
      <c r="AA32" s="2659"/>
      <c r="AB32" s="2659"/>
      <c r="AC32" s="2659"/>
      <c r="AD32" s="2659"/>
      <c r="AE32" s="368"/>
      <c r="AF32" s="368"/>
      <c r="AG32" s="368"/>
      <c r="AH32" s="3126"/>
      <c r="AI32" s="283" cm="1">
        <f t="array" ref="AI32">SUM(COUNTIFS($C32:$AG32,{"0","4","5","6","7","8","9"}))</f>
        <v>0</v>
      </c>
      <c r="AJ32" s="283" cm="1">
        <f t="array" ref="AJ32">SUM(COUNTIFS($C32:$AG32,{"0","4","5","6","7","8","9"},$C$4:$AG$4,"0"))</f>
        <v>0</v>
      </c>
      <c r="AK32" s="283" cm="1">
        <f t="array" ref="AK32">SUM(COUNTIFS($C32:$AG32,{"0","4","5","6","7","8","9"},$C$4:$AG$4,"1"))</f>
        <v>0</v>
      </c>
      <c r="AL32" s="283" cm="1">
        <f t="array" ref="AL32">SUM(COUNTIFS($C32:$AG32,{"0","4","5","6","7","8","9"},$C$4:$AG$4,"2"))</f>
        <v>0</v>
      </c>
      <c r="AM32" s="283" cm="1">
        <f t="array" ref="AM32">SUM(COUNTIFS($C32:$AG32,{"0","4","5","6","7","8","9"},$C$4:$AG$4,"3"))</f>
        <v>0</v>
      </c>
      <c r="AN32" s="283" cm="1">
        <f t="array" ref="AN32">SUM(COUNTIFS($C32:$AG32,{"1","2","3"}))</f>
        <v>0</v>
      </c>
      <c r="AO32" s="283" cm="1">
        <f t="array" ref="AO32">SUM(COUNTIFS($C32:$AG32,{"4","5","6"}))</f>
        <v>0</v>
      </c>
      <c r="AP32" s="283">
        <f>AJ32*'Spreadsheet Key'!$A$23 + AK32*'Spreadsheet Key'!$A$24 + AL32*'Spreadsheet Key'!$A$25 + AM32*'Spreadsheet Key'!$A$26</f>
        <v>0</v>
      </c>
      <c r="AQ32" s="283" t="e">
        <f>AI32/#REF!</f>
        <v>#REF!</v>
      </c>
      <c r="AR32" s="283" t="e">
        <f>AQ32*#REF!</f>
        <v>#REF!</v>
      </c>
      <c r="AT32" s="283">
        <f t="shared" si="6"/>
        <v>0</v>
      </c>
      <c r="AU32" s="283">
        <f t="shared" si="7"/>
        <v>0</v>
      </c>
      <c r="AV32" s="283">
        <f t="shared" si="8"/>
        <v>0</v>
      </c>
      <c r="AW32" s="283" cm="1">
        <f t="array" ref="AW32">COUNTIFS($C32:$AG32,"9",$C$4:$AG$4,"1")+SUM(COUNTIFS($C32:$AG32,{"8","9"},$C$4:$AG$4,"2"))+COUNTIFS($C32:$AG32,"8",$C$4:$AG$4,"3")</f>
        <v>0</v>
      </c>
      <c r="AX32" s="283">
        <f t="shared" si="9"/>
        <v>0</v>
      </c>
      <c r="AY32" s="283">
        <f t="shared" si="10"/>
        <v>0</v>
      </c>
      <c r="AZ32" s="283">
        <f>AT32*'Spreadsheet Key'!$A$27+AU32*'Spreadsheet Key'!$A$28+AV32*'Spreadsheet Key'!$A$29+AW32*'Spreadsheet Key'!$A$30+AX32*'Spreadsheet Key'!$A$31</f>
        <v>0</v>
      </c>
      <c r="BB32" s="283" t="e">
        <f t="shared" si="11"/>
        <v>#REF!</v>
      </c>
    </row>
    <row r="33" spans="1:54">
      <c r="A33" s="56" t="s">
        <v>95</v>
      </c>
      <c r="B33" s="56" t="s">
        <v>620</v>
      </c>
      <c r="C33" s="5774" t="s">
        <v>371</v>
      </c>
      <c r="D33" s="5774"/>
      <c r="E33" s="5774"/>
      <c r="F33" s="5774"/>
      <c r="G33" s="5774"/>
      <c r="H33" s="5774"/>
      <c r="I33" s="5774"/>
      <c r="J33" s="5774"/>
      <c r="K33" s="5774"/>
      <c r="L33" s="5774"/>
      <c r="M33" s="5774"/>
      <c r="N33" s="5774"/>
      <c r="O33" s="779"/>
      <c r="P33" s="779"/>
      <c r="Q33" s="779"/>
      <c r="R33" s="779"/>
      <c r="S33" s="779"/>
      <c r="T33" s="4475" t="s">
        <v>1147</v>
      </c>
      <c r="U33" s="4475"/>
      <c r="V33" s="4475"/>
      <c r="W33" s="4475"/>
      <c r="X33" s="1631" t="s">
        <v>722</v>
      </c>
      <c r="Y33" s="780"/>
      <c r="Z33" s="1631" t="s">
        <v>722</v>
      </c>
      <c r="AA33" s="2"/>
      <c r="AB33" s="2"/>
      <c r="AC33" s="2"/>
      <c r="AD33" s="2"/>
      <c r="AE33" s="779"/>
      <c r="AF33" s="2"/>
      <c r="AG33" s="3079" t="s">
        <v>251</v>
      </c>
      <c r="AH33" s="3126"/>
      <c r="AI33" s="283" cm="1">
        <f t="array" ref="AI33">SUM(COUNTIFS($C33:$AG33,{"0","4","5","6","7","8","9"}))</f>
        <v>0</v>
      </c>
      <c r="AJ33" s="283" cm="1">
        <f t="array" ref="AJ33">SUM(COUNTIFS($C33:$AG33,{"0","4","5","6","7","8","9"},$C$4:$AG$4,"0"))</f>
        <v>0</v>
      </c>
      <c r="AK33" s="283" cm="1">
        <f t="array" ref="AK33">SUM(COUNTIFS($C33:$AG33,{"0","4","5","6","7","8","9"},$C$4:$AG$4,"1"))</f>
        <v>0</v>
      </c>
      <c r="AL33" s="283" cm="1">
        <f t="array" ref="AL33">SUM(COUNTIFS($C33:$AG33,{"0","4","5","6","7","8","9"},$C$4:$AG$4,"2"))</f>
        <v>0</v>
      </c>
      <c r="AM33" s="283" cm="1">
        <f t="array" ref="AM33">SUM(COUNTIFS($C33:$AG33,{"0","4","5","6","7","8","9"},$C$4:$AG$4,"3"))</f>
        <v>0</v>
      </c>
      <c r="AN33" s="283" cm="1">
        <f t="array" ref="AN33">SUM(COUNTIFS($C33:$AG33,{"1","2","3"}))</f>
        <v>0</v>
      </c>
      <c r="AO33" s="283" cm="1">
        <f t="array" ref="AO33">SUM(COUNTIFS($C33:$AG33,{"4","5","6"}))</f>
        <v>0</v>
      </c>
      <c r="AP33" s="283">
        <f>AJ33*'Spreadsheet Key'!$A$23 + AK33*'Spreadsheet Key'!$A$24 + AL33*'Spreadsheet Key'!$A$25 + AM33*'Spreadsheet Key'!$A$26</f>
        <v>0</v>
      </c>
      <c r="AQ33" s="283" t="e">
        <f>AI33/#REF!</f>
        <v>#REF!</v>
      </c>
      <c r="AR33" s="283" t="e">
        <f>AQ33*#REF!</f>
        <v>#REF!</v>
      </c>
      <c r="AT33" s="283">
        <f t="shared" si="6"/>
        <v>0</v>
      </c>
      <c r="AU33" s="283">
        <f t="shared" si="7"/>
        <v>0</v>
      </c>
      <c r="AV33" s="283">
        <f t="shared" si="8"/>
        <v>0</v>
      </c>
      <c r="AW33" s="283" cm="1">
        <f t="array" ref="AW33">COUNTIFS($C33:$AG33,"9",$C$4:$AG$4,"1")+SUM(COUNTIFS($C33:$AG33,{"8","9"},$C$4:$AG$4,"2"))+COUNTIFS($C33:$AG33,"8",$C$4:$AG$4,"3")</f>
        <v>0</v>
      </c>
      <c r="AX33" s="283">
        <f t="shared" si="9"/>
        <v>0</v>
      </c>
      <c r="AY33" s="283">
        <f t="shared" si="10"/>
        <v>0</v>
      </c>
      <c r="AZ33" s="283">
        <f>AT33*'Spreadsheet Key'!$A$27+AU33*'Spreadsheet Key'!$A$28+AV33*'Spreadsheet Key'!$A$29+AW33*'Spreadsheet Key'!$A$30+AX33*'Spreadsheet Key'!$A$31</f>
        <v>0</v>
      </c>
      <c r="BB33" s="283" t="e">
        <f t="shared" si="11"/>
        <v>#REF!</v>
      </c>
    </row>
    <row r="34" spans="1:54">
      <c r="A34" s="56" t="s">
        <v>95</v>
      </c>
      <c r="B34" s="56" t="s">
        <v>620</v>
      </c>
      <c r="C34" s="2659"/>
      <c r="D34" s="2659"/>
      <c r="E34" s="2659"/>
      <c r="F34" s="2659"/>
      <c r="G34" s="2659"/>
      <c r="H34" s="2659"/>
      <c r="I34" s="2659"/>
      <c r="J34" s="2659"/>
      <c r="K34" s="2659"/>
      <c r="L34" s="2659"/>
      <c r="M34" s="2659"/>
      <c r="N34" s="2659"/>
      <c r="O34" s="2659"/>
      <c r="P34" s="2659"/>
      <c r="Q34" s="2659"/>
      <c r="R34" s="2659"/>
      <c r="S34" s="2659"/>
      <c r="T34" s="2659"/>
      <c r="U34" s="2659"/>
      <c r="V34" s="2659"/>
      <c r="W34" s="2659"/>
      <c r="X34" s="2659"/>
      <c r="Y34" s="2659"/>
      <c r="Z34" s="2659"/>
      <c r="AA34" s="2659"/>
      <c r="AB34" s="2659"/>
      <c r="AC34" s="2659"/>
      <c r="AD34" s="2659"/>
      <c r="AE34" s="368"/>
      <c r="AF34" s="368"/>
      <c r="AG34" s="368"/>
      <c r="AH34" s="3126"/>
      <c r="AI34" s="283" cm="1">
        <f t="array" ref="AI34">SUM(COUNTIFS($C34:$AG34,{"0","4","5","6","7","8","9"}))</f>
        <v>0</v>
      </c>
      <c r="AJ34" s="283" cm="1">
        <f t="array" ref="AJ34">SUM(COUNTIFS($C34:$AG34,{"0","4","5","6","7","8","9"},$C$4:$AG$4,"0"))</f>
        <v>0</v>
      </c>
      <c r="AK34" s="283" cm="1">
        <f t="array" ref="AK34">SUM(COUNTIFS($C34:$AG34,{"0","4","5","6","7","8","9"},$C$4:$AG$4,"1"))</f>
        <v>0</v>
      </c>
      <c r="AL34" s="283" cm="1">
        <f t="array" ref="AL34">SUM(COUNTIFS($C34:$AG34,{"0","4","5","6","7","8","9"},$C$4:$AG$4,"2"))</f>
        <v>0</v>
      </c>
      <c r="AM34" s="283" cm="1">
        <f t="array" ref="AM34">SUM(COUNTIFS($C34:$AG34,{"0","4","5","6","7","8","9"},$C$4:$AG$4,"3"))</f>
        <v>0</v>
      </c>
      <c r="AN34" s="283" cm="1">
        <f t="array" ref="AN34">SUM(COUNTIFS($C34:$AG34,{"1","2","3"}))</f>
        <v>0</v>
      </c>
      <c r="AO34" s="283" cm="1">
        <f t="array" ref="AO34">SUM(COUNTIFS($C34:$AG34,{"4","5","6"}))</f>
        <v>0</v>
      </c>
      <c r="AP34" s="283">
        <f>AJ34*'Spreadsheet Key'!$A$23 + AK34*'Spreadsheet Key'!$A$24 + AL34*'Spreadsheet Key'!$A$25 + AM34*'Spreadsheet Key'!$A$26</f>
        <v>0</v>
      </c>
      <c r="AQ34" s="283" t="e">
        <f>AI34/#REF!</f>
        <v>#REF!</v>
      </c>
      <c r="AR34" s="283" t="e">
        <f>AQ34*#REF!</f>
        <v>#REF!</v>
      </c>
      <c r="AT34" s="283">
        <f t="shared" si="6"/>
        <v>0</v>
      </c>
      <c r="AU34" s="283">
        <f t="shared" si="7"/>
        <v>0</v>
      </c>
      <c r="AV34" s="283">
        <f t="shared" si="8"/>
        <v>0</v>
      </c>
      <c r="AW34" s="283" cm="1">
        <f t="array" ref="AW34">COUNTIFS($C34:$AG34,"9",$C$4:$AG$4,"1")+SUM(COUNTIFS($C34:$AG34,{"8","9"},$C$4:$AG$4,"2"))+COUNTIFS($C34:$AG34,"8",$C$4:$AG$4,"3")</f>
        <v>0</v>
      </c>
      <c r="AX34" s="283">
        <f t="shared" si="9"/>
        <v>0</v>
      </c>
      <c r="AY34" s="283">
        <f t="shared" si="10"/>
        <v>0</v>
      </c>
      <c r="AZ34" s="283">
        <f>AT34*'Spreadsheet Key'!$A$27+AU34*'Spreadsheet Key'!$A$28+AV34*'Spreadsheet Key'!$A$29+AW34*'Spreadsheet Key'!$A$30+AX34*'Spreadsheet Key'!$A$31</f>
        <v>0</v>
      </c>
      <c r="BB34" s="283" t="e">
        <f t="shared" si="11"/>
        <v>#REF!</v>
      </c>
    </row>
    <row r="35" spans="1:54">
      <c r="A35" s="56" t="s">
        <v>739</v>
      </c>
      <c r="B35" s="56" t="s">
        <v>740</v>
      </c>
      <c r="C35" s="4475" t="s">
        <v>1148</v>
      </c>
      <c r="D35" s="4707"/>
      <c r="E35" s="4707"/>
      <c r="F35" s="4707"/>
      <c r="G35" s="4707"/>
      <c r="H35" s="4707"/>
      <c r="I35" s="4707"/>
      <c r="J35" s="4707"/>
      <c r="K35" s="4707"/>
      <c r="L35" s="4707"/>
      <c r="M35" s="4707"/>
      <c r="N35" s="4707"/>
      <c r="O35" s="4707"/>
      <c r="P35" s="824"/>
      <c r="Q35" s="824"/>
      <c r="R35" s="1631" t="s">
        <v>720</v>
      </c>
      <c r="S35" s="824"/>
      <c r="T35" s="824"/>
      <c r="U35" s="3585" t="s">
        <v>720</v>
      </c>
      <c r="V35" s="824"/>
      <c r="W35" s="824"/>
      <c r="X35" s="5652" t="s">
        <v>1136</v>
      </c>
      <c r="Y35" s="5652"/>
      <c r="Z35" s="5652"/>
      <c r="AA35" s="3010" t="s">
        <v>1025</v>
      </c>
      <c r="AB35" s="3010" t="s">
        <v>1025</v>
      </c>
      <c r="AC35" s="4703" t="s">
        <v>1149</v>
      </c>
      <c r="AD35" s="4703"/>
      <c r="AE35" s="4703"/>
      <c r="AF35" s="4703"/>
      <c r="AG35" s="6158"/>
      <c r="AH35" s="3126"/>
      <c r="AI35" s="283" cm="1">
        <f t="array" ref="AI35">SUM(COUNTIFS($C35:$AG35,{"0","4","5","6","7","8","9"}))</f>
        <v>0</v>
      </c>
      <c r="AJ35" s="283" cm="1">
        <f t="array" ref="AJ35">SUM(COUNTIFS($C35:$AG35,{"0","4","5","6","7","8","9"},$C$4:$AG$4,"0"))</f>
        <v>0</v>
      </c>
      <c r="AK35" s="283" cm="1">
        <f t="array" ref="AK35">SUM(COUNTIFS($C35:$AG35,{"0","4","5","6","7","8","9"},$C$4:$AG$4,"1"))</f>
        <v>0</v>
      </c>
      <c r="AL35" s="283" cm="1">
        <f t="array" ref="AL35">SUM(COUNTIFS($C35:$AG35,{"0","4","5","6","7","8","9"},$C$4:$AG$4,"2"))</f>
        <v>0</v>
      </c>
      <c r="AM35" s="283" cm="1">
        <f t="array" ref="AM35">SUM(COUNTIFS($C35:$AG35,{"0","4","5","6","7","8","9"},$C$4:$AG$4,"3"))</f>
        <v>0</v>
      </c>
      <c r="AN35" s="283" cm="1">
        <f t="array" ref="AN35">SUM(COUNTIFS($C35:$AG35,{"1","2","3"}))</f>
        <v>0</v>
      </c>
      <c r="AO35" s="283" cm="1">
        <f t="array" ref="AO35">SUM(COUNTIFS($C35:$AG35,{"4","5","6"}))</f>
        <v>0</v>
      </c>
      <c r="AP35" s="283">
        <f>AJ35*'Spreadsheet Key'!$A$23 + AK35*'Spreadsheet Key'!$A$24 + AL35*'Spreadsheet Key'!$A$25 + AM35*'Spreadsheet Key'!$A$26</f>
        <v>0</v>
      </c>
      <c r="AQ35" s="283" t="e">
        <f>AI35/#REF!</f>
        <v>#REF!</v>
      </c>
      <c r="AR35" s="283" t="e">
        <f>AQ35*#REF!</f>
        <v>#REF!</v>
      </c>
      <c r="AT35" s="283">
        <f t="shared" si="6"/>
        <v>0</v>
      </c>
      <c r="AU35" s="283">
        <f t="shared" si="7"/>
        <v>0</v>
      </c>
      <c r="AV35" s="283">
        <f t="shared" si="8"/>
        <v>0</v>
      </c>
      <c r="AW35" s="283" cm="1">
        <f t="array" ref="AW35">COUNTIFS($C35:$AG35,"9",$C$4:$AG$4,"1")+SUM(COUNTIFS($C35:$AG35,{"8","9"},$C$4:$AG$4,"2"))+COUNTIFS($C35:$AG35,"8",$C$4:$AG$4,"3")</f>
        <v>0</v>
      </c>
      <c r="AX35" s="283">
        <f t="shared" si="9"/>
        <v>0</v>
      </c>
      <c r="AY35" s="283">
        <f t="shared" si="10"/>
        <v>0</v>
      </c>
      <c r="AZ35" s="283">
        <f>AT35*'Spreadsheet Key'!$A$27+AU35*'Spreadsheet Key'!$A$28+AV35*'Spreadsheet Key'!$A$29+AW35*'Spreadsheet Key'!$A$30+AX35*'Spreadsheet Key'!$A$31</f>
        <v>0</v>
      </c>
      <c r="BB35" s="283" t="e">
        <f t="shared" si="11"/>
        <v>#REF!</v>
      </c>
    </row>
    <row r="36" spans="1:54">
      <c r="A36" s="56" t="s">
        <v>739</v>
      </c>
      <c r="B36" s="56" t="s">
        <v>740</v>
      </c>
      <c r="C36" s="2659"/>
      <c r="D36" s="2659"/>
      <c r="E36" s="2659"/>
      <c r="F36" s="2659"/>
      <c r="G36" s="2659"/>
      <c r="H36" s="2659"/>
      <c r="I36" s="2659"/>
      <c r="J36" s="2659"/>
      <c r="K36" s="2659"/>
      <c r="L36" s="2659"/>
      <c r="M36" s="2659"/>
      <c r="N36" s="2659"/>
      <c r="O36" s="2659"/>
      <c r="P36" s="2659"/>
      <c r="Q36" s="2659"/>
      <c r="R36" s="2659"/>
      <c r="S36" s="2659"/>
      <c r="T36" s="2659"/>
      <c r="U36" s="2659"/>
      <c r="V36" s="2659"/>
      <c r="W36" s="2659"/>
      <c r="X36" s="2659"/>
      <c r="Y36" s="2659"/>
      <c r="Z36" s="2659"/>
      <c r="AA36" s="2659"/>
      <c r="AB36" s="2659"/>
      <c r="AC36" s="2659"/>
      <c r="AD36" s="2659"/>
      <c r="AE36" s="368"/>
      <c r="AF36" s="368"/>
      <c r="AG36" s="368"/>
      <c r="AH36" s="3126"/>
      <c r="AI36" s="283" cm="1">
        <f t="array" ref="AI36">SUM(COUNTIFS($C36:$AG36,{"0","4","5","6","7","8","9"}))</f>
        <v>0</v>
      </c>
      <c r="AJ36" s="283" cm="1">
        <f t="array" ref="AJ36">SUM(COUNTIFS($C36:$AG36,{"0","4","5","6","7","8","9"},$C$4:$AG$4,"0"))</f>
        <v>0</v>
      </c>
      <c r="AK36" s="283" cm="1">
        <f t="array" ref="AK36">SUM(COUNTIFS($C36:$AG36,{"0","4","5","6","7","8","9"},$C$4:$AG$4,"1"))</f>
        <v>0</v>
      </c>
      <c r="AL36" s="283" cm="1">
        <f t="array" ref="AL36">SUM(COUNTIFS($C36:$AG36,{"0","4","5","6","7","8","9"},$C$4:$AG$4,"2"))</f>
        <v>0</v>
      </c>
      <c r="AM36" s="283" cm="1">
        <f t="array" ref="AM36">SUM(COUNTIFS($C36:$AG36,{"0","4","5","6","7","8","9"},$C$4:$AG$4,"3"))</f>
        <v>0</v>
      </c>
      <c r="AN36" s="283" cm="1">
        <f t="array" ref="AN36">SUM(COUNTIFS($C36:$AG36,{"1","2","3"}))</f>
        <v>0</v>
      </c>
      <c r="AO36" s="283" cm="1">
        <f t="array" ref="AO36">SUM(COUNTIFS($C36:$AG36,{"4","5","6"}))</f>
        <v>0</v>
      </c>
      <c r="AP36" s="283">
        <f>AJ36*'Spreadsheet Key'!$A$23 + AK36*'Spreadsheet Key'!$A$24 + AL36*'Spreadsheet Key'!$A$25 + AM36*'Spreadsheet Key'!$A$26</f>
        <v>0</v>
      </c>
      <c r="AQ36" s="283" t="e">
        <f>AI36/#REF!</f>
        <v>#REF!</v>
      </c>
      <c r="AR36" s="283" t="e">
        <f>AQ36*#REF!</f>
        <v>#REF!</v>
      </c>
      <c r="AT36" s="283">
        <f t="shared" si="6"/>
        <v>0</v>
      </c>
      <c r="AU36" s="283">
        <f t="shared" si="7"/>
        <v>0</v>
      </c>
      <c r="AV36" s="283">
        <f t="shared" si="8"/>
        <v>0</v>
      </c>
      <c r="AW36" s="283" cm="1">
        <f t="array" ref="AW36">COUNTIFS($C36:$AG36,"9",$C$4:$AG$4,"1")+SUM(COUNTIFS($C36:$AG36,{"8","9"},$C$4:$AG$4,"2"))+COUNTIFS($C36:$AG36,"8",$C$4:$AG$4,"3")</f>
        <v>0</v>
      </c>
      <c r="AX36" s="283">
        <f t="shared" si="9"/>
        <v>0</v>
      </c>
      <c r="AY36" s="283">
        <f t="shared" si="10"/>
        <v>0</v>
      </c>
      <c r="AZ36" s="283">
        <f>AT36*'Spreadsheet Key'!$A$27+AU36*'Spreadsheet Key'!$A$28+AV36*'Spreadsheet Key'!$A$29+AW36*'Spreadsheet Key'!$A$30+AX36*'Spreadsheet Key'!$A$31</f>
        <v>0</v>
      </c>
      <c r="BB36" s="283" t="e">
        <f t="shared" si="11"/>
        <v>#REF!</v>
      </c>
    </row>
    <row r="37" spans="1:54">
      <c r="A37" s="266" t="s">
        <v>145</v>
      </c>
      <c r="B37" s="266" t="s">
        <v>148</v>
      </c>
      <c r="C37" s="778"/>
      <c r="D37" s="778"/>
      <c r="E37" s="776"/>
      <c r="F37" s="778"/>
      <c r="G37" s="2248" t="s">
        <v>720</v>
      </c>
      <c r="H37" s="778"/>
      <c r="I37" s="778"/>
      <c r="J37" s="778"/>
      <c r="K37" s="778"/>
      <c r="L37" s="2248" t="s">
        <v>720</v>
      </c>
      <c r="M37" s="778"/>
      <c r="N37" s="778"/>
      <c r="O37" s="778"/>
      <c r="P37" s="2248" t="s">
        <v>720</v>
      </c>
      <c r="Q37" s="2248"/>
      <c r="R37" s="778"/>
      <c r="S37" s="778"/>
      <c r="T37" s="6159" t="s">
        <v>1150</v>
      </c>
      <c r="U37" s="6160"/>
      <c r="V37" s="6160"/>
      <c r="W37" s="6161"/>
      <c r="X37" s="1207"/>
      <c r="Y37" s="1207"/>
      <c r="Z37" s="1207"/>
      <c r="AA37" s="1207"/>
      <c r="AB37" s="1207"/>
      <c r="AC37" s="1207"/>
      <c r="AD37" s="1207"/>
      <c r="AE37" s="3135"/>
      <c r="AF37" s="1918"/>
      <c r="AG37" s="3133"/>
      <c r="AH37" s="3126"/>
      <c r="AI37" s="283" cm="1">
        <f t="array" ref="AI37">SUM(COUNTIFS($C37:$AG37,{"0","4","5","6","7","8","9"}))</f>
        <v>0</v>
      </c>
      <c r="AJ37" s="283" cm="1">
        <f t="array" ref="AJ37">SUM(COUNTIFS($C37:$AG37,{"0","4","5","6","7","8","9"},$C$4:$AG$4,"0"))</f>
        <v>0</v>
      </c>
      <c r="AK37" s="283" cm="1">
        <f t="array" ref="AK37">SUM(COUNTIFS($C37:$AG37,{"0","4","5","6","7","8","9"},$C$4:$AG$4,"1"))</f>
        <v>0</v>
      </c>
      <c r="AL37" s="283" cm="1">
        <f t="array" ref="AL37">SUM(COUNTIFS($C37:$AG37,{"0","4","5","6","7","8","9"},$C$4:$AG$4,"2"))</f>
        <v>0</v>
      </c>
      <c r="AM37" s="283" cm="1">
        <f t="array" ref="AM37">SUM(COUNTIFS($C37:$AG37,{"0","4","5","6","7","8","9"},$C$4:$AG$4,"3"))</f>
        <v>0</v>
      </c>
      <c r="AN37" s="283" cm="1">
        <f t="array" ref="AN37">SUM(COUNTIFS($C37:$AG37,{"1","2","3"}))</f>
        <v>0</v>
      </c>
      <c r="AO37" s="283" cm="1">
        <f t="array" ref="AO37">SUM(COUNTIFS($C37:$AG37,{"4","5","6"}))</f>
        <v>0</v>
      </c>
      <c r="AP37" s="283">
        <f>AJ37*'Spreadsheet Key'!$A$23 + AK37*'Spreadsheet Key'!$A$24 + AL37*'Spreadsheet Key'!$A$25 + AM37*'Spreadsheet Key'!$A$26</f>
        <v>0</v>
      </c>
      <c r="AQ37" s="283" t="e">
        <f>AI37/#REF!</f>
        <v>#REF!</v>
      </c>
      <c r="AR37" s="283" t="e">
        <f>AQ37*#REF!</f>
        <v>#REF!</v>
      </c>
      <c r="AT37" s="283">
        <f t="shared" si="6"/>
        <v>0</v>
      </c>
      <c r="AU37" s="283">
        <f t="shared" si="7"/>
        <v>0</v>
      </c>
      <c r="AV37" s="283">
        <f t="shared" si="8"/>
        <v>0</v>
      </c>
      <c r="AW37" s="283" cm="1">
        <f t="array" ref="AW37">COUNTIFS($C37:$AG37,"9",$C$4:$AG$4,"1")+SUM(COUNTIFS($C37:$AG37,{"8","9"},$C$4:$AG$4,"2"))+COUNTIFS($C37:$AG37,"8",$C$4:$AG$4,"3")</f>
        <v>0</v>
      </c>
      <c r="AX37" s="283">
        <f t="shared" si="9"/>
        <v>0</v>
      </c>
      <c r="AY37" s="283">
        <f t="shared" si="10"/>
        <v>0</v>
      </c>
      <c r="AZ37" s="283">
        <f>AT37*'Spreadsheet Key'!$A$27+AU37*'Spreadsheet Key'!$A$28+AV37*'Spreadsheet Key'!$A$29+AW37*'Spreadsheet Key'!$A$30+AX37*'Spreadsheet Key'!$A$31</f>
        <v>0</v>
      </c>
      <c r="BB37" s="283" t="e">
        <f t="shared" si="11"/>
        <v>#REF!</v>
      </c>
    </row>
    <row r="38" spans="1:54">
      <c r="A38" s="56" t="s">
        <v>145</v>
      </c>
      <c r="B38" s="56" t="s">
        <v>148</v>
      </c>
      <c r="C38" s="2659"/>
      <c r="D38" s="2659"/>
      <c r="E38" s="2659"/>
      <c r="F38" s="2659"/>
      <c r="G38" s="2659"/>
      <c r="H38" s="2659"/>
      <c r="I38" s="2659"/>
      <c r="J38" s="2659"/>
      <c r="K38" s="2659"/>
      <c r="L38" s="2659"/>
      <c r="M38" s="2659"/>
      <c r="N38" s="2659"/>
      <c r="O38" s="2659"/>
      <c r="P38" s="2659"/>
      <c r="Q38" s="2659"/>
      <c r="R38" s="2659"/>
      <c r="S38" s="2659"/>
      <c r="T38" s="2659"/>
      <c r="U38" s="2659"/>
      <c r="V38" s="2659"/>
      <c r="W38" s="2659"/>
      <c r="X38" s="2659"/>
      <c r="Y38" s="2659"/>
      <c r="Z38" s="2659"/>
      <c r="AA38" s="2659"/>
      <c r="AB38" s="2659"/>
      <c r="AC38" s="2659"/>
      <c r="AD38" s="2659"/>
      <c r="AE38" s="368"/>
      <c r="AF38" s="368"/>
      <c r="AG38" s="368"/>
      <c r="AH38" s="3126"/>
      <c r="AI38" s="283" cm="1">
        <f t="array" ref="AI38">SUM(COUNTIFS($C38:$AG38,{"0","4","5","6","7","8","9"}))</f>
        <v>0</v>
      </c>
      <c r="AJ38" s="283" cm="1">
        <f t="array" ref="AJ38">SUM(COUNTIFS($C38:$AG38,{"0","4","5","6","7","8","9"},$C$4:$AG$4,"0"))</f>
        <v>0</v>
      </c>
      <c r="AK38" s="283" cm="1">
        <f t="array" ref="AK38">SUM(COUNTIFS($C38:$AG38,{"0","4","5","6","7","8","9"},$C$4:$AG$4,"1"))</f>
        <v>0</v>
      </c>
      <c r="AL38" s="283" cm="1">
        <f t="array" ref="AL38">SUM(COUNTIFS($C38:$AG38,{"0","4","5","6","7","8","9"},$C$4:$AG$4,"2"))</f>
        <v>0</v>
      </c>
      <c r="AM38" s="283" cm="1">
        <f t="array" ref="AM38">SUM(COUNTIFS($C38:$AG38,{"0","4","5","6","7","8","9"},$C$4:$AG$4,"3"))</f>
        <v>0</v>
      </c>
      <c r="AN38" s="283" cm="1">
        <f t="array" ref="AN38">SUM(COUNTIFS($C38:$AG38,{"1","2","3"}))</f>
        <v>0</v>
      </c>
      <c r="AO38" s="283" cm="1">
        <f t="array" ref="AO38">SUM(COUNTIFS($C38:$AG38,{"4","5","6"}))</f>
        <v>0</v>
      </c>
      <c r="AP38" s="283">
        <f>AJ38*'Spreadsheet Key'!$A$23 + AK38*'Spreadsheet Key'!$A$24 + AL38*'Spreadsheet Key'!$A$25 + AM38*'Spreadsheet Key'!$A$26</f>
        <v>0</v>
      </c>
      <c r="AQ38" s="283" t="e">
        <f>AI38/#REF!</f>
        <v>#REF!</v>
      </c>
      <c r="AR38" s="283" t="e">
        <f>AQ38*#REF!</f>
        <v>#REF!</v>
      </c>
      <c r="AT38" s="283">
        <f t="shared" si="6"/>
        <v>0</v>
      </c>
      <c r="AU38" s="283">
        <f t="shared" si="7"/>
        <v>0</v>
      </c>
      <c r="AV38" s="283">
        <f t="shared" si="8"/>
        <v>0</v>
      </c>
      <c r="AW38" s="283" cm="1">
        <f t="array" ref="AW38">COUNTIFS($C38:$AG38,"9",$C$4:$AG$4,"1")+SUM(COUNTIFS($C38:$AG38,{"8","9"},$C$4:$AG$4,"2"))+COUNTIFS($C38:$AG38,"8",$C$4:$AG$4,"3")</f>
        <v>0</v>
      </c>
      <c r="AX38" s="283">
        <f t="shared" si="9"/>
        <v>0</v>
      </c>
      <c r="AY38" s="283">
        <f t="shared" si="10"/>
        <v>0</v>
      </c>
      <c r="AZ38" s="283">
        <f>AT38*'Spreadsheet Key'!$A$27+AU38*'Spreadsheet Key'!$A$28+AV38*'Spreadsheet Key'!$A$29+AW38*'Spreadsheet Key'!$A$30+AX38*'Spreadsheet Key'!$A$31</f>
        <v>0</v>
      </c>
      <c r="BB38" s="283" t="e">
        <f t="shared" si="11"/>
        <v>#REF!</v>
      </c>
    </row>
    <row r="39" spans="1:54">
      <c r="A39" s="56" t="s">
        <v>1038</v>
      </c>
      <c r="B39" s="56" t="s">
        <v>618</v>
      </c>
      <c r="C39" s="4475" t="s">
        <v>482</v>
      </c>
      <c r="D39" s="5270"/>
      <c r="E39" s="5270"/>
      <c r="F39" s="5270"/>
      <c r="G39" s="5270"/>
      <c r="H39" s="5270"/>
      <c r="I39" s="5270"/>
      <c r="J39" s="5270"/>
      <c r="K39" s="5270"/>
      <c r="L39" s="5270"/>
      <c r="M39" s="5270"/>
      <c r="N39" s="5270"/>
      <c r="O39" s="5270"/>
      <c r="P39" s="779"/>
      <c r="Q39" s="779"/>
      <c r="R39" s="2764" t="s">
        <v>1138</v>
      </c>
      <c r="S39" s="779"/>
      <c r="T39" s="1631"/>
      <c r="U39" s="779"/>
      <c r="V39" s="779"/>
      <c r="W39" s="779"/>
      <c r="X39" s="779"/>
      <c r="Y39" s="779"/>
      <c r="Z39" s="779"/>
      <c r="AA39" s="1631" t="s">
        <v>720</v>
      </c>
      <c r="AB39" s="1631"/>
      <c r="AC39" s="5270" t="s">
        <v>684</v>
      </c>
      <c r="AD39" s="5270"/>
      <c r="AE39" s="5270"/>
      <c r="AF39" s="5270"/>
      <c r="AG39" s="5273"/>
      <c r="AH39" s="3126"/>
      <c r="AI39" s="283" cm="1">
        <f t="array" ref="AI39">SUM(COUNTIFS($C39:$AG39,{"0","4","5","6","7","8","9"}))</f>
        <v>0</v>
      </c>
      <c r="AJ39" s="283" cm="1">
        <f t="array" ref="AJ39">SUM(COUNTIFS($C39:$AG39,{"0","4","5","6","7","8","9"},$C$4:$AG$4,"0"))</f>
        <v>0</v>
      </c>
      <c r="AK39" s="283" cm="1">
        <f t="array" ref="AK39">SUM(COUNTIFS($C39:$AG39,{"0","4","5","6","7","8","9"},$C$4:$AG$4,"1"))</f>
        <v>0</v>
      </c>
      <c r="AL39" s="283" cm="1">
        <f t="array" ref="AL39">SUM(COUNTIFS($C39:$AG39,{"0","4","5","6","7","8","9"},$C$4:$AG$4,"2"))</f>
        <v>0</v>
      </c>
      <c r="AM39" s="283" cm="1">
        <f t="array" ref="AM39">SUM(COUNTIFS($C39:$AG39,{"0","4","5","6","7","8","9"},$C$4:$AG$4,"3"))</f>
        <v>0</v>
      </c>
      <c r="AN39" s="283" cm="1">
        <f t="array" ref="AN39">SUM(COUNTIFS($C39:$AG39,{"1","2","3"}))</f>
        <v>0</v>
      </c>
      <c r="AO39" s="283" cm="1">
        <f t="array" ref="AO39">SUM(COUNTIFS($C39:$AG39,{"4","5","6"}))</f>
        <v>0</v>
      </c>
      <c r="AP39" s="283">
        <f>AJ39*'Spreadsheet Key'!$A$23 + AK39*'Spreadsheet Key'!$A$24 + AL39*'Spreadsheet Key'!$A$25 + AM39*'Spreadsheet Key'!$A$26</f>
        <v>0</v>
      </c>
      <c r="AQ39" s="283" t="e">
        <f>AI39/#REF!</f>
        <v>#REF!</v>
      </c>
      <c r="AR39" s="283" t="e">
        <f>AQ39*#REF!</f>
        <v>#REF!</v>
      </c>
      <c r="AT39" s="283">
        <f t="shared" si="6"/>
        <v>0</v>
      </c>
      <c r="AU39" s="283">
        <f t="shared" si="7"/>
        <v>0</v>
      </c>
      <c r="AV39" s="283">
        <f t="shared" si="8"/>
        <v>0</v>
      </c>
      <c r="AW39" s="283" cm="1">
        <f t="array" ref="AW39">COUNTIFS($C39:$AG39,"9",$C$4:$AG$4,"1")+SUM(COUNTIFS($C39:$AG39,{"8","9"},$C$4:$AG$4,"2"))+COUNTIFS($C39:$AG39,"8",$C$4:$AG$4,"3")</f>
        <v>0</v>
      </c>
      <c r="AX39" s="283">
        <f t="shared" si="9"/>
        <v>0</v>
      </c>
      <c r="AY39" s="283">
        <f t="shared" si="10"/>
        <v>0</v>
      </c>
      <c r="AZ39" s="283">
        <f>AT39*'Spreadsheet Key'!$A$27+AU39*'Spreadsheet Key'!$A$28+AV39*'Spreadsheet Key'!$A$29+AW39*'Spreadsheet Key'!$A$30+AX39*'Spreadsheet Key'!$A$31</f>
        <v>0</v>
      </c>
      <c r="BB39" s="283" t="e">
        <f t="shared" si="11"/>
        <v>#REF!</v>
      </c>
    </row>
    <row r="40" spans="1:54">
      <c r="A40" s="56" t="s">
        <v>1038</v>
      </c>
      <c r="B40" s="56" t="s">
        <v>618</v>
      </c>
      <c r="C40" s="2659"/>
      <c r="D40" s="2659"/>
      <c r="E40" s="2659"/>
      <c r="F40" s="2659"/>
      <c r="G40" s="2659"/>
      <c r="H40" s="2659"/>
      <c r="I40" s="2659"/>
      <c r="J40" s="2659"/>
      <c r="K40" s="2659"/>
      <c r="L40" s="2659"/>
      <c r="M40" s="2659"/>
      <c r="N40" s="2659"/>
      <c r="O40" s="2659"/>
      <c r="P40" s="2659"/>
      <c r="Q40" s="2659"/>
      <c r="R40" s="2659"/>
      <c r="S40" s="2659"/>
      <c r="T40" s="2659"/>
      <c r="U40" s="2659"/>
      <c r="V40" s="2659"/>
      <c r="W40" s="2659"/>
      <c r="X40" s="2659"/>
      <c r="Y40" s="2659"/>
      <c r="Z40" s="2659"/>
      <c r="AA40" s="2659"/>
      <c r="AB40" s="2659"/>
      <c r="AC40" s="2659"/>
      <c r="AD40" s="2659"/>
      <c r="AE40" s="368"/>
      <c r="AF40" s="368"/>
      <c r="AG40" s="368"/>
      <c r="AH40" s="3126"/>
      <c r="AI40" s="283" cm="1">
        <f t="array" ref="AI40">SUM(COUNTIFS($C40:$AG40,{"0","4","5","6","7","8","9"}))</f>
        <v>0</v>
      </c>
      <c r="AJ40" s="283" cm="1">
        <f t="array" ref="AJ40">SUM(COUNTIFS($C40:$AG40,{"0","4","5","6","7","8","9"},$C$4:$AG$4,"0"))</f>
        <v>0</v>
      </c>
      <c r="AK40" s="283" cm="1">
        <f t="array" ref="AK40">SUM(COUNTIFS($C40:$AG40,{"0","4","5","6","7","8","9"},$C$4:$AG$4,"1"))</f>
        <v>0</v>
      </c>
      <c r="AL40" s="283" cm="1">
        <f t="array" ref="AL40">SUM(COUNTIFS($C40:$AG40,{"0","4","5","6","7","8","9"},$C$4:$AG$4,"2"))</f>
        <v>0</v>
      </c>
      <c r="AM40" s="283" cm="1">
        <f t="array" ref="AM40">SUM(COUNTIFS($C40:$AG40,{"0","4","5","6","7","8","9"},$C$4:$AG$4,"3"))</f>
        <v>0</v>
      </c>
      <c r="AN40" s="283" cm="1">
        <f t="array" ref="AN40">SUM(COUNTIFS($C40:$AG40,{"1","2","3"}))</f>
        <v>0</v>
      </c>
      <c r="AO40" s="283" cm="1">
        <f t="array" ref="AO40">SUM(COUNTIFS($C40:$AG40,{"4","5","6"}))</f>
        <v>0</v>
      </c>
      <c r="AP40" s="283">
        <f>AJ40*'Spreadsheet Key'!$A$23 + AK40*'Spreadsheet Key'!$A$24 + AL40*'Spreadsheet Key'!$A$25 + AM40*'Spreadsheet Key'!$A$26</f>
        <v>0</v>
      </c>
      <c r="AQ40" s="283" t="e">
        <f>AI40/#REF!</f>
        <v>#REF!</v>
      </c>
      <c r="AR40" s="283" t="e">
        <f>AQ40*#REF!</f>
        <v>#REF!</v>
      </c>
      <c r="AT40" s="283">
        <f t="shared" si="6"/>
        <v>0</v>
      </c>
      <c r="AU40" s="283">
        <f t="shared" si="7"/>
        <v>0</v>
      </c>
      <c r="AV40" s="283">
        <f t="shared" si="8"/>
        <v>0</v>
      </c>
      <c r="AW40" s="283" cm="1">
        <f t="array" ref="AW40">COUNTIFS($C40:$AG40,"9",$C$4:$AG$4,"1")+SUM(COUNTIFS($C40:$AG40,{"8","9"},$C$4:$AG$4,"2"))+COUNTIFS($C40:$AG40,"8",$C$4:$AG$4,"3")</f>
        <v>0</v>
      </c>
      <c r="AX40" s="283">
        <f t="shared" si="9"/>
        <v>0</v>
      </c>
      <c r="AY40" s="283">
        <f t="shared" si="10"/>
        <v>0</v>
      </c>
      <c r="AZ40" s="283">
        <f>AT40*'Spreadsheet Key'!$A$27+AU40*'Spreadsheet Key'!$A$28+AV40*'Spreadsheet Key'!$A$29+AW40*'Spreadsheet Key'!$A$30+AX40*'Spreadsheet Key'!$A$31</f>
        <v>0</v>
      </c>
      <c r="BB40" s="283" t="e">
        <f t="shared" si="11"/>
        <v>#REF!</v>
      </c>
    </row>
    <row r="41" spans="1:54">
      <c r="A41" s="816" t="s">
        <v>149</v>
      </c>
      <c r="B41" s="816" t="s">
        <v>151</v>
      </c>
      <c r="C41" s="323"/>
      <c r="D41" s="323"/>
      <c r="E41" s="3077" t="s">
        <v>722</v>
      </c>
      <c r="F41" s="323"/>
      <c r="G41" s="323"/>
      <c r="H41" s="323"/>
      <c r="I41" s="3077" t="s">
        <v>722</v>
      </c>
      <c r="J41" s="323"/>
      <c r="K41" s="323"/>
      <c r="L41" s="323"/>
      <c r="M41" s="2270" t="s">
        <v>722</v>
      </c>
      <c r="N41" s="780"/>
      <c r="O41" s="780"/>
      <c r="P41" s="780"/>
      <c r="Q41" s="780"/>
      <c r="R41" s="2944" t="s">
        <v>1138</v>
      </c>
      <c r="S41" s="323"/>
      <c r="T41" s="780"/>
      <c r="U41" s="323"/>
      <c r="V41" s="780"/>
      <c r="W41" s="780"/>
      <c r="X41" s="780"/>
      <c r="Y41" s="780"/>
      <c r="Z41" s="780"/>
      <c r="AA41" s="780"/>
      <c r="AB41" s="780"/>
      <c r="AC41" s="323"/>
      <c r="AD41" s="323"/>
      <c r="AE41" s="323"/>
      <c r="AF41" s="323"/>
      <c r="AG41" s="324"/>
      <c r="AH41" s="3126"/>
      <c r="AI41" s="283" cm="1">
        <f t="array" ref="AI41">SUM(COUNTIFS($C41:$AG41,{"0","4","5","6","7","8","9"}))</f>
        <v>0</v>
      </c>
      <c r="AJ41" s="283" cm="1">
        <f t="array" ref="AJ41">SUM(COUNTIFS($C41:$AG41,{"0","4","5","6","7","8","9"},$C$4:$AG$4,"0"))</f>
        <v>0</v>
      </c>
      <c r="AK41" s="283" cm="1">
        <f t="array" ref="AK41">SUM(COUNTIFS($C41:$AG41,{"0","4","5","6","7","8","9"},$C$4:$AG$4,"1"))</f>
        <v>0</v>
      </c>
      <c r="AL41" s="283" cm="1">
        <f t="array" ref="AL41">SUM(COUNTIFS($C41:$AG41,{"0","4","5","6","7","8","9"},$C$4:$AG$4,"2"))</f>
        <v>0</v>
      </c>
      <c r="AM41" s="283" cm="1">
        <f t="array" ref="AM41">SUM(COUNTIFS($C41:$AG41,{"0","4","5","6","7","8","9"},$C$4:$AG$4,"3"))</f>
        <v>0</v>
      </c>
      <c r="AN41" s="283" cm="1">
        <f t="array" ref="AN41">SUM(COUNTIFS($C41:$AG41,{"1","2","3"}))</f>
        <v>0</v>
      </c>
      <c r="AO41" s="283" cm="1">
        <f t="array" ref="AO41">SUM(COUNTIFS($C41:$AG41,{"4","5","6"}))</f>
        <v>0</v>
      </c>
      <c r="AP41" s="283">
        <f>AJ41*'Spreadsheet Key'!$A$23 + AK41*'Spreadsheet Key'!$A$24 + AL41*'Spreadsheet Key'!$A$25 + AM41*'Spreadsheet Key'!$A$26</f>
        <v>0</v>
      </c>
      <c r="AQ41" s="283" t="e">
        <f>AI41/#REF!</f>
        <v>#REF!</v>
      </c>
      <c r="AR41" s="283" t="e">
        <f>AQ41*#REF!</f>
        <v>#REF!</v>
      </c>
      <c r="AT41" s="283">
        <f t="shared" si="6"/>
        <v>0</v>
      </c>
      <c r="AU41" s="283">
        <f t="shared" si="7"/>
        <v>0</v>
      </c>
      <c r="AV41" s="283">
        <f t="shared" si="8"/>
        <v>0</v>
      </c>
      <c r="AW41" s="283" cm="1">
        <f t="array" ref="AW41">COUNTIFS($C41:$AG41,"9",$C$4:$AG$4,"1")+SUM(COUNTIFS($C41:$AG41,{"8","9"},$C$4:$AG$4,"2"))+COUNTIFS($C41:$AG41,"8",$C$4:$AG$4,"3")</f>
        <v>0</v>
      </c>
      <c r="AX41" s="283">
        <f t="shared" si="9"/>
        <v>0</v>
      </c>
      <c r="AY41" s="283">
        <f t="shared" si="10"/>
        <v>0</v>
      </c>
      <c r="AZ41" s="283">
        <f>AT41*'Spreadsheet Key'!$A$27+AU41*'Spreadsheet Key'!$A$28+AV41*'Spreadsheet Key'!$A$29+AW41*'Spreadsheet Key'!$A$30+AX41*'Spreadsheet Key'!$A$31</f>
        <v>0</v>
      </c>
      <c r="BB41" s="283" t="e">
        <f t="shared" si="11"/>
        <v>#REF!</v>
      </c>
    </row>
    <row r="42" spans="1:54">
      <c r="A42" s="56" t="s">
        <v>149</v>
      </c>
      <c r="B42" s="56" t="s">
        <v>151</v>
      </c>
      <c r="C42" s="2659"/>
      <c r="D42" s="2659"/>
      <c r="E42" s="2659"/>
      <c r="F42" s="2659"/>
      <c r="G42" s="2659"/>
      <c r="H42" s="2659"/>
      <c r="I42" s="2659"/>
      <c r="J42" s="2659"/>
      <c r="K42" s="2659"/>
      <c r="L42" s="2659"/>
      <c r="M42" s="2659"/>
      <c r="N42" s="2659"/>
      <c r="O42" s="2659"/>
      <c r="P42" s="2659"/>
      <c r="Q42" s="2659"/>
      <c r="R42" s="2659"/>
      <c r="S42" s="2659"/>
      <c r="T42" s="2659"/>
      <c r="U42" s="2659"/>
      <c r="V42" s="2659"/>
      <c r="W42" s="2659"/>
      <c r="X42" s="2659"/>
      <c r="Y42" s="2659"/>
      <c r="Z42" s="2659"/>
      <c r="AA42" s="2659"/>
      <c r="AB42" s="2659"/>
      <c r="AC42" s="2659"/>
      <c r="AD42" s="2659"/>
      <c r="AE42" s="368"/>
      <c r="AF42" s="368"/>
      <c r="AG42" s="368"/>
      <c r="AH42" s="3126"/>
      <c r="AI42" s="283" cm="1">
        <f t="array" ref="AI42">SUM(COUNTIFS($C42:$AG42,{"0","4","5","6","7","8","9"}))</f>
        <v>0</v>
      </c>
      <c r="AJ42" s="283" cm="1">
        <f t="array" ref="AJ42">SUM(COUNTIFS($C42:$AG42,{"0","4","5","6","7","8","9"},$C$4:$AG$4,"0"))</f>
        <v>0</v>
      </c>
      <c r="AK42" s="283" cm="1">
        <f t="array" ref="AK42">SUM(COUNTIFS($C42:$AG42,{"0","4","5","6","7","8","9"},$C$4:$AG$4,"1"))</f>
        <v>0</v>
      </c>
      <c r="AL42" s="283" cm="1">
        <f t="array" ref="AL42">SUM(COUNTIFS($C42:$AG42,{"0","4","5","6","7","8","9"},$C$4:$AG$4,"2"))</f>
        <v>0</v>
      </c>
      <c r="AM42" s="283" cm="1">
        <f t="array" ref="AM42">SUM(COUNTIFS($C42:$AG42,{"0","4","5","6","7","8","9"},$C$4:$AG$4,"3"))</f>
        <v>0</v>
      </c>
      <c r="AN42" s="283" cm="1">
        <f t="array" ref="AN42">SUM(COUNTIFS($C42:$AG42,{"1","2","3"}))</f>
        <v>0</v>
      </c>
      <c r="AO42" s="283" cm="1">
        <f t="array" ref="AO42">SUM(COUNTIFS($C42:$AG42,{"4","5","6"}))</f>
        <v>0</v>
      </c>
      <c r="AP42" s="283">
        <f>AJ42*'Spreadsheet Key'!$A$23 + AK42*'Spreadsheet Key'!$A$24 + AL42*'Spreadsheet Key'!$A$25 + AM42*'Spreadsheet Key'!$A$26</f>
        <v>0</v>
      </c>
      <c r="AQ42" s="283" t="e">
        <f>AI42/#REF!</f>
        <v>#REF!</v>
      </c>
      <c r="AR42" s="283" t="e">
        <f>AQ42*#REF!</f>
        <v>#REF!</v>
      </c>
      <c r="AT42" s="283">
        <f t="shared" si="6"/>
        <v>0</v>
      </c>
      <c r="AU42" s="283">
        <f t="shared" si="7"/>
        <v>0</v>
      </c>
      <c r="AV42" s="283">
        <f t="shared" si="8"/>
        <v>0</v>
      </c>
      <c r="AW42" s="283" cm="1">
        <f t="array" ref="AW42">COUNTIFS($C42:$AG42,"9",$C$4:$AG$4,"1")+SUM(COUNTIFS($C42:$AG42,{"8","9"},$C$4:$AG$4,"2"))+COUNTIFS($C42:$AG42,"8",$C$4:$AG$4,"3")</f>
        <v>0</v>
      </c>
      <c r="AX42" s="283">
        <f t="shared" si="9"/>
        <v>0</v>
      </c>
      <c r="AY42" s="283">
        <f t="shared" si="10"/>
        <v>0</v>
      </c>
      <c r="AZ42" s="283">
        <f>AT42*'Spreadsheet Key'!$A$27+AU42*'Spreadsheet Key'!$A$28+AV42*'Spreadsheet Key'!$A$29+AW42*'Spreadsheet Key'!$A$30+AX42*'Spreadsheet Key'!$A$31</f>
        <v>0</v>
      </c>
      <c r="BB42" s="283" t="e">
        <f t="shared" si="11"/>
        <v>#REF!</v>
      </c>
    </row>
    <row r="43" spans="1:54">
      <c r="A43" s="2795" t="s">
        <v>127</v>
      </c>
      <c r="B43" s="2" t="s">
        <v>128</v>
      </c>
      <c r="C43" s="4293" t="s">
        <v>1143</v>
      </c>
      <c r="D43" s="4293"/>
      <c r="E43" s="4293"/>
      <c r="F43" s="4293"/>
      <c r="G43" s="4293"/>
      <c r="H43" s="4293"/>
      <c r="I43" s="4293"/>
      <c r="J43" s="4293"/>
      <c r="K43" s="4293"/>
      <c r="L43" s="4293"/>
      <c r="M43" s="4293"/>
      <c r="N43" s="4293"/>
      <c r="O43" s="4293"/>
      <c r="P43" s="4293"/>
      <c r="Q43" s="2"/>
      <c r="R43" s="2764" t="s">
        <v>1138</v>
      </c>
      <c r="S43" s="1631" t="s">
        <v>720</v>
      </c>
      <c r="T43" s="5774" t="s">
        <v>1150</v>
      </c>
      <c r="U43" s="5774"/>
      <c r="V43" s="5774"/>
      <c r="W43" s="5774"/>
      <c r="X43" s="5774" t="s">
        <v>855</v>
      </c>
      <c r="Y43" s="5774"/>
      <c r="Z43" s="5774"/>
      <c r="AA43" s="5774"/>
      <c r="AB43" s="5774"/>
      <c r="AC43" s="5774"/>
      <c r="AD43" s="5774"/>
      <c r="AE43" s="5774"/>
      <c r="AF43" s="5774"/>
      <c r="AG43" s="5886"/>
      <c r="AH43" s="3126"/>
      <c r="AI43" s="283"/>
    </row>
    <row r="44" spans="1:54">
      <c r="A44" s="2795" t="s">
        <v>127</v>
      </c>
      <c r="B44" s="2" t="s">
        <v>128</v>
      </c>
      <c r="C44" s="2659"/>
      <c r="D44" s="2659"/>
      <c r="E44" s="2659"/>
      <c r="F44" s="2659"/>
      <c r="G44" s="2659"/>
      <c r="H44" s="2659"/>
      <c r="I44" s="2659"/>
      <c r="J44" s="2659"/>
      <c r="K44" s="2659"/>
      <c r="L44" s="2659"/>
      <c r="M44" s="2659"/>
      <c r="N44" s="2659"/>
      <c r="O44" s="2659"/>
      <c r="P44" s="2659"/>
      <c r="Q44" s="2659"/>
      <c r="R44" s="2659"/>
      <c r="S44" s="2659"/>
      <c r="T44" s="3136"/>
      <c r="U44" s="3137"/>
      <c r="V44" s="3137"/>
      <c r="W44" s="3138"/>
      <c r="X44" s="2659"/>
      <c r="Y44" s="2659"/>
      <c r="Z44" s="2659"/>
      <c r="AA44" s="2659"/>
      <c r="AB44" s="2659"/>
      <c r="AC44" s="2659"/>
      <c r="AD44" s="2659"/>
      <c r="AE44" s="368"/>
      <c r="AF44" s="368"/>
      <c r="AG44" s="368"/>
      <c r="AH44" s="3126"/>
      <c r="AI44" s="283"/>
    </row>
    <row r="45" spans="1:54">
      <c r="A45" s="2795" t="s">
        <v>602</v>
      </c>
      <c r="B45" s="2" t="s">
        <v>660</v>
      </c>
      <c r="C45" s="3064"/>
      <c r="D45" s="2"/>
      <c r="E45" s="2"/>
      <c r="F45" s="2"/>
      <c r="G45" s="2"/>
      <c r="H45" s="2395" t="s">
        <v>722</v>
      </c>
      <c r="I45" s="2"/>
      <c r="J45" s="2"/>
      <c r="K45" s="2"/>
      <c r="L45" s="2"/>
      <c r="M45" s="2395"/>
      <c r="N45" s="2"/>
      <c r="O45" s="2395" t="s">
        <v>722</v>
      </c>
      <c r="P45" s="2"/>
      <c r="Q45" s="2"/>
      <c r="R45" s="2"/>
      <c r="S45" s="2"/>
      <c r="T45" s="4207" t="s">
        <v>1150</v>
      </c>
      <c r="U45" s="4208"/>
      <c r="V45" s="4208"/>
      <c r="W45" s="4209"/>
      <c r="X45" s="2395"/>
      <c r="Y45" s="2"/>
      <c r="Z45" s="2"/>
      <c r="AA45" s="2"/>
      <c r="AB45" s="2"/>
      <c r="AC45" s="2"/>
      <c r="AD45" s="2"/>
      <c r="AE45" s="2395" t="s">
        <v>722</v>
      </c>
      <c r="AF45" s="2"/>
      <c r="AG45" s="696"/>
      <c r="AH45" s="3126"/>
      <c r="AI45" s="283" cm="1">
        <f t="array" ref="AI45">SUM(COUNTIFS($C45:$AG45,{"0","4","5","6","7","8","9"}))</f>
        <v>0</v>
      </c>
      <c r="AJ45" s="283" cm="1">
        <f t="array" ref="AJ45">SUM(COUNTIFS($C45:$AG45,{"0","4","5","6","7","8","9"},$C$4:$AG$4,"0"))</f>
        <v>0</v>
      </c>
      <c r="AK45" s="283" cm="1">
        <f t="array" ref="AK45">SUM(COUNTIFS($C45:$AG45,{"0","4","5","6","7","8","9"},$C$4:$AG$4,"1"))</f>
        <v>0</v>
      </c>
      <c r="AL45" s="283" cm="1">
        <f t="array" ref="AL45">SUM(COUNTIFS($C45:$AG45,{"0","4","5","6","7","8","9"},$C$4:$AG$4,"2"))</f>
        <v>0</v>
      </c>
      <c r="AM45" s="283" cm="1">
        <f t="array" ref="AM45">SUM(COUNTIFS($C45:$AG45,{"0","4","5","6","7","8","9"},$C$4:$AG$4,"3"))</f>
        <v>0</v>
      </c>
      <c r="AN45" s="283" cm="1">
        <f t="array" ref="AN45">SUM(COUNTIFS($C45:$AG45,{"1","2","3"}))</f>
        <v>0</v>
      </c>
      <c r="AO45" s="283" cm="1">
        <f t="array" ref="AO45">SUM(COUNTIFS($C45:$AG45,{"4","5","6"}))</f>
        <v>0</v>
      </c>
      <c r="AP45" s="283">
        <f>AJ45*'Spreadsheet Key'!$A$23 + AK45*'Spreadsheet Key'!$A$24 + AL45*'Spreadsheet Key'!$A$25 + AM45*'Spreadsheet Key'!$A$26</f>
        <v>0</v>
      </c>
      <c r="AQ45" s="283" t="e">
        <f>AI45/#REF!</f>
        <v>#REF!</v>
      </c>
      <c r="AR45" s="283" t="e">
        <f>AQ45*#REF!</f>
        <v>#REF!</v>
      </c>
      <c r="AT45" s="283">
        <f t="shared" si="6"/>
        <v>0</v>
      </c>
      <c r="AU45" s="283">
        <f t="shared" si="7"/>
        <v>0</v>
      </c>
      <c r="AV45" s="283">
        <f t="shared" si="8"/>
        <v>0</v>
      </c>
      <c r="AW45" s="283" cm="1">
        <f t="array" ref="AW45">COUNTIFS($C45:$AG45,"9",$C$4:$AG$4,"1")+SUM(COUNTIFS($C45:$AG45,{"8","9"},$C$4:$AG$4,"2"))+COUNTIFS($C45:$AG45,"8",$C$4:$AG$4,"3")</f>
        <v>0</v>
      </c>
      <c r="AX45" s="283">
        <f t="shared" si="9"/>
        <v>0</v>
      </c>
      <c r="AY45" s="283">
        <f t="shared" si="10"/>
        <v>0</v>
      </c>
      <c r="AZ45" s="283">
        <f>AT45*'Spreadsheet Key'!$A$27+AU45*'Spreadsheet Key'!$A$28+AV45*'Spreadsheet Key'!$A$29+AW45*'Spreadsheet Key'!$A$30+AX45*'Spreadsheet Key'!$A$31</f>
        <v>0</v>
      </c>
      <c r="BB45" s="283" t="e">
        <f t="shared" si="11"/>
        <v>#REF!</v>
      </c>
    </row>
    <row r="46" spans="1:54">
      <c r="A46" s="2795" t="s">
        <v>602</v>
      </c>
      <c r="B46" s="2" t="s">
        <v>660</v>
      </c>
      <c r="C46" s="2659"/>
      <c r="D46" s="2659"/>
      <c r="E46" s="2659"/>
      <c r="F46" s="2659"/>
      <c r="G46" s="2659"/>
      <c r="H46" s="2659"/>
      <c r="I46" s="2659"/>
      <c r="J46" s="2659"/>
      <c r="K46" s="2659"/>
      <c r="L46" s="2659"/>
      <c r="M46" s="2659"/>
      <c r="N46" s="2659"/>
      <c r="O46" s="2659"/>
      <c r="P46" s="2659"/>
      <c r="Q46" s="2659"/>
      <c r="R46" s="2659"/>
      <c r="S46" s="2659"/>
      <c r="T46" s="2659"/>
      <c r="U46" s="2659"/>
      <c r="V46" s="2659"/>
      <c r="W46" s="2659"/>
      <c r="X46" s="2659"/>
      <c r="Y46" s="2659"/>
      <c r="Z46" s="2659"/>
      <c r="AA46" s="2659"/>
      <c r="AB46" s="2659"/>
      <c r="AC46" s="2659"/>
      <c r="AD46" s="2659"/>
      <c r="AE46" s="368"/>
      <c r="AF46" s="368"/>
      <c r="AG46" s="368"/>
      <c r="AH46" s="3126"/>
      <c r="AI46" s="283" cm="1">
        <f t="array" ref="AI46">SUM(COUNTIFS($C46:$AG46,{"0","4","5","6","7","8","9"}))</f>
        <v>0</v>
      </c>
      <c r="AJ46" s="283" cm="1">
        <f t="array" ref="AJ46">SUM(COUNTIFS($C46:$AG46,{"0","4","5","6","7","8","9"},$C$4:$AG$4,"0"))</f>
        <v>0</v>
      </c>
      <c r="AK46" s="283" cm="1">
        <f t="array" ref="AK46">SUM(COUNTIFS($C46:$AG46,{"0","4","5","6","7","8","9"},$C$4:$AG$4,"1"))</f>
        <v>0</v>
      </c>
      <c r="AL46" s="283" cm="1">
        <f t="array" ref="AL46">SUM(COUNTIFS($C46:$AG46,{"0","4","5","6","7","8","9"},$C$4:$AG$4,"2"))</f>
        <v>0</v>
      </c>
      <c r="AM46" s="283" cm="1">
        <f t="array" ref="AM46">SUM(COUNTIFS($C46:$AG46,{"0","4","5","6","7","8","9"},$C$4:$AG$4,"3"))</f>
        <v>0</v>
      </c>
      <c r="AN46" s="283" cm="1">
        <f t="array" ref="AN46">SUM(COUNTIFS($C46:$AG46,{"1","2","3"}))</f>
        <v>0</v>
      </c>
      <c r="AO46" s="283" cm="1">
        <f t="array" ref="AO46">SUM(COUNTIFS($C46:$AG46,{"4","5","6"}))</f>
        <v>0</v>
      </c>
      <c r="AP46" s="283">
        <f>AJ46*'Spreadsheet Key'!$A$23 + AK46*'Spreadsheet Key'!$A$24 + AL46*'Spreadsheet Key'!$A$25 + AM46*'Spreadsheet Key'!$A$26</f>
        <v>0</v>
      </c>
      <c r="AQ46" s="283" t="e">
        <f>AI46/#REF!</f>
        <v>#REF!</v>
      </c>
      <c r="AR46" s="283" t="e">
        <f>AQ46*#REF!</f>
        <v>#REF!</v>
      </c>
      <c r="AT46" s="283">
        <f t="shared" si="6"/>
        <v>0</v>
      </c>
      <c r="AU46" s="283">
        <f t="shared" si="7"/>
        <v>0</v>
      </c>
      <c r="AV46" s="283">
        <f t="shared" si="8"/>
        <v>0</v>
      </c>
      <c r="AW46" s="283" cm="1">
        <f t="array" ref="AW46">COUNTIFS($C46:$AG46,"9",$C$4:$AG$4,"1")+SUM(COUNTIFS($C46:$AG46,{"8","9"},$C$4:$AG$4,"2"))+COUNTIFS($C46:$AG46,"8",$C$4:$AG$4,"3")</f>
        <v>0</v>
      </c>
      <c r="AX46" s="283">
        <f t="shared" si="9"/>
        <v>0</v>
      </c>
      <c r="AY46" s="283">
        <f t="shared" si="10"/>
        <v>0</v>
      </c>
      <c r="AZ46" s="283">
        <f>AT46*'Spreadsheet Key'!$A$27+AU46*'Spreadsheet Key'!$A$28+AV46*'Spreadsheet Key'!$A$29+AW46*'Spreadsheet Key'!$A$30+AX46*'Spreadsheet Key'!$A$31</f>
        <v>0</v>
      </c>
      <c r="BB46" s="283" t="e">
        <f t="shared" si="11"/>
        <v>#REF!</v>
      </c>
    </row>
    <row r="47" spans="1:54">
      <c r="A47" s="68" t="s">
        <v>81</v>
      </c>
      <c r="B47" s="68" t="s">
        <v>396</v>
      </c>
      <c r="C47" s="321"/>
      <c r="D47" s="321"/>
      <c r="E47" s="321"/>
      <c r="F47" s="3009" t="s">
        <v>720</v>
      </c>
      <c r="G47" s="321"/>
      <c r="H47" s="321"/>
      <c r="I47" s="321"/>
      <c r="J47" s="321"/>
      <c r="K47" s="321"/>
      <c r="L47" s="321"/>
      <c r="M47" s="321"/>
      <c r="N47" s="321"/>
      <c r="O47" s="782"/>
      <c r="P47" s="782"/>
      <c r="Q47" s="782"/>
      <c r="R47" s="2252" t="s">
        <v>722</v>
      </c>
      <c r="S47" s="782"/>
      <c r="T47" s="321"/>
      <c r="U47" s="321"/>
      <c r="V47" s="321"/>
      <c r="W47" s="321"/>
      <c r="X47" s="2252" t="s">
        <v>720</v>
      </c>
      <c r="Y47" s="2366"/>
      <c r="Z47" s="2366"/>
      <c r="AA47" s="2366"/>
      <c r="AB47" s="2366"/>
      <c r="AC47" s="2366"/>
      <c r="AD47" s="2366"/>
      <c r="AE47" s="782"/>
      <c r="AF47" s="321"/>
      <c r="AG47" s="807"/>
      <c r="AH47" s="3126"/>
      <c r="AI47" s="283" cm="1">
        <f t="array" ref="AI47">SUM(COUNTIFS($C47:$AG47,{"0","4","5","6","7","8","9"}))</f>
        <v>0</v>
      </c>
      <c r="AJ47" s="283" cm="1">
        <f t="array" ref="AJ47">SUM(COUNTIFS($C47:$AG47,{"0","4","5","6","7","8","9"},$C$4:$AG$4,"0"))</f>
        <v>0</v>
      </c>
      <c r="AK47" s="283" cm="1">
        <f t="array" ref="AK47">SUM(COUNTIFS($C47:$AG47,{"0","4","5","6","7","8","9"},$C$4:$AG$4,"1"))</f>
        <v>0</v>
      </c>
      <c r="AL47" s="283" cm="1">
        <f t="array" ref="AL47">SUM(COUNTIFS($C47:$AG47,{"0","4","5","6","7","8","9"},$C$4:$AG$4,"2"))</f>
        <v>0</v>
      </c>
      <c r="AM47" s="283" cm="1">
        <f t="array" ref="AM47">SUM(COUNTIFS($C47:$AG47,{"0","4","5","6","7","8","9"},$C$4:$AG$4,"3"))</f>
        <v>0</v>
      </c>
      <c r="AN47" s="283" cm="1">
        <f t="array" ref="AN47">SUM(COUNTIFS($C47:$AG47,{"1","2","3"}))</f>
        <v>0</v>
      </c>
      <c r="AO47" s="283" cm="1">
        <f t="array" ref="AO47">SUM(COUNTIFS($C47:$AG47,{"4","5","6"}))</f>
        <v>0</v>
      </c>
      <c r="AP47" s="283">
        <f>AJ47*'Spreadsheet Key'!$A$23 + AK47*'Spreadsheet Key'!$A$24 + AL47*'Spreadsheet Key'!$A$25 + AM47*'Spreadsheet Key'!$A$26</f>
        <v>0</v>
      </c>
      <c r="AQ47" s="283" t="e">
        <f>AI47/#REF!</f>
        <v>#REF!</v>
      </c>
      <c r="AR47" s="283" t="e">
        <f>AQ47*#REF!</f>
        <v>#REF!</v>
      </c>
      <c r="AT47" s="283">
        <f t="shared" si="6"/>
        <v>0</v>
      </c>
      <c r="AU47" s="283">
        <f t="shared" si="7"/>
        <v>0</v>
      </c>
      <c r="AV47" s="283">
        <f t="shared" si="8"/>
        <v>0</v>
      </c>
      <c r="AW47" s="283" cm="1">
        <f t="array" ref="AW47">COUNTIFS($C47:$AG47,"9",$C$4:$AG$4,"1")+SUM(COUNTIFS($C47:$AG47,{"8","9"},$C$4:$AG$4,"2"))+COUNTIFS($C47:$AG47,"8",$C$4:$AG$4,"3")</f>
        <v>0</v>
      </c>
      <c r="AX47" s="283">
        <f t="shared" si="9"/>
        <v>0</v>
      </c>
      <c r="AY47" s="283">
        <f t="shared" si="10"/>
        <v>0</v>
      </c>
      <c r="AZ47" s="283">
        <f>AT47*'Spreadsheet Key'!$A$27+AU47*'Spreadsheet Key'!$A$28+AV47*'Spreadsheet Key'!$A$29+AW47*'Spreadsheet Key'!$A$30+AX47*'Spreadsheet Key'!$A$31</f>
        <v>0</v>
      </c>
      <c r="BB47" s="283" t="e">
        <f t="shared" si="11"/>
        <v>#REF!</v>
      </c>
    </row>
    <row r="48" spans="1:54">
      <c r="A48" s="56" t="s">
        <v>81</v>
      </c>
      <c r="B48" s="56" t="s">
        <v>396</v>
      </c>
      <c r="C48" s="2659"/>
      <c r="D48" s="2659"/>
      <c r="E48" s="2659"/>
      <c r="F48" s="2659"/>
      <c r="G48" s="2659"/>
      <c r="H48" s="2659"/>
      <c r="I48" s="2659"/>
      <c r="J48" s="2659"/>
      <c r="K48" s="2659"/>
      <c r="L48" s="2659"/>
      <c r="M48" s="2659"/>
      <c r="N48" s="2659"/>
      <c r="O48" s="2659"/>
      <c r="P48" s="2659"/>
      <c r="Q48" s="2659"/>
      <c r="R48" s="2659"/>
      <c r="S48" s="2659"/>
      <c r="T48" s="2659"/>
      <c r="U48" s="2659"/>
      <c r="V48" s="2659"/>
      <c r="W48" s="2659"/>
      <c r="X48" s="2659"/>
      <c r="Y48" s="2659"/>
      <c r="Z48" s="2659"/>
      <c r="AA48" s="2659"/>
      <c r="AB48" s="2659"/>
      <c r="AC48" s="2659"/>
      <c r="AD48" s="2659"/>
      <c r="AE48" s="368"/>
      <c r="AF48" s="368"/>
      <c r="AG48" s="368"/>
      <c r="AH48" s="3126"/>
      <c r="AI48" s="283" cm="1">
        <f t="array" ref="AI48">SUM(COUNTIFS($C48:$AG48,{"0","4","5","6","7","8","9"}))</f>
        <v>0</v>
      </c>
      <c r="AJ48" s="283" cm="1">
        <f t="array" ref="AJ48">SUM(COUNTIFS($C48:$AG48,{"0","4","5","6","7","8","9"},$C$4:$AG$4,"0"))</f>
        <v>0</v>
      </c>
      <c r="AK48" s="283" cm="1">
        <f t="array" ref="AK48">SUM(COUNTIFS($C48:$AG48,{"0","4","5","6","7","8","9"},$C$4:$AG$4,"1"))</f>
        <v>0</v>
      </c>
      <c r="AL48" s="283" cm="1">
        <f t="array" ref="AL48">SUM(COUNTIFS($C48:$AG48,{"0","4","5","6","7","8","9"},$C$4:$AG$4,"2"))</f>
        <v>0</v>
      </c>
      <c r="AM48" s="283" cm="1">
        <f t="array" ref="AM48">SUM(COUNTIFS($C48:$AG48,{"0","4","5","6","7","8","9"},$C$4:$AG$4,"3"))</f>
        <v>0</v>
      </c>
      <c r="AN48" s="283" cm="1">
        <f t="array" ref="AN48">SUM(COUNTIFS($C48:$AG48,{"1","2","3"}))</f>
        <v>0</v>
      </c>
      <c r="AO48" s="283" cm="1">
        <f t="array" ref="AO48">SUM(COUNTIFS($C48:$AG48,{"4","5","6"}))</f>
        <v>0</v>
      </c>
      <c r="AP48" s="283">
        <f>AJ48*'Spreadsheet Key'!$A$23 + AK48*'Spreadsheet Key'!$A$24 + AL48*'Spreadsheet Key'!$A$25 + AM48*'Spreadsheet Key'!$A$26</f>
        <v>0</v>
      </c>
      <c r="AQ48" s="283" t="e">
        <f>AI48/#REF!</f>
        <v>#REF!</v>
      </c>
      <c r="AR48" s="283" t="e">
        <f>AQ48*#REF!</f>
        <v>#REF!</v>
      </c>
      <c r="AT48" s="283">
        <f t="shared" si="6"/>
        <v>0</v>
      </c>
      <c r="AU48" s="283">
        <f t="shared" si="7"/>
        <v>0</v>
      </c>
      <c r="AV48" s="283">
        <f t="shared" si="8"/>
        <v>0</v>
      </c>
      <c r="AW48" s="283" cm="1">
        <f t="array" ref="AW48">COUNTIFS($C48:$AG48,"9",$C$4:$AG$4,"1")+SUM(COUNTIFS($C48:$AG48,{"8","9"},$C$4:$AG$4,"2"))+COUNTIFS($C48:$AG48,"8",$C$4:$AG$4,"3")</f>
        <v>0</v>
      </c>
      <c r="AX48" s="283">
        <f t="shared" si="9"/>
        <v>0</v>
      </c>
      <c r="AY48" s="283">
        <f t="shared" si="10"/>
        <v>0</v>
      </c>
      <c r="AZ48" s="283">
        <f>AT48*'Spreadsheet Key'!$A$27+AU48*'Spreadsheet Key'!$A$28+AV48*'Spreadsheet Key'!$A$29+AW48*'Spreadsheet Key'!$A$30+AX48*'Spreadsheet Key'!$A$31</f>
        <v>0</v>
      </c>
      <c r="BB48" s="283" t="e">
        <f t="shared" si="11"/>
        <v>#REF!</v>
      </c>
    </row>
    <row r="49" spans="1:54">
      <c r="A49" s="266" t="s">
        <v>95</v>
      </c>
      <c r="B49" s="2480" t="s">
        <v>303</v>
      </c>
      <c r="C49" s="3065" t="s">
        <v>722</v>
      </c>
      <c r="D49" s="776"/>
      <c r="E49" s="776"/>
      <c r="F49" s="776"/>
      <c r="G49" s="776"/>
      <c r="H49" s="776"/>
      <c r="I49" s="776"/>
      <c r="J49" s="776"/>
      <c r="K49" s="776"/>
      <c r="L49" s="3014"/>
      <c r="M49" s="776"/>
      <c r="N49" s="3023" t="s">
        <v>1025</v>
      </c>
      <c r="O49" s="6137" t="s">
        <v>754</v>
      </c>
      <c r="P49" s="6137"/>
      <c r="Q49" s="6137"/>
      <c r="R49" s="3023" t="s">
        <v>1025</v>
      </c>
      <c r="S49" s="776"/>
      <c r="T49" s="3014"/>
      <c r="U49" s="776"/>
      <c r="V49" s="776"/>
      <c r="W49" s="776"/>
      <c r="X49" s="776"/>
      <c r="Y49" s="776"/>
      <c r="Z49" s="776"/>
      <c r="AA49" s="776"/>
      <c r="AB49" s="3014"/>
      <c r="AC49" s="776"/>
      <c r="AD49" s="776"/>
      <c r="AE49" s="3014" t="s">
        <v>720</v>
      </c>
      <c r="AF49" s="776"/>
      <c r="AG49" s="3066" t="s">
        <v>720</v>
      </c>
      <c r="AH49" s="3126"/>
      <c r="AI49" s="283" cm="1">
        <f t="array" ref="AI49">SUM(COUNTIFS($C49:$AG49,{"0","4","5","6","7","8","9"}))</f>
        <v>0</v>
      </c>
      <c r="AJ49" s="283" cm="1">
        <f t="array" ref="AJ49">SUM(COUNTIFS($C49:$AG49,{"0","4","5","6","7","8","9"},$C$4:$AG$4,"0"))</f>
        <v>0</v>
      </c>
      <c r="AK49" s="283" cm="1">
        <f t="array" ref="AK49">SUM(COUNTIFS($C49:$AG49,{"0","4","5","6","7","8","9"},$C$4:$AG$4,"1"))</f>
        <v>0</v>
      </c>
      <c r="AL49" s="283" cm="1">
        <f t="array" ref="AL49">SUM(COUNTIFS($C49:$AG49,{"0","4","5","6","7","8","9"},$C$4:$AG$4,"2"))</f>
        <v>0</v>
      </c>
      <c r="AM49" s="283" cm="1">
        <f t="array" ref="AM49">SUM(COUNTIFS($C49:$AG49,{"0","4","5","6","7","8","9"},$C$4:$AG$4,"3"))</f>
        <v>0</v>
      </c>
      <c r="AN49" s="283" cm="1">
        <f t="array" ref="AN49">SUM(COUNTIFS($C49:$AG49,{"1","2","3"}))</f>
        <v>0</v>
      </c>
      <c r="AO49" s="283" cm="1">
        <f t="array" ref="AO49">SUM(COUNTIFS($C49:$AG49,{"4","5","6"}))</f>
        <v>0</v>
      </c>
      <c r="AP49" s="283">
        <f>AJ49*'Spreadsheet Key'!$A$23 + AK49*'Spreadsheet Key'!$A$24 + AL49*'Spreadsheet Key'!$A$25 + AM49*'Spreadsheet Key'!$A$26</f>
        <v>0</v>
      </c>
      <c r="AQ49" s="283" t="e">
        <f>AI49/#REF!</f>
        <v>#REF!</v>
      </c>
      <c r="AR49" s="283" t="e">
        <f>AQ49*#REF!</f>
        <v>#REF!</v>
      </c>
      <c r="AT49" s="283">
        <f t="shared" si="6"/>
        <v>0</v>
      </c>
      <c r="AU49" s="283">
        <f t="shared" si="7"/>
        <v>0</v>
      </c>
      <c r="AV49" s="283">
        <f t="shared" si="8"/>
        <v>0</v>
      </c>
      <c r="AW49" s="283" cm="1">
        <f t="array" ref="AW49">COUNTIFS($C49:$AG49,"9",$C$4:$AG$4,"1")+SUM(COUNTIFS($C49:$AG49,{"8","9"},$C$4:$AG$4,"2"))+COUNTIFS($C49:$AG49,"8",$C$4:$AG$4,"3")</f>
        <v>0</v>
      </c>
      <c r="AX49" s="283">
        <f t="shared" si="9"/>
        <v>0</v>
      </c>
      <c r="AY49" s="283">
        <f t="shared" si="10"/>
        <v>0</v>
      </c>
      <c r="AZ49" s="283">
        <f>AT49*'Spreadsheet Key'!$A$27+AU49*'Spreadsheet Key'!$A$28+AV49*'Spreadsheet Key'!$A$29+AW49*'Spreadsheet Key'!$A$30+AX49*'Spreadsheet Key'!$A$31</f>
        <v>0</v>
      </c>
      <c r="BB49" s="283" t="e">
        <f t="shared" si="11"/>
        <v>#REF!</v>
      </c>
    </row>
    <row r="50" spans="1:54">
      <c r="A50" s="56" t="s">
        <v>95</v>
      </c>
      <c r="B50" s="56" t="s">
        <v>303</v>
      </c>
      <c r="C50" s="2659"/>
      <c r="D50" s="2659"/>
      <c r="E50" s="2659"/>
      <c r="F50" s="2659"/>
      <c r="G50" s="2659"/>
      <c r="H50" s="2659"/>
      <c r="I50" s="2659"/>
      <c r="J50" s="2659"/>
      <c r="K50" s="2659"/>
      <c r="L50" s="2659"/>
      <c r="M50" s="2659"/>
      <c r="N50" s="2659"/>
      <c r="O50" s="2659"/>
      <c r="P50" s="2659"/>
      <c r="Q50" s="2659"/>
      <c r="R50" s="2659"/>
      <c r="S50" s="2659"/>
      <c r="T50" s="2659"/>
      <c r="U50" s="2659"/>
      <c r="V50" s="2659"/>
      <c r="W50" s="2659"/>
      <c r="X50" s="2659"/>
      <c r="Y50" s="2659"/>
      <c r="Z50" s="2659"/>
      <c r="AA50" s="2659"/>
      <c r="AB50" s="2659"/>
      <c r="AC50" s="2659"/>
      <c r="AD50" s="2659"/>
      <c r="AE50" s="368"/>
      <c r="AF50" s="368"/>
      <c r="AG50" s="368"/>
      <c r="AH50" s="3126"/>
      <c r="AI50" s="283" cm="1">
        <f t="array" ref="AI50">SUM(COUNTIFS($C50:$AG50,{"0","4","5","6","7","8","9"}))</f>
        <v>0</v>
      </c>
      <c r="AJ50" s="283" cm="1">
        <f t="array" ref="AJ50">SUM(COUNTIFS($C50:$AG50,{"0","4","5","6","7","8","9"},$C$4:$AG$4,"0"))</f>
        <v>0</v>
      </c>
      <c r="AK50" s="283" cm="1">
        <f t="array" ref="AK50">SUM(COUNTIFS($C50:$AG50,{"0","4","5","6","7","8","9"},$C$4:$AG$4,"1"))</f>
        <v>0</v>
      </c>
      <c r="AL50" s="283" cm="1">
        <f t="array" ref="AL50">SUM(COUNTIFS($C50:$AG50,{"0","4","5","6","7","8","9"},$C$4:$AG$4,"2"))</f>
        <v>0</v>
      </c>
      <c r="AM50" s="283" cm="1">
        <f t="array" ref="AM50">SUM(COUNTIFS($C50:$AG50,{"0","4","5","6","7","8","9"},$C$4:$AG$4,"3"))</f>
        <v>0</v>
      </c>
      <c r="AN50" s="283" cm="1">
        <f t="array" ref="AN50">SUM(COUNTIFS($C50:$AG50,{"1","2","3"}))</f>
        <v>0</v>
      </c>
      <c r="AO50" s="283" cm="1">
        <f t="array" ref="AO50">SUM(COUNTIFS($C50:$AG50,{"4","5","6"}))</f>
        <v>0</v>
      </c>
      <c r="AP50" s="283">
        <f>AJ50*'Spreadsheet Key'!$A$23 + AK50*'Spreadsheet Key'!$A$24 + AL50*'Spreadsheet Key'!$A$25 + AM50*'Spreadsheet Key'!$A$26</f>
        <v>0</v>
      </c>
      <c r="AQ50" s="283" t="e">
        <f>AI50/#REF!</f>
        <v>#REF!</v>
      </c>
      <c r="AR50" s="283" t="e">
        <f>AQ50*#REF!</f>
        <v>#REF!</v>
      </c>
      <c r="AT50" s="283">
        <f t="shared" si="6"/>
        <v>0</v>
      </c>
      <c r="AU50" s="283">
        <f t="shared" si="7"/>
        <v>0</v>
      </c>
      <c r="AV50" s="283">
        <f t="shared" si="8"/>
        <v>0</v>
      </c>
      <c r="AW50" s="283" cm="1">
        <f t="array" ref="AW50">COUNTIFS($C50:$AG50,"9",$C$4:$AG$4,"1")+SUM(COUNTIFS($C50:$AG50,{"8","9"},$C$4:$AG$4,"2"))+COUNTIFS($C50:$AG50,"8",$C$4:$AG$4,"3")</f>
        <v>0</v>
      </c>
      <c r="AX50" s="283">
        <f t="shared" si="9"/>
        <v>0</v>
      </c>
      <c r="AY50" s="283">
        <f t="shared" si="10"/>
        <v>0</v>
      </c>
      <c r="AZ50" s="283">
        <f>AT50*'Spreadsheet Key'!$A$27+AU50*'Spreadsheet Key'!$A$28+AV50*'Spreadsheet Key'!$A$29+AW50*'Spreadsheet Key'!$A$30+AX50*'Spreadsheet Key'!$A$31</f>
        <v>0</v>
      </c>
      <c r="BB50" s="283" t="e">
        <f t="shared" si="11"/>
        <v>#REF!</v>
      </c>
    </row>
    <row r="51" spans="1:54">
      <c r="A51" s="68" t="s">
        <v>155</v>
      </c>
      <c r="B51" s="2393" t="s">
        <v>532</v>
      </c>
      <c r="C51" s="6138" t="s">
        <v>1143</v>
      </c>
      <c r="D51" s="6133"/>
      <c r="E51" s="6133"/>
      <c r="F51" s="6133"/>
      <c r="G51" s="6133"/>
      <c r="H51" s="6133"/>
      <c r="I51" s="6133"/>
      <c r="J51" s="6133"/>
      <c r="K51" s="6133"/>
      <c r="L51" s="6133"/>
      <c r="M51" s="6133"/>
      <c r="N51" s="6133"/>
      <c r="O51" s="6134"/>
      <c r="P51" s="321"/>
      <c r="Q51" s="3009" t="s">
        <v>720</v>
      </c>
      <c r="R51" s="321"/>
      <c r="S51" s="321"/>
      <c r="T51" s="3009" t="s">
        <v>722</v>
      </c>
      <c r="U51" s="321"/>
      <c r="V51" s="321"/>
      <c r="W51" s="3009" t="s">
        <v>722</v>
      </c>
      <c r="X51" s="321"/>
      <c r="Y51" s="321"/>
      <c r="Z51" s="321"/>
      <c r="AA51" s="321"/>
      <c r="AB51" s="321"/>
      <c r="AC51" s="321"/>
      <c r="AD51" s="321"/>
      <c r="AE51" s="321"/>
      <c r="AF51" s="321"/>
      <c r="AG51" s="321"/>
      <c r="AH51" s="3126"/>
      <c r="AI51" s="283" cm="1">
        <f t="array" ref="AI51">SUM(COUNTIFS($C51:$AG51,{"0","4","5","6","7","8","9"}))</f>
        <v>0</v>
      </c>
      <c r="AJ51" s="283" cm="1">
        <f t="array" ref="AJ51">SUM(COUNTIFS($C51:$AG51,{"0","4","5","6","7","8","9"},$C$4:$AG$4,"0"))</f>
        <v>0</v>
      </c>
      <c r="AK51" s="283" cm="1">
        <f t="array" ref="AK51">SUM(COUNTIFS($C51:$AG51,{"0","4","5","6","7","8","9"},$C$4:$AG$4,"1"))</f>
        <v>0</v>
      </c>
      <c r="AL51" s="283" cm="1">
        <f t="array" ref="AL51">SUM(COUNTIFS($C51:$AG51,{"0","4","5","6","7","8","9"},$C$4:$AG$4,"2"))</f>
        <v>0</v>
      </c>
      <c r="AM51" s="283" cm="1">
        <f t="array" ref="AM51">SUM(COUNTIFS($C51:$AG51,{"0","4","5","6","7","8","9"},$C$4:$AG$4,"3"))</f>
        <v>0</v>
      </c>
      <c r="AN51" s="283" cm="1">
        <f t="array" ref="AN51">SUM(COUNTIFS($C51:$AG51,{"1","2","3"}))</f>
        <v>0</v>
      </c>
      <c r="AO51" s="283" cm="1">
        <f t="array" ref="AO51">SUM(COUNTIFS($C51:$AG51,{"4","5","6"}))</f>
        <v>0</v>
      </c>
      <c r="AP51" s="283">
        <f>AJ51*'Spreadsheet Key'!$A$23 + AK51*'Spreadsheet Key'!$A$24 + AL51*'Spreadsheet Key'!$A$25 + AM51*'Spreadsheet Key'!$A$26</f>
        <v>0</v>
      </c>
      <c r="AQ51" s="283" t="e">
        <f>AI51/#REF!</f>
        <v>#REF!</v>
      </c>
      <c r="AR51" s="283" t="e">
        <f>AQ51*#REF!</f>
        <v>#REF!</v>
      </c>
      <c r="AT51" s="283">
        <f t="shared" si="6"/>
        <v>0</v>
      </c>
      <c r="AU51" s="283">
        <f t="shared" si="7"/>
        <v>0</v>
      </c>
      <c r="AV51" s="283">
        <f t="shared" si="8"/>
        <v>0</v>
      </c>
      <c r="AW51" s="283" cm="1">
        <f t="array" ref="AW51">COUNTIFS($C51:$AG51,"9",$C$4:$AG$4,"1")+SUM(COUNTIFS($C51:$AG51,{"8","9"},$C$4:$AG$4,"2"))+COUNTIFS($C51:$AG51,"8",$C$4:$AG$4,"3")</f>
        <v>0</v>
      </c>
      <c r="AX51" s="283">
        <f t="shared" si="9"/>
        <v>0</v>
      </c>
      <c r="AY51" s="283">
        <f t="shared" si="10"/>
        <v>0</v>
      </c>
      <c r="AZ51" s="283">
        <f>AT51*'Spreadsheet Key'!$A$27+AU51*'Spreadsheet Key'!$A$28+AV51*'Spreadsheet Key'!$A$29+AW51*'Spreadsheet Key'!$A$30+AX51*'Spreadsheet Key'!$A$31</f>
        <v>0</v>
      </c>
      <c r="BB51" s="283" t="e">
        <f t="shared" si="11"/>
        <v>#REF!</v>
      </c>
    </row>
    <row r="52" spans="1:54">
      <c r="A52" s="56" t="s">
        <v>155</v>
      </c>
      <c r="B52" s="2389" t="s">
        <v>532</v>
      </c>
      <c r="C52" s="2659"/>
      <c r="D52" s="2659"/>
      <c r="E52" s="2659"/>
      <c r="F52" s="2659"/>
      <c r="G52" s="2659"/>
      <c r="H52" s="2659"/>
      <c r="I52" s="2659"/>
      <c r="J52" s="2659"/>
      <c r="K52" s="2659"/>
      <c r="L52" s="2659"/>
      <c r="M52" s="2659"/>
      <c r="N52" s="2659"/>
      <c r="O52" s="2659"/>
      <c r="P52" s="2659"/>
      <c r="Q52" s="2659"/>
      <c r="R52" s="2659"/>
      <c r="S52" s="2659"/>
      <c r="T52" s="2659"/>
      <c r="U52" s="2659"/>
      <c r="V52" s="2659"/>
      <c r="W52" s="2659"/>
      <c r="X52" s="2659"/>
      <c r="Y52" s="2659"/>
      <c r="Z52" s="2659"/>
      <c r="AA52" s="2659"/>
      <c r="AB52" s="2659"/>
      <c r="AC52" s="2659"/>
      <c r="AD52" s="2659"/>
      <c r="AE52" s="368"/>
      <c r="AF52" s="368"/>
      <c r="AG52" s="368"/>
      <c r="AH52" s="3126"/>
      <c r="AI52" s="283" cm="1">
        <f t="array" ref="AI52">SUM(COUNTIFS($C52:$AG52,{"0","4","5","6","7","8","9"}))</f>
        <v>0</v>
      </c>
      <c r="AJ52" s="283" cm="1">
        <f t="array" ref="AJ52">SUM(COUNTIFS($C52:$AG52,{"0","4","5","6","7","8","9"},$C$4:$AG$4,"0"))</f>
        <v>0</v>
      </c>
      <c r="AK52" s="283" cm="1">
        <f t="array" ref="AK52">SUM(COUNTIFS($C52:$AG52,{"0","4","5","6","7","8","9"},$C$4:$AG$4,"1"))</f>
        <v>0</v>
      </c>
      <c r="AL52" s="283" cm="1">
        <f t="array" ref="AL52">SUM(COUNTIFS($C52:$AG52,{"0","4","5","6","7","8","9"},$C$4:$AG$4,"2"))</f>
        <v>0</v>
      </c>
      <c r="AM52" s="283" cm="1">
        <f t="array" ref="AM52">SUM(COUNTIFS($C52:$AG52,{"0","4","5","6","7","8","9"},$C$4:$AG$4,"3"))</f>
        <v>0</v>
      </c>
      <c r="AN52" s="283" cm="1">
        <f t="array" ref="AN52">SUM(COUNTIFS($C52:$AG52,{"1","2","3"}))</f>
        <v>0</v>
      </c>
      <c r="AO52" s="283" cm="1">
        <f t="array" ref="AO52">SUM(COUNTIFS($C52:$AG52,{"4","5","6"}))</f>
        <v>0</v>
      </c>
      <c r="AP52" s="283">
        <f>AJ52*'Spreadsheet Key'!$A$23 + AK52*'Spreadsheet Key'!$A$24 + AL52*'Spreadsheet Key'!$A$25 + AM52*'Spreadsheet Key'!$A$26</f>
        <v>0</v>
      </c>
      <c r="AQ52" s="283" t="e">
        <f>AI52/#REF!</f>
        <v>#REF!</v>
      </c>
      <c r="AR52" s="283" t="e">
        <f>AQ52*#REF!</f>
        <v>#REF!</v>
      </c>
      <c r="AT52" s="283">
        <f t="shared" si="6"/>
        <v>0</v>
      </c>
      <c r="AU52" s="283">
        <f t="shared" si="7"/>
        <v>0</v>
      </c>
      <c r="AV52" s="283">
        <f t="shared" si="8"/>
        <v>0</v>
      </c>
      <c r="AW52" s="283" cm="1">
        <f t="array" ref="AW52">COUNTIFS($C52:$AG52,"9",$C$4:$AG$4,"1")+SUM(COUNTIFS($C52:$AG52,{"8","9"},$C$4:$AG$4,"2"))+COUNTIFS($C52:$AG52,"8",$C$4:$AG$4,"3")</f>
        <v>0</v>
      </c>
      <c r="AX52" s="283">
        <f t="shared" si="9"/>
        <v>0</v>
      </c>
      <c r="AY52" s="283">
        <f t="shared" si="10"/>
        <v>0</v>
      </c>
      <c r="AZ52" s="283">
        <f>AT52*'Spreadsheet Key'!$A$27+AU52*'Spreadsheet Key'!$A$28+AV52*'Spreadsheet Key'!$A$29+AW52*'Spreadsheet Key'!$A$30+AX52*'Spreadsheet Key'!$A$31</f>
        <v>0</v>
      </c>
      <c r="BB52" s="283" t="e">
        <f t="shared" si="11"/>
        <v>#REF!</v>
      </c>
    </row>
    <row r="53" spans="1:54">
      <c r="A53" s="266" t="s">
        <v>100</v>
      </c>
      <c r="B53" s="2480" t="s">
        <v>725</v>
      </c>
      <c r="C53" s="6131" t="s">
        <v>1143</v>
      </c>
      <c r="D53" s="6132"/>
      <c r="E53" s="6132"/>
      <c r="F53" s="6132"/>
      <c r="G53" s="6132"/>
      <c r="H53" s="6132"/>
      <c r="I53" s="6132"/>
      <c r="J53" s="6132"/>
      <c r="K53" s="6132"/>
      <c r="L53" s="6132"/>
      <c r="M53" s="778"/>
      <c r="N53" s="778"/>
      <c r="O53" s="778"/>
      <c r="P53" s="778"/>
      <c r="Q53" s="778"/>
      <c r="R53" s="778"/>
      <c r="S53" s="778"/>
      <c r="T53" s="778"/>
      <c r="U53" s="778"/>
      <c r="V53" s="778"/>
      <c r="W53" s="778"/>
      <c r="X53" s="778"/>
      <c r="Y53" s="778"/>
      <c r="Z53" s="778"/>
      <c r="AA53" s="778"/>
      <c r="AB53" s="778"/>
      <c r="AC53" s="778"/>
      <c r="AD53" s="778"/>
      <c r="AE53" s="778"/>
      <c r="AF53" s="778"/>
      <c r="AG53" s="805"/>
      <c r="AH53" s="3126"/>
      <c r="AI53" s="283" cm="1">
        <f t="array" ref="AI53">SUM(COUNTIFS($C53:$AG53,{"0","4","5","6","7","8","9"}))</f>
        <v>0</v>
      </c>
      <c r="AJ53" s="283" cm="1">
        <f t="array" ref="AJ53">SUM(COUNTIFS($C53:$AG53,{"0","4","5","6","7","8","9"},$C$4:$AG$4,"0"))</f>
        <v>0</v>
      </c>
      <c r="AK53" s="283" cm="1">
        <f t="array" ref="AK53">SUM(COUNTIFS($C53:$AG53,{"0","4","5","6","7","8","9"},$C$4:$AG$4,"1"))</f>
        <v>0</v>
      </c>
      <c r="AL53" s="283" cm="1">
        <f t="array" ref="AL53">SUM(COUNTIFS($C53:$AG53,{"0","4","5","6","7","8","9"},$C$4:$AG$4,"2"))</f>
        <v>0</v>
      </c>
      <c r="AM53" s="283" cm="1">
        <f t="array" ref="AM53">SUM(COUNTIFS($C53:$AG53,{"0","4","5","6","7","8","9"},$C$4:$AG$4,"3"))</f>
        <v>0</v>
      </c>
      <c r="AN53" s="283" cm="1">
        <f t="array" ref="AN53">SUM(COUNTIFS($C53:$AG53,{"1","2","3"}))</f>
        <v>0</v>
      </c>
      <c r="AO53" s="283" cm="1">
        <f t="array" ref="AO53">SUM(COUNTIFS($C53:$AG53,{"4","5","6"}))</f>
        <v>0</v>
      </c>
      <c r="AP53" s="283">
        <f>AJ53*'Spreadsheet Key'!$A$23 + AK53*'Spreadsheet Key'!$A$24 + AL53*'Spreadsheet Key'!$A$25 + AM53*'Spreadsheet Key'!$A$26</f>
        <v>0</v>
      </c>
      <c r="AQ53" s="283" t="e">
        <f>AI53/#REF!</f>
        <v>#REF!</v>
      </c>
      <c r="AR53" s="283" t="e">
        <f>AQ53*#REF!</f>
        <v>#REF!</v>
      </c>
      <c r="AT53" s="283">
        <f t="shared" si="6"/>
        <v>0</v>
      </c>
      <c r="AU53" s="283">
        <f t="shared" si="7"/>
        <v>0</v>
      </c>
      <c r="AV53" s="283">
        <f t="shared" si="8"/>
        <v>0</v>
      </c>
      <c r="AW53" s="283" cm="1">
        <f t="array" ref="AW53">COUNTIFS($C53:$AG53,"9",$C$4:$AG$4,"1")+SUM(COUNTIFS($C53:$AG53,{"8","9"},$C$4:$AG$4,"2"))+COUNTIFS($C53:$AG53,"8",$C$4:$AG$4,"3")</f>
        <v>0</v>
      </c>
      <c r="AX53" s="283">
        <f t="shared" si="9"/>
        <v>0</v>
      </c>
      <c r="AY53" s="283">
        <f t="shared" si="10"/>
        <v>0</v>
      </c>
      <c r="AZ53" s="283">
        <f>AT53*'Spreadsheet Key'!$A$27+AU53*'Spreadsheet Key'!$A$28+AV53*'Spreadsheet Key'!$A$29+AW53*'Spreadsheet Key'!$A$30+AX53*'Spreadsheet Key'!$A$31</f>
        <v>0</v>
      </c>
      <c r="BB53" s="283" t="e">
        <f t="shared" si="11"/>
        <v>#REF!</v>
      </c>
    </row>
    <row r="54" spans="1:54">
      <c r="A54" s="56" t="s">
        <v>100</v>
      </c>
      <c r="B54" s="56" t="s">
        <v>725</v>
      </c>
      <c r="C54" s="2659"/>
      <c r="D54" s="2659"/>
      <c r="E54" s="2659"/>
      <c r="F54" s="2659"/>
      <c r="G54" s="2659"/>
      <c r="H54" s="2659"/>
      <c r="I54" s="2659"/>
      <c r="J54" s="2659"/>
      <c r="K54" s="2659"/>
      <c r="L54" s="2659"/>
      <c r="M54" s="2659"/>
      <c r="N54" s="2659"/>
      <c r="O54" s="2659"/>
      <c r="P54" s="2659"/>
      <c r="Q54" s="2659"/>
      <c r="R54" s="2659"/>
      <c r="S54" s="2659"/>
      <c r="T54" s="2659"/>
      <c r="U54" s="2659"/>
      <c r="V54" s="2659"/>
      <c r="W54" s="2659"/>
      <c r="X54" s="2659"/>
      <c r="Y54" s="2659"/>
      <c r="Z54" s="2659"/>
      <c r="AA54" s="2659"/>
      <c r="AB54" s="2659"/>
      <c r="AC54" s="2659"/>
      <c r="AD54" s="2659"/>
      <c r="AE54" s="368"/>
      <c r="AF54" s="368"/>
      <c r="AG54" s="368"/>
      <c r="AH54" s="3126"/>
      <c r="AI54" s="283" cm="1">
        <f t="array" ref="AI54">SUM(COUNTIFS($C54:$AG54,{"0","4","5","6","7","8","9"}))</f>
        <v>0</v>
      </c>
      <c r="AJ54" s="283" cm="1">
        <f t="array" ref="AJ54">SUM(COUNTIFS($C54:$AG54,{"0","4","5","6","7","8","9"},$C$4:$AG$4,"0"))</f>
        <v>0</v>
      </c>
      <c r="AK54" s="283" cm="1">
        <f t="array" ref="AK54">SUM(COUNTIFS($C54:$AG54,{"0","4","5","6","7","8","9"},$C$4:$AG$4,"1"))</f>
        <v>0</v>
      </c>
      <c r="AL54" s="283" cm="1">
        <f t="array" ref="AL54">SUM(COUNTIFS($C54:$AG54,{"0","4","5","6","7","8","9"},$C$4:$AG$4,"2"))</f>
        <v>0</v>
      </c>
      <c r="AM54" s="283" cm="1">
        <f t="array" ref="AM54">SUM(COUNTIFS($C54:$AG54,{"0","4","5","6","7","8","9"},$C$4:$AG$4,"3"))</f>
        <v>0</v>
      </c>
      <c r="AN54" s="283" cm="1">
        <f t="array" ref="AN54">SUM(COUNTIFS($C54:$AG54,{"1","2","3"}))</f>
        <v>0</v>
      </c>
      <c r="AO54" s="283" cm="1">
        <f t="array" ref="AO54">SUM(COUNTIFS($C54:$AG54,{"4","5","6"}))</f>
        <v>0</v>
      </c>
      <c r="AP54" s="283">
        <f>AJ54*'Spreadsheet Key'!$A$23 + AK54*'Spreadsheet Key'!$A$24 + AL54*'Spreadsheet Key'!$A$25 + AM54*'Spreadsheet Key'!$A$26</f>
        <v>0</v>
      </c>
      <c r="AQ54" s="283">
        <v>0</v>
      </c>
      <c r="AR54" s="283">
        <v>0</v>
      </c>
      <c r="AT54" s="283">
        <f t="shared" si="6"/>
        <v>0</v>
      </c>
      <c r="AU54" s="283">
        <f t="shared" si="7"/>
        <v>0</v>
      </c>
      <c r="AV54" s="283">
        <f t="shared" si="8"/>
        <v>0</v>
      </c>
      <c r="AW54" s="283" cm="1">
        <f t="array" ref="AW54">COUNTIFS($C54:$AG54,"9",$C$4:$AG$4,"1")+SUM(COUNTIFS($C54:$AG54,{"8","9"},$C$4:$AG$4,"2"))+COUNTIFS($C54:$AG54,"8",$C$4:$AG$4,"3")</f>
        <v>0</v>
      </c>
      <c r="AX54" s="283">
        <f t="shared" si="9"/>
        <v>0</v>
      </c>
      <c r="AY54" s="283">
        <f t="shared" si="10"/>
        <v>0</v>
      </c>
      <c r="AZ54" s="283">
        <f>AT54*'Spreadsheet Key'!$A$27+AU54*'Spreadsheet Key'!$A$28+AV54*'Spreadsheet Key'!$A$29+AW54*'Spreadsheet Key'!$A$30+AX54*'Spreadsheet Key'!$A$31</f>
        <v>0</v>
      </c>
      <c r="BB54" s="283">
        <f t="shared" si="11"/>
        <v>0</v>
      </c>
    </row>
    <row r="55" spans="1:54">
      <c r="A55" s="2396" t="s">
        <v>283</v>
      </c>
      <c r="B55" s="2396" t="s">
        <v>201</v>
      </c>
      <c r="C55" s="4434" t="s">
        <v>1143</v>
      </c>
      <c r="D55" s="6133"/>
      <c r="E55" s="6133"/>
      <c r="F55" s="6133"/>
      <c r="G55" s="6133"/>
      <c r="H55" s="6133"/>
      <c r="I55" s="6133"/>
      <c r="J55" s="6133"/>
      <c r="K55" s="6133"/>
      <c r="L55" s="6133"/>
      <c r="M55" s="6133"/>
      <c r="N55" s="6133"/>
      <c r="O55" s="6134"/>
      <c r="P55" s="778"/>
      <c r="Q55" s="778"/>
      <c r="R55" s="778"/>
      <c r="S55" s="778"/>
      <c r="T55" s="778"/>
      <c r="U55" s="778"/>
      <c r="V55" s="778"/>
      <c r="W55" s="778"/>
      <c r="X55" s="778"/>
      <c r="Y55" s="778"/>
      <c r="Z55" s="2437" t="s">
        <v>720</v>
      </c>
      <c r="AA55" s="778"/>
      <c r="AB55" s="778"/>
      <c r="AC55" s="778"/>
      <c r="AD55" s="3102" t="s">
        <v>251</v>
      </c>
      <c r="AE55" s="6135" t="s">
        <v>1146</v>
      </c>
      <c r="AF55" s="6136"/>
      <c r="AG55" s="3102" t="s">
        <v>251</v>
      </c>
      <c r="AH55" s="3126"/>
      <c r="AI55" s="283" cm="1">
        <f t="array" ref="AI55">SUM(COUNTIFS($C55:$AG55,{"0","4","5","6","7","8","9"}))</f>
        <v>0</v>
      </c>
      <c r="AJ55" s="283" cm="1">
        <f t="array" ref="AJ55">SUM(COUNTIFS($C55:$AG55,{"0","4","5","6","7","8","9"},$C$4:$AG$4,"0"))</f>
        <v>0</v>
      </c>
      <c r="AK55" s="283" cm="1">
        <f t="array" ref="AK55">SUM(COUNTIFS($C55:$AG55,{"0","4","5","6","7","8","9"},$C$4:$AG$4,"1"))</f>
        <v>0</v>
      </c>
      <c r="AL55" s="283" cm="1">
        <f t="array" ref="AL55">SUM(COUNTIFS($C55:$AG55,{"0","4","5","6","7","8","9"},$C$4:$AG$4,"2"))</f>
        <v>0</v>
      </c>
      <c r="AM55" s="283" cm="1">
        <f t="array" ref="AM55">SUM(COUNTIFS($C55:$AG55,{"0","4","5","6","7","8","9"},$C$4:$AG$4,"3"))</f>
        <v>0</v>
      </c>
      <c r="AN55" s="283" cm="1">
        <f t="array" ref="AN55">SUM(COUNTIFS($C55:$AG55,{"1","2","3"}))</f>
        <v>0</v>
      </c>
      <c r="AO55" s="283" cm="1">
        <f t="array" ref="AO55">SUM(COUNTIFS($C55:$AG55,{"4","5","6"}))</f>
        <v>0</v>
      </c>
      <c r="AP55" s="283">
        <f>AJ55*'Spreadsheet Key'!$A$23 + AK55*'Spreadsheet Key'!$A$24 + AL55*'Spreadsheet Key'!$A$25 + AM55*'Spreadsheet Key'!$A$26</f>
        <v>0</v>
      </c>
      <c r="AQ55" s="283" t="e">
        <f>AI55/#REF!</f>
        <v>#REF!</v>
      </c>
      <c r="AR55" s="283" t="e">
        <f>AQ55*#REF!</f>
        <v>#REF!</v>
      </c>
      <c r="AT55" s="283">
        <f t="shared" si="6"/>
        <v>0</v>
      </c>
      <c r="AU55" s="283">
        <f t="shared" si="7"/>
        <v>0</v>
      </c>
      <c r="AV55" s="283">
        <f t="shared" si="8"/>
        <v>0</v>
      </c>
      <c r="AW55" s="283" cm="1">
        <f t="array" ref="AW55">COUNTIFS($C55:$AG55,"9",$C$4:$AG$4,"1")+SUM(COUNTIFS($C55:$AG55,{"8","9"},$C$4:$AG$4,"2"))+COUNTIFS($C55:$AG55,"8",$C$4:$AG$4,"3")</f>
        <v>0</v>
      </c>
      <c r="AX55" s="283">
        <f t="shared" si="9"/>
        <v>0</v>
      </c>
      <c r="AY55" s="283">
        <f t="shared" si="10"/>
        <v>0</v>
      </c>
      <c r="AZ55" s="283">
        <f>AT55*'Spreadsheet Key'!$A$27+AU55*'Spreadsheet Key'!$A$28+AV55*'Spreadsheet Key'!$A$29+AW55*'Spreadsheet Key'!$A$30+AX55*'Spreadsheet Key'!$A$31</f>
        <v>0</v>
      </c>
      <c r="BB55" s="283" t="e">
        <f t="shared" si="11"/>
        <v>#REF!</v>
      </c>
    </row>
    <row r="56" spans="1:54">
      <c r="A56" s="2389" t="s">
        <v>283</v>
      </c>
      <c r="B56" s="2389" t="s">
        <v>201</v>
      </c>
      <c r="C56" s="2659"/>
      <c r="D56" s="2659"/>
      <c r="E56" s="2659"/>
      <c r="F56" s="2659"/>
      <c r="G56" s="2659"/>
      <c r="H56" s="2659"/>
      <c r="I56" s="2659"/>
      <c r="J56" s="2659"/>
      <c r="K56" s="2659"/>
      <c r="L56" s="2659"/>
      <c r="M56" s="2659"/>
      <c r="N56" s="2659"/>
      <c r="O56" s="2659"/>
      <c r="P56" s="2659"/>
      <c r="Q56" s="2659"/>
      <c r="R56" s="2659"/>
      <c r="S56" s="2659"/>
      <c r="T56" s="2659"/>
      <c r="U56" s="2659"/>
      <c r="V56" s="2659"/>
      <c r="W56" s="2659"/>
      <c r="X56" s="2659"/>
      <c r="Y56" s="2659"/>
      <c r="Z56" s="2659"/>
      <c r="AA56" s="2659"/>
      <c r="AB56" s="2659"/>
      <c r="AC56" s="2659"/>
      <c r="AD56" s="2659"/>
      <c r="AE56" s="368"/>
      <c r="AF56" s="368"/>
      <c r="AG56" s="368"/>
      <c r="AH56" s="3126"/>
      <c r="AI56" s="283" cm="1">
        <f t="array" ref="AI56">SUM(COUNTIFS($C56:$AG56,{"0","4","5","6","7","8","9"}))</f>
        <v>0</v>
      </c>
      <c r="AJ56" s="283" cm="1">
        <f t="array" ref="AJ56">SUM(COUNTIFS($C56:$AG56,{"0","4","5","6","7","8","9"},$C$4:$AG$4,"0"))</f>
        <v>0</v>
      </c>
      <c r="AK56" s="283" cm="1">
        <f t="array" ref="AK56">SUM(COUNTIFS($C56:$AG56,{"0","4","5","6","7","8","9"},$C$4:$AG$4,"1"))</f>
        <v>0</v>
      </c>
      <c r="AL56" s="283" cm="1">
        <f t="array" ref="AL56">SUM(COUNTIFS($C56:$AG56,{"0","4","5","6","7","8","9"},$C$4:$AG$4,"2"))</f>
        <v>0</v>
      </c>
      <c r="AM56" s="283" cm="1">
        <f t="array" ref="AM56">SUM(COUNTIFS($C56:$AG56,{"0","4","5","6","7","8","9"},$C$4:$AG$4,"3"))</f>
        <v>0</v>
      </c>
      <c r="AN56" s="283" cm="1">
        <f t="array" ref="AN56">SUM(COUNTIFS($C56:$AG56,{"1","2","3"}))</f>
        <v>0</v>
      </c>
      <c r="AO56" s="283" cm="1">
        <f t="array" ref="AO56">SUM(COUNTIFS($C56:$AG56,{"4","5","6"}))</f>
        <v>0</v>
      </c>
      <c r="AP56" s="283">
        <f>AJ56*'Spreadsheet Key'!$A$23 + AK56*'Spreadsheet Key'!$A$24 + AL56*'Spreadsheet Key'!$A$25 + AM56*'Spreadsheet Key'!$A$26</f>
        <v>0</v>
      </c>
      <c r="AQ56" s="283">
        <v>0</v>
      </c>
      <c r="AR56" s="283">
        <v>0</v>
      </c>
      <c r="AT56" s="283">
        <f t="shared" si="6"/>
        <v>0</v>
      </c>
      <c r="AU56" s="283">
        <f t="shared" si="7"/>
        <v>0</v>
      </c>
      <c r="AV56" s="283">
        <f t="shared" si="8"/>
        <v>0</v>
      </c>
      <c r="AW56" s="283" cm="1">
        <f t="array" ref="AW56">COUNTIFS($C56:$AG56,"9",$C$4:$AG$4,"1")+SUM(COUNTIFS($C56:$AG56,{"8","9"},$C$4:$AG$4,"2"))+COUNTIFS($C56:$AG56,"8",$C$4:$AG$4,"3")</f>
        <v>0</v>
      </c>
      <c r="AX56" s="283">
        <f t="shared" si="9"/>
        <v>0</v>
      </c>
      <c r="AY56" s="283">
        <f t="shared" si="10"/>
        <v>0</v>
      </c>
      <c r="AZ56" s="283">
        <f>AT56*'Spreadsheet Key'!$A$27+AU56*'Spreadsheet Key'!$A$28+AV56*'Spreadsheet Key'!$A$29+AW56*'Spreadsheet Key'!$A$30+AX56*'Spreadsheet Key'!$A$31</f>
        <v>0</v>
      </c>
      <c r="BB56" s="283">
        <f t="shared" si="11"/>
        <v>0</v>
      </c>
    </row>
    <row r="57" spans="1:54">
      <c r="AE57" s="368"/>
      <c r="AF57" s="368"/>
      <c r="AG57" s="368"/>
      <c r="AI57" s="368">
        <f>SUM(AI5:AI52)</f>
        <v>31</v>
      </c>
      <c r="AJ57" s="368">
        <f>SUM(AJ5:AJ52)</f>
        <v>14</v>
      </c>
      <c r="AK57" s="368">
        <f>SUM(AK5:AK52)</f>
        <v>5</v>
      </c>
      <c r="AL57" s="368">
        <f>SUM(AL5:AL52)</f>
        <v>7</v>
      </c>
      <c r="AM57" s="368">
        <f>SUM(AM5:AM52)</f>
        <v>5</v>
      </c>
      <c r="AQ57" s="283" t="e">
        <f>SUM(AQ5:AQ56)</f>
        <v>#REF!</v>
      </c>
      <c r="AR57" s="283" t="e">
        <f>SUM(AR5:AR56)</f>
        <v>#REF!</v>
      </c>
      <c r="BB57" s="283" t="e">
        <f>SUM(BB5:BB56)</f>
        <v>#REF!</v>
      </c>
    </row>
    <row r="58" spans="1:54">
      <c r="AE58" s="368"/>
      <c r="AF58" s="368"/>
      <c r="AG58" s="368"/>
      <c r="BB58" s="283" t="e">
        <f>STDEV(BB5:BB52)</f>
        <v>#REF!</v>
      </c>
    </row>
    <row r="59" spans="1:54">
      <c r="A59" t="s">
        <v>1151</v>
      </c>
      <c r="C59">
        <f>COUNTIF(C5:AG56,"D")</f>
        <v>31</v>
      </c>
      <c r="AE59" s="368"/>
      <c r="AF59" s="368"/>
      <c r="AG59" s="368"/>
    </row>
    <row r="60" spans="1:54">
      <c r="A60" t="s">
        <v>1152</v>
      </c>
      <c r="C60">
        <f>COUNTIF(C5:AG56,"8")</f>
        <v>2</v>
      </c>
      <c r="AE60" s="368"/>
      <c r="AF60" s="368"/>
      <c r="AG60" s="368"/>
    </row>
    <row r="61" spans="1:54">
      <c r="A61" t="s">
        <v>1153</v>
      </c>
      <c r="C61">
        <f>COUNTIF(C5:AG56,"N")</f>
        <v>31</v>
      </c>
    </row>
    <row r="62" spans="1:54">
      <c r="A62" t="s">
        <v>1154</v>
      </c>
      <c r="C62">
        <f>COUNTIF(C5:AG56,"9")</f>
        <v>1</v>
      </c>
    </row>
  </sheetData>
  <mergeCells count="40">
    <mergeCell ref="AC35:AG35"/>
    <mergeCell ref="T37:W37"/>
    <mergeCell ref="C39:O39"/>
    <mergeCell ref="AC39:AG39"/>
    <mergeCell ref="T45:W45"/>
    <mergeCell ref="C31:O31"/>
    <mergeCell ref="C33:N33"/>
    <mergeCell ref="T33:W33"/>
    <mergeCell ref="C35:O35"/>
    <mergeCell ref="X35:Z35"/>
    <mergeCell ref="X5:Z5"/>
    <mergeCell ref="AD5:AG5"/>
    <mergeCell ref="X7:Z7"/>
    <mergeCell ref="X9:Z9"/>
    <mergeCell ref="A4:B4"/>
    <mergeCell ref="AI1:BF1"/>
    <mergeCell ref="A2:B2"/>
    <mergeCell ref="A3:B3"/>
    <mergeCell ref="AI3:AR3"/>
    <mergeCell ref="AT3:AZ3"/>
    <mergeCell ref="C1:AG1"/>
    <mergeCell ref="A1:B1"/>
    <mergeCell ref="V11:W11"/>
    <mergeCell ref="Y11:AC11"/>
    <mergeCell ref="X13:Z13"/>
    <mergeCell ref="C15:D15"/>
    <mergeCell ref="T15:W15"/>
    <mergeCell ref="C17:O17"/>
    <mergeCell ref="V17:AG17"/>
    <mergeCell ref="M19:AG19"/>
    <mergeCell ref="AE21:AF21"/>
    <mergeCell ref="Z23:AG23"/>
    <mergeCell ref="C53:L53"/>
    <mergeCell ref="C55:O55"/>
    <mergeCell ref="AE55:AF55"/>
    <mergeCell ref="C43:P43"/>
    <mergeCell ref="T43:W43"/>
    <mergeCell ref="X43:AG43"/>
    <mergeCell ref="O49:Q49"/>
    <mergeCell ref="C51:O51"/>
  </mergeCells>
  <conditionalFormatting sqref="BB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9:BB1048576 BB1:BB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409B-1100-4657-8ADC-4F0312970B9A}">
  <dimension ref="A1:E18"/>
  <sheetViews>
    <sheetView workbookViewId="0"/>
  </sheetViews>
  <sheetFormatPr defaultRowHeight="15"/>
  <cols>
    <col min="1" max="1" width="29.28515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 t="e">
        <f>SUM(COUNTIF(#REF!,"0"))</f>
        <v>#REF!</v>
      </c>
      <c r="C2" t="e">
        <f>B2*'Spreadsheet Key'!A23</f>
        <v>#REF!</v>
      </c>
    </row>
    <row r="3" spans="1:5">
      <c r="A3" t="s">
        <v>1159</v>
      </c>
      <c r="B3" t="e">
        <f>SUM(COUNTIF(#REF!,"1"))</f>
        <v>#REF!</v>
      </c>
      <c r="C3" t="e">
        <f>B3*'Spreadsheet Key'!A24</f>
        <v>#REF!</v>
      </c>
    </row>
    <row r="4" spans="1:5">
      <c r="A4" t="s">
        <v>1160</v>
      </c>
      <c r="B4" t="e">
        <f>SUM(COUNTIF(#REF!,"2"))</f>
        <v>#REF!</v>
      </c>
      <c r="C4" t="e">
        <f>B4*'Spreadsheet Key'!A25</f>
        <v>#REF!</v>
      </c>
    </row>
    <row r="5" spans="1:5">
      <c r="A5" t="s">
        <v>1161</v>
      </c>
      <c r="B5" t="e">
        <f>SUM(COUNTIF(#REF!,"3"))</f>
        <v>#REF!</v>
      </c>
      <c r="C5" t="e">
        <f>B5*'Spreadsheet Key'!A26</f>
        <v>#REF!</v>
      </c>
    </row>
    <row r="6" spans="1:5">
      <c r="A6" t="s">
        <v>571</v>
      </c>
      <c r="B6" t="e">
        <f>SUM(B2:B5)</f>
        <v>#REF!</v>
      </c>
      <c r="C6" t="e">
        <f>SUM(C2:C5)</f>
        <v>#REF!</v>
      </c>
    </row>
    <row r="7" spans="1:5">
      <c r="A7" t="s">
        <v>1162</v>
      </c>
      <c r="B7" t="e">
        <f>2*B6/$B$10</f>
        <v>#REF!</v>
      </c>
      <c r="C7" t="e">
        <f>C6/$B$10</f>
        <v>#REF!</v>
      </c>
    </row>
    <row r="9" spans="1:5">
      <c r="A9" t="s">
        <v>1163</v>
      </c>
      <c r="B9" t="s">
        <v>1164</v>
      </c>
    </row>
    <row r="10" spans="1:5">
      <c r="A10" t="s">
        <v>1117</v>
      </c>
      <c r="B10">
        <f>COUNTA(#REF!)/2</f>
        <v>0.5</v>
      </c>
      <c r="E10" t="s">
        <v>1165</v>
      </c>
    </row>
    <row r="12" spans="1:5">
      <c r="A12" t="s">
        <v>1166</v>
      </c>
      <c r="B12" t="s">
        <v>1155</v>
      </c>
      <c r="C12" t="s">
        <v>1156</v>
      </c>
    </row>
    <row r="13" spans="1:5">
      <c r="A13" t="s">
        <v>1158</v>
      </c>
      <c r="B13" t="e">
        <f>SUM(#REF!)</f>
        <v>#REF!</v>
      </c>
      <c r="C13" t="e">
        <f>B13*'Spreadsheet Key'!A23</f>
        <v>#REF!</v>
      </c>
    </row>
    <row r="14" spans="1:5">
      <c r="A14" t="s">
        <v>1159</v>
      </c>
      <c r="B14" t="e">
        <f>SUM(#REF!)</f>
        <v>#REF!</v>
      </c>
      <c r="C14" t="e">
        <f>B14*'Spreadsheet Key'!A24</f>
        <v>#REF!</v>
      </c>
    </row>
    <row r="15" spans="1:5">
      <c r="A15" t="s">
        <v>1160</v>
      </c>
      <c r="B15" t="e">
        <f>SUM(#REF!)</f>
        <v>#REF!</v>
      </c>
      <c r="C15" t="e">
        <f>B15*'Spreadsheet Key'!A25</f>
        <v>#REF!</v>
      </c>
    </row>
    <row r="16" spans="1:5">
      <c r="A16" t="s">
        <v>1161</v>
      </c>
      <c r="B16" t="e">
        <f>SUM(#REF!)</f>
        <v>#REF!</v>
      </c>
      <c r="C16" t="e">
        <f>B16*'Spreadsheet Key'!A26</f>
        <v>#REF!</v>
      </c>
    </row>
    <row r="17" spans="1:3">
      <c r="A17" t="s">
        <v>571</v>
      </c>
      <c r="B17" t="e">
        <f>SUM(B13:B16)</f>
        <v>#REF!</v>
      </c>
      <c r="C17" t="e">
        <f>SUM(C13:C16)</f>
        <v>#REF!</v>
      </c>
    </row>
    <row r="18" spans="1:3">
      <c r="A18" t="s">
        <v>1167</v>
      </c>
      <c r="B18" t="e">
        <f>B17/B10</f>
        <v>#REF!</v>
      </c>
      <c r="C18" t="e">
        <f>C17/$B10</f>
        <v>#REF!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9282-381B-4EC0-ABA1-5DFB98745C68}">
  <sheetPr>
    <pageSetUpPr fitToPage="1"/>
  </sheetPr>
  <dimension ref="A1:AE70"/>
  <sheetViews>
    <sheetView zoomScale="85" zoomScaleNormal="85" workbookViewId="0">
      <pane xSplit="3" ySplit="3" topLeftCell="D47" activePane="bottomRight" state="frozen"/>
      <selection pane="bottomRight" activeCell="B47" sqref="B47"/>
      <selection pane="bottomLeft"/>
      <selection pane="topRight"/>
    </sheetView>
  </sheetViews>
  <sheetFormatPr defaultRowHeight="15"/>
  <cols>
    <col min="3" max="3" width="14" customWidth="1"/>
    <col min="18" max="18" width="9.28515625" bestFit="1" customWidth="1"/>
  </cols>
  <sheetData>
    <row r="1" spans="1:31">
      <c r="A1" s="6204" t="s">
        <v>29</v>
      </c>
      <c r="B1" s="6205"/>
      <c r="C1" s="6205"/>
      <c r="D1" s="6147" t="s">
        <v>1168</v>
      </c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8"/>
    </row>
    <row r="2" spans="1:31">
      <c r="A2" s="6206" t="s">
        <v>31</v>
      </c>
      <c r="B2" s="4304"/>
      <c r="C2" s="4304"/>
      <c r="D2" s="3588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588">
        <v>24</v>
      </c>
      <c r="AB2" s="3588">
        <v>25</v>
      </c>
      <c r="AC2" s="3588">
        <v>26</v>
      </c>
      <c r="AD2" s="3588">
        <v>27</v>
      </c>
      <c r="AE2" s="2867">
        <v>28</v>
      </c>
    </row>
    <row r="3" spans="1:31">
      <c r="A3" s="6206" t="s">
        <v>32</v>
      </c>
      <c r="B3" s="4304"/>
      <c r="C3" s="4304"/>
      <c r="D3" s="1267" t="s">
        <v>36</v>
      </c>
      <c r="E3" s="1267" t="s">
        <v>36</v>
      </c>
      <c r="F3" s="3588" t="s">
        <v>37</v>
      </c>
      <c r="G3" s="2942" t="s">
        <v>33</v>
      </c>
      <c r="H3" s="2942" t="s">
        <v>34</v>
      </c>
      <c r="I3" s="3588" t="s">
        <v>33</v>
      </c>
      <c r="J3" s="3588" t="s">
        <v>35</v>
      </c>
      <c r="K3" s="1267" t="s">
        <v>36</v>
      </c>
      <c r="L3" s="1267" t="s">
        <v>36</v>
      </c>
      <c r="M3" s="1267" t="s">
        <v>37</v>
      </c>
      <c r="N3" s="2942" t="s">
        <v>33</v>
      </c>
      <c r="O3" s="2942" t="s">
        <v>34</v>
      </c>
      <c r="P3" s="3588" t="s">
        <v>33</v>
      </c>
      <c r="Q3" s="2942" t="s">
        <v>35</v>
      </c>
      <c r="R3" s="2945" t="s">
        <v>36</v>
      </c>
      <c r="S3" s="2945" t="s">
        <v>36</v>
      </c>
      <c r="T3" s="2945" t="s">
        <v>37</v>
      </c>
      <c r="U3" s="2945" t="s">
        <v>33</v>
      </c>
      <c r="V3" s="2942" t="s">
        <v>34</v>
      </c>
      <c r="W3" s="3588" t="s">
        <v>33</v>
      </c>
      <c r="X3" s="3588" t="s">
        <v>35</v>
      </c>
      <c r="Y3" s="1267" t="s">
        <v>36</v>
      </c>
      <c r="Z3" s="1267" t="s">
        <v>36</v>
      </c>
      <c r="AA3" s="3588" t="s">
        <v>37</v>
      </c>
      <c r="AB3" s="2942" t="s">
        <v>33</v>
      </c>
      <c r="AC3" s="2942" t="s">
        <v>34</v>
      </c>
      <c r="AD3" s="3588" t="s">
        <v>33</v>
      </c>
      <c r="AE3" s="2867" t="s">
        <v>35</v>
      </c>
    </row>
    <row r="4" spans="1:31" ht="15.75">
      <c r="A4" s="6207" t="s">
        <v>38</v>
      </c>
      <c r="B4" s="6208"/>
      <c r="C4" s="6208"/>
      <c r="D4" s="779"/>
      <c r="E4" s="779"/>
      <c r="F4" s="779"/>
      <c r="G4" s="779"/>
      <c r="H4" s="779"/>
      <c r="I4" s="779"/>
      <c r="J4" s="779"/>
      <c r="K4" s="779"/>
      <c r="L4" s="779"/>
      <c r="M4" s="3071" t="s">
        <v>1169</v>
      </c>
      <c r="N4" s="374"/>
      <c r="O4" s="374"/>
      <c r="P4" s="374"/>
      <c r="Q4" s="3083"/>
      <c r="R4" s="6209" t="s">
        <v>1170</v>
      </c>
      <c r="S4" s="6209"/>
      <c r="T4" s="6209"/>
      <c r="U4" s="6210"/>
      <c r="V4" s="374"/>
      <c r="W4" s="374"/>
      <c r="X4" s="374"/>
      <c r="Y4" s="374"/>
      <c r="Z4" s="374"/>
      <c r="AA4" s="374"/>
      <c r="AB4" s="374"/>
      <c r="AC4" s="374"/>
      <c r="AD4" s="374"/>
      <c r="AE4" s="976"/>
    </row>
    <row r="5" spans="1:31" ht="15.75" customHeight="1">
      <c r="A5" s="6211" t="s">
        <v>1171</v>
      </c>
      <c r="B5" s="6211"/>
      <c r="C5" s="6212"/>
      <c r="D5" s="779"/>
      <c r="E5" s="4488" t="s">
        <v>1172</v>
      </c>
      <c r="F5" s="4489"/>
      <c r="G5" s="4489"/>
      <c r="H5" s="4489"/>
      <c r="I5" s="779"/>
      <c r="J5" s="779"/>
      <c r="K5" s="779"/>
      <c r="L5" s="779"/>
      <c r="M5" s="779"/>
      <c r="N5" s="6213" t="s">
        <v>1173</v>
      </c>
      <c r="O5" s="6211"/>
      <c r="P5" s="6212"/>
      <c r="Q5" s="779"/>
      <c r="R5" s="779"/>
      <c r="S5" s="779"/>
      <c r="T5" s="779"/>
      <c r="U5" s="779"/>
      <c r="V5" s="779"/>
      <c r="W5" s="779"/>
      <c r="X5" s="374"/>
      <c r="Y5" s="374"/>
      <c r="Z5" s="374"/>
      <c r="AA5" s="374"/>
      <c r="AB5" s="374"/>
      <c r="AC5" s="374"/>
      <c r="AD5" s="374"/>
      <c r="AE5" s="976"/>
    </row>
    <row r="6" spans="1:31">
      <c r="A6" s="4569" t="s">
        <v>1174</v>
      </c>
      <c r="B6" s="4310"/>
      <c r="C6" s="4310"/>
      <c r="D6" s="779"/>
      <c r="E6" s="779"/>
      <c r="F6" s="779"/>
      <c r="G6" s="779"/>
      <c r="H6" s="779"/>
      <c r="I6" s="779"/>
      <c r="J6" s="779"/>
      <c r="K6" s="3100" t="s">
        <v>1175</v>
      </c>
      <c r="L6" s="3101"/>
      <c r="M6" s="374"/>
      <c r="N6" s="374"/>
      <c r="O6" s="779"/>
      <c r="P6" s="779"/>
      <c r="Q6" s="374"/>
      <c r="R6" s="374"/>
      <c r="S6" s="374"/>
      <c r="T6" s="374"/>
      <c r="U6" s="374"/>
      <c r="V6" s="374"/>
      <c r="W6" s="374"/>
      <c r="X6" s="374"/>
      <c r="Y6" s="374"/>
      <c r="Z6" s="374"/>
      <c r="AA6" s="374"/>
      <c r="AB6" s="374"/>
      <c r="AC6" s="374"/>
      <c r="AD6" s="374"/>
      <c r="AE6" s="976"/>
    </row>
    <row r="7" spans="1:31">
      <c r="A7" s="4618" t="s">
        <v>1176</v>
      </c>
      <c r="B7" s="4307"/>
      <c r="C7" s="4307"/>
      <c r="D7" s="779"/>
      <c r="E7" s="779"/>
      <c r="F7" s="374"/>
      <c r="G7" s="374"/>
      <c r="H7" s="779"/>
      <c r="I7" s="779"/>
      <c r="J7" s="779"/>
      <c r="K7" s="779"/>
      <c r="L7" s="779"/>
      <c r="M7" s="779"/>
      <c r="N7" s="779"/>
      <c r="O7" s="779"/>
      <c r="P7" s="779"/>
      <c r="Q7" s="374"/>
      <c r="R7" s="374"/>
      <c r="S7" s="779"/>
      <c r="T7" s="779"/>
      <c r="U7" s="779"/>
      <c r="V7" s="779"/>
      <c r="W7" s="779"/>
      <c r="X7" s="779"/>
      <c r="Y7" s="779"/>
      <c r="Z7" s="779"/>
      <c r="AA7" s="779"/>
      <c r="AB7" s="779"/>
      <c r="AC7" s="380"/>
      <c r="AD7" s="380"/>
      <c r="AE7" s="804"/>
    </row>
    <row r="8" spans="1:31">
      <c r="A8" s="4557" t="s">
        <v>1177</v>
      </c>
      <c r="B8" s="4558"/>
      <c r="C8" s="4558"/>
      <c r="D8" s="779"/>
      <c r="E8" s="779"/>
      <c r="F8" s="779"/>
      <c r="G8" s="779"/>
      <c r="H8" s="779"/>
      <c r="I8" s="779"/>
      <c r="J8" s="779"/>
      <c r="K8" s="779"/>
      <c r="L8" s="779"/>
      <c r="M8" s="374"/>
      <c r="N8" s="374"/>
      <c r="O8" s="374"/>
      <c r="P8" s="374"/>
      <c r="Q8" s="374"/>
      <c r="R8" s="374"/>
      <c r="S8" s="374"/>
      <c r="T8" s="374"/>
      <c r="U8" s="374"/>
      <c r="V8" s="374"/>
      <c r="W8" s="374"/>
      <c r="X8" s="374"/>
      <c r="Y8" s="374"/>
      <c r="Z8" s="374"/>
      <c r="AA8" s="374"/>
      <c r="AB8" s="374"/>
      <c r="AC8" s="374"/>
      <c r="AD8" s="374"/>
      <c r="AE8" s="976"/>
    </row>
    <row r="9" spans="1:31">
      <c r="A9" s="6196" t="s">
        <v>225</v>
      </c>
      <c r="B9" s="4518"/>
      <c r="C9" s="4519"/>
      <c r="D9" s="380"/>
      <c r="E9" s="380"/>
      <c r="F9" s="380"/>
      <c r="G9" s="6192" t="s">
        <v>1178</v>
      </c>
      <c r="H9" s="6193"/>
      <c r="I9" s="779"/>
      <c r="J9" s="779"/>
      <c r="K9" s="779"/>
      <c r="L9" s="779"/>
      <c r="M9" s="779"/>
      <c r="N9" s="380"/>
      <c r="O9" s="380"/>
      <c r="P9" s="779"/>
      <c r="Q9" s="779"/>
      <c r="R9" s="779"/>
      <c r="S9" s="779"/>
      <c r="T9" s="779"/>
      <c r="U9" s="779"/>
      <c r="V9" s="779"/>
      <c r="W9" s="779"/>
      <c r="X9" s="779"/>
      <c r="Y9" s="2940"/>
      <c r="Z9" s="779"/>
      <c r="AA9" s="779"/>
      <c r="AB9" s="779"/>
      <c r="AC9" s="380"/>
      <c r="AD9" s="380"/>
      <c r="AE9" s="804"/>
    </row>
    <row r="10" spans="1:31">
      <c r="A10" s="6197" t="s">
        <v>272</v>
      </c>
      <c r="B10" s="6198"/>
      <c r="C10" s="6199"/>
      <c r="D10" s="779"/>
      <c r="E10" s="779"/>
      <c r="F10" s="779"/>
      <c r="G10" s="779"/>
      <c r="H10" s="779"/>
      <c r="I10" s="779"/>
      <c r="J10" s="779"/>
      <c r="K10" s="779"/>
      <c r="L10" s="779"/>
      <c r="M10" s="374"/>
      <c r="N10" s="374"/>
      <c r="O10" s="374"/>
      <c r="P10" s="374"/>
      <c r="Q10" s="374"/>
      <c r="R10" s="374"/>
      <c r="S10" s="374"/>
      <c r="T10" s="374"/>
      <c r="U10" s="374"/>
      <c r="V10" s="374"/>
      <c r="W10" s="374"/>
      <c r="X10" s="374"/>
      <c r="Y10" s="374"/>
      <c r="Z10" s="374"/>
      <c r="AA10" s="374"/>
      <c r="AB10" s="374"/>
      <c r="AC10" s="374"/>
      <c r="AD10" s="374"/>
      <c r="AE10" s="976"/>
    </row>
    <row r="11" spans="1:31">
      <c r="A11" s="6200" t="s">
        <v>1179</v>
      </c>
      <c r="B11" s="6201"/>
      <c r="C11" s="6202"/>
      <c r="D11" s="779"/>
      <c r="E11" s="779"/>
      <c r="F11" s="779"/>
      <c r="G11" s="779"/>
      <c r="H11" s="779"/>
      <c r="I11" s="779"/>
      <c r="J11" s="779"/>
      <c r="K11" s="779"/>
      <c r="L11" s="779"/>
      <c r="M11" s="374"/>
      <c r="N11" s="374"/>
      <c r="O11" s="374"/>
      <c r="P11" s="374"/>
      <c r="Q11" s="374"/>
      <c r="R11" s="374"/>
      <c r="S11" s="374"/>
      <c r="T11" s="374"/>
      <c r="U11" s="374"/>
      <c r="V11" s="3058" t="s">
        <v>1180</v>
      </c>
      <c r="W11" s="374"/>
      <c r="X11" s="374"/>
      <c r="Y11" s="374"/>
      <c r="Z11" s="374"/>
      <c r="AA11" s="374"/>
      <c r="AB11" s="374"/>
      <c r="AC11" s="374"/>
      <c r="AD11" s="374"/>
      <c r="AE11" s="374"/>
    </row>
    <row r="12" spans="1:31" ht="15.75">
      <c r="A12" s="5050" t="s">
        <v>60</v>
      </c>
      <c r="B12" s="4834"/>
      <c r="C12" s="4840"/>
      <c r="D12" s="779"/>
      <c r="E12" s="779"/>
      <c r="F12" s="779"/>
      <c r="G12" s="779"/>
      <c r="H12" s="779"/>
      <c r="I12" s="779"/>
      <c r="J12" s="779"/>
      <c r="K12" s="779"/>
      <c r="L12" s="779"/>
      <c r="M12" s="374"/>
      <c r="N12" s="374"/>
      <c r="O12" s="374"/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976"/>
    </row>
    <row r="13" spans="1:31" ht="15.75">
      <c r="A13" s="6203" t="s">
        <v>593</v>
      </c>
      <c r="B13" s="4998"/>
      <c r="C13" s="5995"/>
      <c r="D13" s="779"/>
      <c r="E13" s="779"/>
      <c r="F13" s="779"/>
      <c r="G13" s="779"/>
      <c r="H13" s="779"/>
      <c r="I13" s="779"/>
      <c r="J13" s="779"/>
      <c r="K13" s="779"/>
      <c r="L13" s="779"/>
      <c r="M13" s="668"/>
      <c r="N13" s="797"/>
      <c r="O13" s="797"/>
      <c r="P13" s="797"/>
      <c r="Q13" s="374"/>
      <c r="R13" s="374"/>
      <c r="S13" s="374"/>
      <c r="T13" s="374"/>
      <c r="U13" s="374"/>
      <c r="V13" s="374"/>
      <c r="W13" s="374"/>
      <c r="X13" s="3041" t="s">
        <v>1180</v>
      </c>
      <c r="Y13" s="374"/>
      <c r="Z13" s="374"/>
      <c r="AA13" s="374"/>
      <c r="AB13" s="374"/>
      <c r="AC13" s="374"/>
      <c r="AD13" s="374"/>
      <c r="AE13" s="976"/>
    </row>
    <row r="14" spans="1:31">
      <c r="A14" s="5287" t="s">
        <v>63</v>
      </c>
      <c r="B14" s="4313"/>
      <c r="C14" s="4313"/>
      <c r="D14" s="779"/>
      <c r="E14" s="779"/>
      <c r="F14" s="374"/>
      <c r="G14" s="374"/>
      <c r="H14" s="779"/>
      <c r="I14" s="779"/>
      <c r="J14" s="779"/>
      <c r="K14" s="779"/>
      <c r="L14" s="779"/>
      <c r="M14" s="930"/>
      <c r="N14" s="4487" t="s">
        <v>1181</v>
      </c>
      <c r="O14" s="5278"/>
      <c r="P14" s="374"/>
      <c r="Q14" s="2630"/>
      <c r="R14" s="2939"/>
      <c r="S14" s="2939"/>
      <c r="T14" s="779"/>
      <c r="U14" s="779"/>
      <c r="V14" s="779"/>
      <c r="W14" s="779"/>
      <c r="X14" s="779"/>
      <c r="Y14" s="779"/>
      <c r="Z14" s="779"/>
      <c r="AA14" s="779"/>
      <c r="AB14" s="779"/>
      <c r="AC14" s="380"/>
      <c r="AD14" s="380"/>
      <c r="AE14" s="804"/>
    </row>
    <row r="15" spans="1:31">
      <c r="A15" s="5968" t="s">
        <v>990</v>
      </c>
      <c r="B15" s="5969"/>
      <c r="C15" s="5969"/>
      <c r="D15" s="779"/>
      <c r="E15" s="779"/>
      <c r="F15" s="779"/>
      <c r="G15" s="779"/>
      <c r="H15" s="779"/>
      <c r="I15" s="779"/>
      <c r="J15" s="779"/>
      <c r="K15" s="779"/>
      <c r="L15" s="779"/>
      <c r="M15" s="374"/>
      <c r="N15" s="795"/>
      <c r="O15" s="796"/>
      <c r="P15" s="374"/>
      <c r="Q15" s="2630"/>
      <c r="R15" s="374"/>
      <c r="S15" s="374"/>
      <c r="T15" s="374"/>
      <c r="U15" s="374"/>
      <c r="V15" s="374"/>
      <c r="W15" s="374"/>
      <c r="X15" s="374"/>
      <c r="Y15" s="374"/>
      <c r="Z15" s="374"/>
      <c r="AA15" s="374"/>
      <c r="AB15" s="374"/>
      <c r="AC15" s="374"/>
      <c r="AD15" s="374"/>
      <c r="AE15" s="976"/>
    </row>
    <row r="16" spans="1:31">
      <c r="A16" s="4620" t="s">
        <v>54</v>
      </c>
      <c r="B16" s="4621"/>
      <c r="C16" s="4621"/>
      <c r="D16" s="779"/>
      <c r="E16" s="779"/>
      <c r="F16" s="374"/>
      <c r="G16" s="374"/>
      <c r="H16" s="779"/>
      <c r="I16" s="779"/>
      <c r="J16" s="779"/>
      <c r="K16" s="779"/>
      <c r="L16" s="779"/>
      <c r="M16" s="779"/>
      <c r="N16" s="380"/>
      <c r="O16" s="380"/>
      <c r="P16" s="795"/>
      <c r="Q16" s="374"/>
      <c r="R16" s="779"/>
      <c r="S16" s="779"/>
      <c r="T16" s="779"/>
      <c r="U16" s="779"/>
      <c r="V16" s="779"/>
      <c r="W16" s="779"/>
      <c r="X16" s="779"/>
      <c r="Y16" s="779"/>
      <c r="Z16" s="779"/>
      <c r="AA16" s="779"/>
      <c r="AB16" s="779"/>
      <c r="AC16" s="380"/>
      <c r="AD16" s="5789" t="s">
        <v>1182</v>
      </c>
      <c r="AE16" s="6195"/>
    </row>
    <row r="17" spans="1:31">
      <c r="A17" s="4631" t="s">
        <v>171</v>
      </c>
      <c r="B17" s="4632"/>
      <c r="C17" s="4632"/>
      <c r="D17" s="779"/>
      <c r="E17" s="779"/>
      <c r="F17" s="374"/>
      <c r="G17" s="374"/>
      <c r="H17" s="779"/>
      <c r="I17" s="779"/>
      <c r="J17" s="779"/>
      <c r="K17" s="779"/>
      <c r="L17" s="779"/>
      <c r="M17" s="779"/>
      <c r="N17" s="380"/>
      <c r="O17" s="380"/>
      <c r="P17" s="374"/>
      <c r="Q17" s="374"/>
      <c r="R17" s="779"/>
      <c r="S17" s="779"/>
      <c r="T17" s="779"/>
      <c r="U17" s="779"/>
      <c r="V17" s="779"/>
      <c r="W17" s="779"/>
      <c r="X17" s="779"/>
      <c r="Y17" s="779"/>
      <c r="Z17" s="2941"/>
      <c r="AA17" s="779"/>
      <c r="AB17" s="779"/>
      <c r="AC17" s="380"/>
      <c r="AD17" s="380"/>
      <c r="AE17" s="804"/>
    </row>
    <row r="18" spans="1:31">
      <c r="A18" s="5972" t="s">
        <v>520</v>
      </c>
      <c r="B18" s="5795"/>
      <c r="C18" s="5795"/>
      <c r="D18" s="779"/>
      <c r="E18" s="779"/>
      <c r="F18" s="779"/>
      <c r="G18" s="779"/>
      <c r="H18" s="779"/>
      <c r="I18" s="779"/>
      <c r="J18" s="779"/>
      <c r="K18" s="779"/>
      <c r="L18" s="779"/>
      <c r="M18" s="374"/>
      <c r="N18" s="374"/>
      <c r="O18" s="374"/>
      <c r="P18" s="374"/>
      <c r="Q18" s="374"/>
      <c r="R18" s="374"/>
      <c r="S18" s="374"/>
      <c r="T18" s="374"/>
      <c r="U18" s="374"/>
      <c r="V18" s="374"/>
      <c r="W18" s="374"/>
      <c r="X18" s="374"/>
      <c r="Y18" s="374"/>
      <c r="Z18" s="374"/>
      <c r="AA18" s="374"/>
      <c r="AB18" s="374"/>
      <c r="AC18" s="374"/>
      <c r="AD18" s="374"/>
      <c r="AE18" s="976"/>
    </row>
    <row r="19" spans="1:31">
      <c r="A19" s="4827" t="s">
        <v>64</v>
      </c>
      <c r="B19" s="4827"/>
      <c r="C19" s="4827"/>
      <c r="D19" s="779"/>
      <c r="E19" s="822"/>
      <c r="F19" s="374"/>
      <c r="G19" s="930"/>
      <c r="H19" s="783"/>
      <c r="I19" s="2287"/>
      <c r="J19" s="2287"/>
      <c r="K19" s="822"/>
      <c r="L19" s="822"/>
      <c r="M19" s="779"/>
      <c r="N19" s="380"/>
      <c r="O19" s="852"/>
      <c r="P19" s="797"/>
      <c r="Q19" s="797"/>
      <c r="R19" s="780"/>
      <c r="S19" s="779"/>
      <c r="T19" s="779"/>
      <c r="U19" s="779"/>
      <c r="V19" s="780"/>
      <c r="W19" s="780"/>
      <c r="X19" s="780"/>
      <c r="Y19" s="779"/>
      <c r="Z19" s="779"/>
      <c r="AA19" s="779"/>
      <c r="AB19" s="779"/>
      <c r="AC19" s="380"/>
      <c r="AD19" s="380"/>
      <c r="AE19" s="804"/>
    </row>
    <row r="20" spans="1:31">
      <c r="A20" s="4630" t="s">
        <v>993</v>
      </c>
      <c r="B20" s="4314"/>
      <c r="C20" s="4314"/>
      <c r="D20" s="779"/>
      <c r="E20" s="779"/>
      <c r="F20" s="5579" t="s">
        <v>1183</v>
      </c>
      <c r="G20" s="5873"/>
      <c r="H20" s="5873"/>
      <c r="I20" s="5873"/>
      <c r="J20" s="5580"/>
      <c r="K20" s="779"/>
      <c r="L20" s="779"/>
      <c r="M20" s="779"/>
      <c r="N20" s="380"/>
      <c r="O20" s="380"/>
      <c r="P20" s="374"/>
      <c r="Q20" s="374"/>
      <c r="R20" s="779"/>
      <c r="S20" s="779"/>
      <c r="T20" s="779"/>
      <c r="U20" s="779"/>
      <c r="V20" s="779"/>
      <c r="W20" s="779"/>
      <c r="X20" s="779"/>
      <c r="Y20" s="779"/>
      <c r="Z20" s="779"/>
      <c r="AA20" s="779"/>
      <c r="AB20" s="779"/>
      <c r="AC20" s="380"/>
      <c r="AD20" s="380"/>
      <c r="AE20" s="804"/>
    </row>
    <row r="21" spans="1:31">
      <c r="A21" s="5964" t="s">
        <v>540</v>
      </c>
      <c r="B21" s="4315"/>
      <c r="C21" s="4315"/>
      <c r="D21" s="779"/>
      <c r="E21" s="779"/>
      <c r="F21" s="779"/>
      <c r="G21" s="779"/>
      <c r="H21" s="779"/>
      <c r="I21" s="779"/>
      <c r="J21" s="779"/>
      <c r="K21" s="779"/>
      <c r="L21" s="779"/>
      <c r="M21" s="374"/>
      <c r="N21" s="6164" t="s">
        <v>1184</v>
      </c>
      <c r="O21" s="5569"/>
      <c r="P21" s="5569"/>
      <c r="Q21" s="6165"/>
      <c r="R21" s="374"/>
      <c r="S21" s="374"/>
      <c r="T21" s="374"/>
      <c r="U21" s="374"/>
      <c r="V21" s="374"/>
      <c r="W21" s="374"/>
      <c r="X21" s="374"/>
      <c r="Y21" s="374"/>
      <c r="Z21" s="374"/>
      <c r="AA21" s="374"/>
      <c r="AB21" s="374"/>
      <c r="AC21" s="374"/>
      <c r="AD21" s="374"/>
      <c r="AE21" s="976"/>
    </row>
    <row r="22" spans="1:31">
      <c r="A22" s="4399" t="s">
        <v>541</v>
      </c>
      <c r="B22" s="4316"/>
      <c r="C22" s="4316"/>
      <c r="D22" s="779"/>
      <c r="E22" s="779"/>
      <c r="F22" s="779"/>
      <c r="G22" s="779"/>
      <c r="H22" s="779"/>
      <c r="I22" s="779"/>
      <c r="J22" s="779"/>
      <c r="K22" s="779"/>
      <c r="L22" s="779"/>
      <c r="M22" s="847"/>
      <c r="N22" s="779"/>
      <c r="O22" s="779"/>
      <c r="P22" s="779"/>
      <c r="Q22" s="779"/>
      <c r="R22" s="822"/>
      <c r="S22" s="779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804"/>
    </row>
    <row r="23" spans="1:31">
      <c r="A23" s="4629" t="s">
        <v>322</v>
      </c>
      <c r="B23" s="4318"/>
      <c r="C23" s="4318"/>
      <c r="D23" s="779"/>
      <c r="E23" s="779"/>
      <c r="F23" s="779"/>
      <c r="G23" s="779"/>
      <c r="H23" s="779"/>
      <c r="I23" s="779"/>
      <c r="J23" s="779"/>
      <c r="K23" s="779"/>
      <c r="L23" s="779"/>
      <c r="M23" s="847"/>
      <c r="N23" s="779"/>
      <c r="O23" s="779"/>
      <c r="P23" s="779"/>
      <c r="Q23" s="779"/>
      <c r="R23" s="822"/>
      <c r="S23" s="779"/>
      <c r="T23" s="779"/>
      <c r="U23" s="779"/>
      <c r="V23" s="779"/>
      <c r="W23" s="779"/>
      <c r="X23" s="779"/>
      <c r="Y23" s="779"/>
      <c r="Z23" s="779"/>
      <c r="AA23" s="779"/>
      <c r="AB23" s="779"/>
      <c r="AC23" s="779"/>
      <c r="AD23" s="779"/>
      <c r="AE23" s="804"/>
    </row>
    <row r="24" spans="1:31">
      <c r="A24" s="4356" t="s">
        <v>1070</v>
      </c>
      <c r="B24" s="4626"/>
      <c r="C24" s="4602"/>
      <c r="D24" s="779"/>
      <c r="E24" s="779"/>
      <c r="F24" s="779"/>
      <c r="G24" s="779"/>
      <c r="H24" s="779"/>
      <c r="I24" s="779"/>
      <c r="J24" s="779"/>
      <c r="K24" s="779"/>
      <c r="L24" s="779"/>
      <c r="M24" s="779"/>
      <c r="N24" s="778"/>
      <c r="O24" s="778"/>
      <c r="P24" s="778"/>
      <c r="Q24" s="778"/>
      <c r="R24" s="779"/>
      <c r="S24" s="779"/>
      <c r="T24" s="779"/>
      <c r="U24" s="779"/>
      <c r="V24" s="779"/>
      <c r="W24" s="779"/>
      <c r="X24" s="779"/>
      <c r="Y24" s="779"/>
      <c r="Z24" s="779"/>
      <c r="AA24" s="779"/>
      <c r="AB24" s="779"/>
      <c r="AC24" s="779"/>
      <c r="AD24" s="779"/>
      <c r="AE24" s="804"/>
    </row>
    <row r="25" spans="1:31">
      <c r="A25" s="5884" t="s">
        <v>482</v>
      </c>
      <c r="B25" s="5885"/>
      <c r="C25" s="5885"/>
      <c r="D25" s="2379"/>
      <c r="E25" s="2938"/>
      <c r="F25" s="2938"/>
      <c r="G25" s="2938"/>
      <c r="H25" s="2938"/>
      <c r="I25" s="2938"/>
      <c r="J25" s="2938"/>
      <c r="K25" s="2938"/>
      <c r="L25" s="2938"/>
      <c r="M25" s="2938"/>
      <c r="N25" s="2938"/>
      <c r="O25" s="2938"/>
      <c r="P25" s="2938"/>
      <c r="Q25" s="2938"/>
      <c r="R25" s="780"/>
      <c r="S25" s="780"/>
      <c r="T25" s="780"/>
      <c r="U25" s="780"/>
      <c r="V25" s="780"/>
      <c r="W25" s="780"/>
      <c r="X25" s="780"/>
      <c r="Y25" s="780"/>
      <c r="Z25" s="780"/>
      <c r="AA25" s="780"/>
      <c r="AB25" s="780"/>
      <c r="AC25" s="780"/>
      <c r="AD25" s="780"/>
      <c r="AE25" s="806"/>
    </row>
    <row r="26" spans="1:31">
      <c r="A26" s="2958" t="s">
        <v>66</v>
      </c>
      <c r="B26" s="266" t="s">
        <v>67</v>
      </c>
      <c r="C26" s="2480" t="s">
        <v>458</v>
      </c>
      <c r="D26" s="3094"/>
      <c r="E26" s="3030"/>
      <c r="F26" s="3030"/>
      <c r="G26" s="3030"/>
      <c r="H26" s="3030"/>
      <c r="I26" s="3030"/>
      <c r="J26" s="3030"/>
      <c r="K26" s="3030"/>
      <c r="L26" s="3030"/>
      <c r="M26" s="3030"/>
      <c r="N26" s="937"/>
      <c r="O26" s="937"/>
      <c r="P26" s="937"/>
      <c r="Q26" s="937"/>
      <c r="R26" s="937"/>
      <c r="S26" s="937"/>
      <c r="T26" s="461"/>
      <c r="U26" s="3019" t="s">
        <v>1025</v>
      </c>
      <c r="V26" s="3701" t="s">
        <v>1185</v>
      </c>
      <c r="W26" s="3019" t="s">
        <v>1025</v>
      </c>
      <c r="X26" s="937"/>
      <c r="Y26" s="937"/>
      <c r="Z26" s="937"/>
      <c r="AA26" s="937"/>
      <c r="AB26" s="937"/>
      <c r="AC26" s="937"/>
      <c r="AD26" s="937"/>
      <c r="AE26" s="1333"/>
    </row>
    <row r="27" spans="1:31" s="1704" customFormat="1" ht="18.75" customHeight="1">
      <c r="A27" s="64" t="s">
        <v>73</v>
      </c>
      <c r="B27" s="56" t="s">
        <v>67</v>
      </c>
      <c r="C27" s="522" t="s">
        <v>714</v>
      </c>
      <c r="D27" s="3095"/>
      <c r="E27" s="2894"/>
      <c r="F27" s="2894"/>
      <c r="G27" s="2894"/>
      <c r="H27" s="2894"/>
      <c r="I27" s="2894"/>
      <c r="J27" s="3019" t="s">
        <v>1025</v>
      </c>
      <c r="K27" s="4508" t="s">
        <v>1186</v>
      </c>
      <c r="L27" s="4508"/>
      <c r="M27" s="2599" t="s">
        <v>1025</v>
      </c>
      <c r="N27" s="6164" t="s">
        <v>1184</v>
      </c>
      <c r="O27" s="5569"/>
      <c r="P27" s="5569"/>
      <c r="Q27" s="6165"/>
      <c r="R27" s="2599" t="s">
        <v>1025</v>
      </c>
      <c r="S27" s="3685"/>
      <c r="T27" s="3685"/>
      <c r="U27" s="3685"/>
      <c r="V27" s="3685"/>
      <c r="W27" s="3685"/>
      <c r="X27" s="3685"/>
      <c r="Y27" s="3685"/>
      <c r="Z27" s="3685"/>
      <c r="AA27" s="3685"/>
      <c r="AB27" s="3685"/>
      <c r="AC27" s="3685"/>
      <c r="AD27" s="3685"/>
      <c r="AE27" s="1634"/>
    </row>
    <row r="28" spans="1:31" s="1704" customFormat="1" ht="18.75" customHeight="1">
      <c r="A28" s="2484" t="s">
        <v>599</v>
      </c>
      <c r="B28" s="816" t="s">
        <v>543</v>
      </c>
      <c r="C28" s="3067" t="s">
        <v>544</v>
      </c>
      <c r="D28" s="3096"/>
      <c r="E28" s="3097"/>
      <c r="F28" s="3097"/>
      <c r="G28" s="3097"/>
      <c r="H28" s="3097"/>
      <c r="I28" s="3097"/>
      <c r="J28" s="3097"/>
      <c r="K28" s="3097"/>
      <c r="L28" s="3097"/>
      <c r="M28" s="3097"/>
      <c r="N28" s="3097"/>
      <c r="O28" s="3097"/>
      <c r="P28" s="3097"/>
      <c r="Q28" s="3097"/>
      <c r="R28" s="3097"/>
      <c r="S28" s="3097"/>
      <c r="T28" s="1646"/>
      <c r="U28" s="1646"/>
      <c r="V28" s="1646"/>
      <c r="W28" s="1646"/>
      <c r="X28" s="1646"/>
      <c r="Y28" s="1646"/>
      <c r="Z28" s="1646"/>
      <c r="AA28" s="1646"/>
      <c r="AB28" s="1646"/>
      <c r="AC28" s="1646"/>
      <c r="AD28" s="1646"/>
      <c r="AE28" s="1647"/>
    </row>
    <row r="29" spans="1:31">
      <c r="A29" s="6116" t="s">
        <v>84</v>
      </c>
      <c r="B29" s="1923" t="s">
        <v>85</v>
      </c>
      <c r="C29" s="3090" t="s">
        <v>716</v>
      </c>
      <c r="D29" s="3091"/>
      <c r="E29" s="2653"/>
      <c r="F29" s="2653"/>
      <c r="G29" s="2653"/>
      <c r="H29" s="2653"/>
      <c r="I29" s="2653"/>
      <c r="J29" s="2653"/>
      <c r="K29" s="2653"/>
      <c r="L29" s="2653"/>
      <c r="M29" s="2653"/>
      <c r="N29" s="2758"/>
      <c r="O29" s="2758"/>
      <c r="P29" s="2653"/>
      <c r="Q29" s="2653"/>
      <c r="R29" s="2653"/>
      <c r="S29" s="3092"/>
      <c r="T29" s="2653"/>
      <c r="U29" s="2653"/>
      <c r="V29" s="2653"/>
      <c r="W29" s="2653"/>
      <c r="X29" s="2653"/>
      <c r="Y29" s="2653"/>
      <c r="Z29" s="2653"/>
      <c r="AA29" s="2653"/>
      <c r="AB29" s="2653"/>
      <c r="AC29" s="2653"/>
      <c r="AD29" s="2653"/>
      <c r="AE29" s="3093"/>
    </row>
    <row r="30" spans="1:31">
      <c r="A30" s="6118"/>
      <c r="B30" s="68" t="s">
        <v>283</v>
      </c>
      <c r="C30" s="3027" t="s">
        <v>1187</v>
      </c>
      <c r="D30" s="3089"/>
      <c r="E30" s="2887"/>
      <c r="F30" s="2887"/>
      <c r="G30" s="2887"/>
      <c r="H30" s="2887"/>
      <c r="I30" s="2887"/>
      <c r="J30" s="2887"/>
      <c r="K30" s="2887"/>
      <c r="L30" s="2887"/>
      <c r="M30" s="2887"/>
      <c r="N30" s="1342"/>
      <c r="O30" s="1342"/>
      <c r="P30" s="2887"/>
      <c r="Q30" s="2887"/>
      <c r="R30" s="2887"/>
      <c r="S30" s="3068"/>
      <c r="T30" s="2887"/>
      <c r="U30" s="2887"/>
      <c r="V30" s="2887"/>
      <c r="W30" s="2887"/>
      <c r="X30" s="2887"/>
      <c r="Y30" s="2887"/>
      <c r="Z30" s="2887"/>
      <c r="AA30" s="2887"/>
      <c r="AB30" s="2887"/>
      <c r="AC30" s="2887"/>
      <c r="AD30" s="2887"/>
      <c r="AE30" s="3069"/>
    </row>
    <row r="31" spans="1:31">
      <c r="A31" s="6167" t="s">
        <v>92</v>
      </c>
      <c r="B31" s="266" t="s">
        <v>561</v>
      </c>
      <c r="C31" s="266" t="s">
        <v>718</v>
      </c>
      <c r="D31" s="6132" t="s">
        <v>1188</v>
      </c>
      <c r="E31" s="6132"/>
      <c r="F31" s="6132"/>
      <c r="G31" s="6132"/>
      <c r="H31" s="6132"/>
      <c r="I31" s="6132"/>
      <c r="J31" s="6132"/>
      <c r="K31" s="3023" t="s">
        <v>1025</v>
      </c>
      <c r="L31" s="3023" t="s">
        <v>1025</v>
      </c>
      <c r="M31" s="3023" t="s">
        <v>1025</v>
      </c>
      <c r="N31" s="6164" t="s">
        <v>1184</v>
      </c>
      <c r="O31" s="5569"/>
      <c r="P31" s="5569"/>
      <c r="Q31" s="6165"/>
      <c r="R31" s="3021" t="s">
        <v>1025</v>
      </c>
      <c r="S31" s="2437"/>
      <c r="T31" s="2437"/>
      <c r="U31" s="2437"/>
      <c r="V31" s="2437"/>
      <c r="W31" s="2437"/>
      <c r="X31" s="2437"/>
      <c r="Y31" s="2437"/>
      <c r="Z31" s="2437"/>
      <c r="AA31" s="2770" t="s">
        <v>720</v>
      </c>
      <c r="AB31" s="2437"/>
      <c r="AC31" s="2437"/>
      <c r="AD31" s="2437"/>
      <c r="AE31" s="2437"/>
    </row>
    <row r="32" spans="1:31">
      <c r="A32" s="6117"/>
      <c r="B32" s="56" t="s">
        <v>326</v>
      </c>
      <c r="C32" s="56" t="s">
        <v>327</v>
      </c>
      <c r="D32" s="3011" t="s">
        <v>251</v>
      </c>
      <c r="E32" s="3011" t="s">
        <v>251</v>
      </c>
      <c r="F32" s="779"/>
      <c r="G32" s="2434" t="s">
        <v>720</v>
      </c>
      <c r="H32" s="779"/>
      <c r="I32" s="779"/>
      <c r="J32" s="3010" t="s">
        <v>1025</v>
      </c>
      <c r="K32" s="4310" t="s">
        <v>1186</v>
      </c>
      <c r="L32" s="4310"/>
      <c r="M32" s="3707" t="s">
        <v>1025</v>
      </c>
      <c r="N32" s="2260"/>
      <c r="O32" s="1671"/>
      <c r="P32" s="2260"/>
      <c r="Q32" s="2260"/>
      <c r="R32" s="2894"/>
      <c r="S32" s="822"/>
      <c r="T32" s="2434" t="s">
        <v>720</v>
      </c>
      <c r="U32" s="779"/>
      <c r="V32" s="779"/>
      <c r="W32" s="779"/>
      <c r="X32" s="2434" t="s">
        <v>722</v>
      </c>
      <c r="Y32" s="779"/>
      <c r="Z32" s="2434"/>
      <c r="AA32" s="2434"/>
      <c r="AB32" s="779"/>
      <c r="AC32" s="779"/>
      <c r="AD32" s="779"/>
      <c r="AE32" s="804"/>
    </row>
    <row r="33" spans="1:31">
      <c r="A33" s="6118"/>
      <c r="B33" s="68" t="s">
        <v>606</v>
      </c>
      <c r="C33" s="68" t="s">
        <v>98</v>
      </c>
      <c r="D33" s="782"/>
      <c r="E33" s="782"/>
      <c r="F33" s="782"/>
      <c r="G33" s="782"/>
      <c r="H33" s="782"/>
      <c r="I33" s="782"/>
      <c r="J33" s="782"/>
      <c r="K33" s="2443" t="s">
        <v>722</v>
      </c>
      <c r="L33" s="848"/>
      <c r="M33" s="2599" t="s">
        <v>1025</v>
      </c>
      <c r="N33" s="6164" t="s">
        <v>1184</v>
      </c>
      <c r="O33" s="5569"/>
      <c r="P33" s="5569"/>
      <c r="Q33" s="6165"/>
      <c r="R33" s="3107" t="s">
        <v>1025</v>
      </c>
      <c r="S33" s="1404"/>
      <c r="T33" s="782"/>
      <c r="U33" s="782"/>
      <c r="V33" s="2443" t="s">
        <v>720</v>
      </c>
      <c r="W33" s="2443"/>
      <c r="X33" s="782"/>
      <c r="Y33" s="782"/>
      <c r="Z33" s="782"/>
      <c r="AA33" s="782"/>
      <c r="AB33" s="782"/>
      <c r="AC33" s="782"/>
      <c r="AD33" s="782"/>
      <c r="AE33" s="2837" t="s">
        <v>722</v>
      </c>
    </row>
    <row r="34" spans="1:31">
      <c r="A34" s="6167" t="s">
        <v>99</v>
      </c>
      <c r="B34" s="266" t="s">
        <v>100</v>
      </c>
      <c r="C34" s="266" t="s">
        <v>725</v>
      </c>
      <c r="D34" s="778"/>
      <c r="E34" s="778"/>
      <c r="F34" s="778"/>
      <c r="G34" s="778"/>
      <c r="H34" s="778"/>
      <c r="I34" s="778"/>
      <c r="J34" s="3010" t="s">
        <v>1025</v>
      </c>
      <c r="K34" s="4310" t="s">
        <v>1186</v>
      </c>
      <c r="L34" s="4310"/>
      <c r="M34" s="3010" t="s">
        <v>1025</v>
      </c>
      <c r="N34" s="6164" t="s">
        <v>1184</v>
      </c>
      <c r="O34" s="5569"/>
      <c r="P34" s="5569"/>
      <c r="Q34" s="6165"/>
      <c r="R34" s="2599" t="s">
        <v>1025</v>
      </c>
      <c r="S34" s="778"/>
      <c r="T34" s="778"/>
      <c r="U34" s="778"/>
      <c r="V34" s="778"/>
      <c r="W34" s="778"/>
      <c r="X34" s="778"/>
      <c r="Y34" s="778"/>
      <c r="Z34" s="778"/>
      <c r="AA34" s="778"/>
      <c r="AB34" s="778"/>
      <c r="AC34" s="778"/>
      <c r="AD34" s="778"/>
      <c r="AE34" s="805"/>
    </row>
    <row r="35" spans="1:31">
      <c r="A35" s="6117"/>
      <c r="B35" s="2389" t="s">
        <v>95</v>
      </c>
      <c r="C35" s="56" t="s">
        <v>726</v>
      </c>
      <c r="D35" s="2435" t="s">
        <v>1189</v>
      </c>
      <c r="E35" s="779"/>
      <c r="F35" s="3010" t="s">
        <v>1025</v>
      </c>
      <c r="G35" s="6192" t="s">
        <v>1178</v>
      </c>
      <c r="H35" s="6193"/>
      <c r="I35" s="3010" t="s">
        <v>1025</v>
      </c>
      <c r="J35" s="3010" t="s">
        <v>1025</v>
      </c>
      <c r="K35" s="4310" t="s">
        <v>1186</v>
      </c>
      <c r="L35" s="4310"/>
      <c r="M35" s="3010" t="s">
        <v>1025</v>
      </c>
      <c r="N35" s="6164" t="s">
        <v>1184</v>
      </c>
      <c r="O35" s="5569"/>
      <c r="P35" s="5569"/>
      <c r="Q35" s="6165"/>
      <c r="R35" s="2599" t="s">
        <v>1025</v>
      </c>
      <c r="S35" s="779"/>
      <c r="T35" s="779"/>
      <c r="U35" s="779"/>
      <c r="V35" s="779"/>
      <c r="W35" s="2434" t="s">
        <v>722</v>
      </c>
      <c r="X35" s="779"/>
      <c r="Y35" s="779"/>
      <c r="Z35" s="779"/>
      <c r="AA35" s="779"/>
      <c r="AB35" s="779"/>
      <c r="AC35" s="779"/>
      <c r="AD35" s="779"/>
      <c r="AE35" s="2444" t="s">
        <v>720</v>
      </c>
    </row>
    <row r="36" spans="1:31" ht="15" customHeight="1">
      <c r="A36" s="6117"/>
      <c r="B36" s="56" t="s">
        <v>95</v>
      </c>
      <c r="C36" s="56" t="s">
        <v>548</v>
      </c>
      <c r="D36" s="779"/>
      <c r="E36" s="779"/>
      <c r="F36" s="779"/>
      <c r="G36" s="779"/>
      <c r="H36" s="779"/>
      <c r="I36" s="779"/>
      <c r="J36" s="779"/>
      <c r="K36" s="2459"/>
      <c r="L36" s="2459"/>
      <c r="M36" s="3099" t="s">
        <v>1025</v>
      </c>
      <c r="N36" s="6194" t="s">
        <v>1190</v>
      </c>
      <c r="O36" s="6194"/>
      <c r="P36" s="6194"/>
      <c r="Q36" s="3700" t="s">
        <v>1025</v>
      </c>
      <c r="R36" s="2459"/>
      <c r="S36" s="2459"/>
      <c r="T36" s="2459"/>
      <c r="U36" s="2459"/>
      <c r="V36" s="2459"/>
      <c r="W36" s="2459"/>
      <c r="X36" s="2459"/>
      <c r="Y36" s="2459"/>
      <c r="Z36" s="2459"/>
      <c r="AA36" s="2459"/>
      <c r="AB36" s="2459"/>
      <c r="AC36" s="2459"/>
      <c r="AD36" s="2459"/>
      <c r="AE36" s="3062"/>
    </row>
    <row r="37" spans="1:31" ht="15" customHeight="1">
      <c r="A37" s="6117"/>
      <c r="B37" s="56" t="s">
        <v>95</v>
      </c>
      <c r="C37" s="56" t="s">
        <v>738</v>
      </c>
      <c r="D37" s="779"/>
      <c r="E37" s="779"/>
      <c r="F37" s="779"/>
      <c r="G37" s="779"/>
      <c r="H37" s="779"/>
      <c r="I37" s="779"/>
      <c r="J37" s="779"/>
      <c r="K37" s="779"/>
      <c r="L37" s="779"/>
      <c r="M37" s="779"/>
      <c r="N37" s="780"/>
      <c r="O37" s="780"/>
      <c r="P37" s="780"/>
      <c r="Q37" s="780"/>
      <c r="R37" s="2434" t="s">
        <v>717</v>
      </c>
      <c r="S37" s="779"/>
      <c r="T37" s="779"/>
      <c r="U37" s="779"/>
      <c r="V37" s="2434" t="s">
        <v>717</v>
      </c>
      <c r="W37" s="779"/>
      <c r="X37" s="779"/>
      <c r="Y37" s="779"/>
      <c r="Z37" s="779"/>
      <c r="AA37" s="779"/>
      <c r="AB37" s="779"/>
      <c r="AC37" s="779"/>
      <c r="AD37" s="779"/>
      <c r="AE37" s="804"/>
    </row>
    <row r="38" spans="1:31">
      <c r="A38" s="6117"/>
      <c r="B38" s="56" t="s">
        <v>106</v>
      </c>
      <c r="C38" s="56" t="s">
        <v>1191</v>
      </c>
      <c r="D38" s="779"/>
      <c r="E38" s="779"/>
      <c r="F38" s="779"/>
      <c r="G38" s="779"/>
      <c r="H38" s="779"/>
      <c r="I38" s="2434" t="s">
        <v>717</v>
      </c>
      <c r="J38" s="3010" t="s">
        <v>1025</v>
      </c>
      <c r="K38" s="4310" t="s">
        <v>1186</v>
      </c>
      <c r="L38" s="4310"/>
      <c r="M38" s="3010" t="s">
        <v>1025</v>
      </c>
      <c r="N38" s="822"/>
      <c r="O38" s="822"/>
      <c r="P38" s="822"/>
      <c r="Q38" s="822"/>
      <c r="R38" s="822"/>
      <c r="S38" s="779"/>
      <c r="T38" s="779"/>
      <c r="U38" s="2434" t="s">
        <v>717</v>
      </c>
      <c r="V38" s="779"/>
      <c r="W38" s="779"/>
      <c r="X38" s="779"/>
      <c r="Y38" s="779"/>
      <c r="Z38" s="779"/>
      <c r="AA38" s="779"/>
      <c r="AB38" s="779"/>
      <c r="AC38" s="2434" t="s">
        <v>717</v>
      </c>
      <c r="AD38" s="779"/>
      <c r="AE38" s="804"/>
    </row>
    <row r="39" spans="1:31">
      <c r="A39" s="6168"/>
      <c r="B39" s="816" t="s">
        <v>108</v>
      </c>
      <c r="C39" s="816" t="s">
        <v>109</v>
      </c>
      <c r="D39" s="780"/>
      <c r="E39" s="780"/>
      <c r="F39" s="780"/>
      <c r="G39" s="1465" t="s">
        <v>722</v>
      </c>
      <c r="H39" s="780"/>
      <c r="I39" s="780"/>
      <c r="J39" s="780"/>
      <c r="K39" s="780"/>
      <c r="L39" s="780"/>
      <c r="M39" s="780"/>
      <c r="N39" s="785"/>
      <c r="O39" s="2439" t="s">
        <v>722</v>
      </c>
      <c r="P39" s="785"/>
      <c r="Q39" s="785"/>
      <c r="R39" s="780"/>
      <c r="S39" s="2435" t="s">
        <v>720</v>
      </c>
      <c r="T39" s="780"/>
      <c r="U39" s="780"/>
      <c r="V39" s="780"/>
      <c r="W39" s="780"/>
      <c r="X39" s="780"/>
      <c r="Y39" s="780"/>
      <c r="Z39" s="780"/>
      <c r="AA39" s="780"/>
      <c r="AB39" s="780"/>
      <c r="AC39" s="780"/>
      <c r="AD39" s="780"/>
      <c r="AE39" s="806"/>
    </row>
    <row r="40" spans="1:31">
      <c r="A40" s="6181" t="s">
        <v>110</v>
      </c>
      <c r="B40" s="2396" t="s">
        <v>283</v>
      </c>
      <c r="C40" s="2243" t="s">
        <v>201</v>
      </c>
      <c r="D40" s="937"/>
      <c r="E40" s="937"/>
      <c r="F40" s="2433" t="s">
        <v>720</v>
      </c>
      <c r="G40" s="937"/>
      <c r="H40" s="937"/>
      <c r="I40" s="937"/>
      <c r="J40" s="937"/>
      <c r="K40" s="937"/>
      <c r="L40" s="937"/>
      <c r="M40" s="937"/>
      <c r="N40" s="2433" t="s">
        <v>720</v>
      </c>
      <c r="O40" s="937"/>
      <c r="P40" s="937"/>
      <c r="Q40" s="937"/>
      <c r="R40" s="937"/>
      <c r="S40" s="937"/>
      <c r="T40" s="937"/>
      <c r="U40" s="937"/>
      <c r="V40" s="937"/>
      <c r="W40" s="937"/>
      <c r="X40" s="2433" t="s">
        <v>720</v>
      </c>
      <c r="Y40" s="937"/>
      <c r="Z40" s="937"/>
      <c r="AA40" s="937"/>
      <c r="AB40" s="937"/>
      <c r="AC40" s="937"/>
      <c r="AD40" s="937"/>
      <c r="AE40" s="1333"/>
    </row>
    <row r="41" spans="1:31">
      <c r="A41" s="6182"/>
      <c r="B41" s="2389" t="s">
        <v>283</v>
      </c>
      <c r="C41" s="1957" t="s">
        <v>610</v>
      </c>
      <c r="D41" s="778"/>
      <c r="E41" s="778"/>
      <c r="F41" s="778"/>
      <c r="G41" s="778"/>
      <c r="H41" s="778"/>
      <c r="I41" s="778"/>
      <c r="J41" s="2437" t="s">
        <v>720</v>
      </c>
      <c r="K41" s="778"/>
      <c r="L41" s="778"/>
      <c r="M41" s="778"/>
      <c r="N41" s="778"/>
      <c r="O41" s="778"/>
      <c r="P41" s="2437" t="s">
        <v>720</v>
      </c>
      <c r="Q41" s="778"/>
      <c r="R41" s="5587" t="s">
        <v>1192</v>
      </c>
      <c r="S41" s="5588"/>
      <c r="T41" s="5588"/>
      <c r="U41" s="5589"/>
      <c r="V41" s="778"/>
      <c r="W41" s="2599" t="s">
        <v>1025</v>
      </c>
      <c r="X41" s="4333" t="s">
        <v>1193</v>
      </c>
      <c r="Y41" s="4334"/>
      <c r="Z41" s="2599" t="s">
        <v>1025</v>
      </c>
      <c r="AA41" s="3685"/>
      <c r="AB41" s="3685" t="s">
        <v>720</v>
      </c>
      <c r="AC41" s="778"/>
      <c r="AD41" s="778"/>
      <c r="AE41" s="805"/>
    </row>
    <row r="42" spans="1:31">
      <c r="A42" s="6182"/>
      <c r="B42" s="2389" t="s">
        <v>113</v>
      </c>
      <c r="C42" s="1957" t="s">
        <v>116</v>
      </c>
      <c r="D42" s="4333" t="s">
        <v>482</v>
      </c>
      <c r="E42" s="4334"/>
      <c r="F42" s="779"/>
      <c r="G42" s="779"/>
      <c r="H42" s="779"/>
      <c r="I42" s="779"/>
      <c r="J42" s="779"/>
      <c r="K42" s="779"/>
      <c r="L42" s="779"/>
      <c r="M42" s="779"/>
      <c r="N42" s="779"/>
      <c r="O42" s="779"/>
      <c r="P42" s="779"/>
      <c r="Q42" s="779"/>
      <c r="R42" s="779"/>
      <c r="S42" s="779"/>
      <c r="T42" s="779"/>
      <c r="U42" s="779"/>
      <c r="V42" s="779"/>
      <c r="W42" s="779"/>
      <c r="X42" s="779"/>
      <c r="Y42" s="779"/>
      <c r="Z42" s="779"/>
      <c r="AA42" s="779"/>
      <c r="AB42" s="2459"/>
      <c r="AC42" s="2459"/>
      <c r="AD42" s="2459"/>
      <c r="AE42" s="3062"/>
    </row>
    <row r="43" spans="1:31">
      <c r="A43" s="6182"/>
      <c r="B43" s="2389" t="s">
        <v>120</v>
      </c>
      <c r="C43" s="1957" t="s">
        <v>1079</v>
      </c>
      <c r="D43" s="779"/>
      <c r="E43" s="779"/>
      <c r="F43" s="779"/>
      <c r="G43" s="2434"/>
      <c r="H43" s="779"/>
      <c r="I43" s="779"/>
      <c r="J43" s="779"/>
      <c r="K43" s="779"/>
      <c r="L43" s="779"/>
      <c r="M43" s="2434"/>
      <c r="N43" s="779"/>
      <c r="O43" s="2434" t="s">
        <v>717</v>
      </c>
      <c r="P43" s="2434"/>
      <c r="Q43" s="779"/>
      <c r="R43" s="779"/>
      <c r="S43" s="779"/>
      <c r="T43" s="779"/>
      <c r="U43" s="779"/>
      <c r="V43" s="779"/>
      <c r="W43" s="2434"/>
      <c r="X43" s="779"/>
      <c r="Y43" s="2434"/>
      <c r="Z43" s="779"/>
      <c r="AA43" s="2434"/>
      <c r="AB43" s="779"/>
      <c r="AC43" s="779"/>
      <c r="AD43" s="779"/>
      <c r="AE43" s="804"/>
    </row>
    <row r="44" spans="1:31">
      <c r="A44" s="6182"/>
      <c r="B44" s="2389" t="s">
        <v>122</v>
      </c>
      <c r="C44" s="1957" t="s">
        <v>553</v>
      </c>
      <c r="D44" s="6183" t="s">
        <v>1145</v>
      </c>
      <c r="E44" s="6184"/>
      <c r="F44" s="6184"/>
      <c r="G44" s="6184"/>
      <c r="H44" s="6184"/>
      <c r="I44" s="6184"/>
      <c r="J44" s="6184"/>
      <c r="K44" s="6184"/>
      <c r="L44" s="6184"/>
      <c r="M44" s="6185"/>
      <c r="N44" s="6164" t="s">
        <v>1194</v>
      </c>
      <c r="O44" s="5569"/>
      <c r="P44" s="5569"/>
      <c r="Q44" s="5569"/>
      <c r="R44" s="5569"/>
      <c r="S44" s="5569"/>
      <c r="T44" s="5569"/>
      <c r="U44" s="5569"/>
      <c r="V44" s="5569"/>
      <c r="W44" s="5569"/>
      <c r="X44" s="5569"/>
      <c r="Y44" s="5569"/>
      <c r="Z44" s="5569"/>
      <c r="AA44" s="5569"/>
      <c r="AB44" s="5569"/>
      <c r="AC44" s="5569"/>
      <c r="AD44" s="5569"/>
      <c r="AE44" s="6186"/>
    </row>
    <row r="45" spans="1:31">
      <c r="A45" s="6182"/>
      <c r="B45" s="2389" t="s">
        <v>293</v>
      </c>
      <c r="C45" s="1957" t="s">
        <v>733</v>
      </c>
      <c r="D45" s="2434"/>
      <c r="E45" s="779"/>
      <c r="F45" s="779"/>
      <c r="G45" s="779"/>
      <c r="H45" s="779"/>
      <c r="I45" s="779"/>
      <c r="J45" s="779"/>
      <c r="K45" s="779"/>
      <c r="L45" s="2434" t="s">
        <v>720</v>
      </c>
      <c r="M45" s="779"/>
      <c r="N45" s="780"/>
      <c r="O45" s="780"/>
      <c r="P45" s="2435" t="s">
        <v>722</v>
      </c>
      <c r="Q45" s="780"/>
      <c r="R45" s="779"/>
      <c r="S45" s="779"/>
      <c r="T45" s="779"/>
      <c r="U45" s="779"/>
      <c r="V45" s="779"/>
      <c r="W45" s="779"/>
      <c r="X45" s="779"/>
      <c r="Y45" s="779"/>
      <c r="Z45" s="779"/>
      <c r="AA45" s="779"/>
      <c r="AB45" s="779"/>
      <c r="AC45" s="2434"/>
      <c r="AD45" s="2434" t="s">
        <v>720</v>
      </c>
      <c r="AE45" s="804"/>
    </row>
    <row r="46" spans="1:31">
      <c r="A46" s="6182"/>
      <c r="B46" s="2389" t="s">
        <v>120</v>
      </c>
      <c r="C46" s="2389" t="s">
        <v>1195</v>
      </c>
      <c r="D46" s="779"/>
      <c r="E46" s="779"/>
      <c r="F46" s="2"/>
      <c r="G46" s="779"/>
      <c r="H46" s="2434"/>
      <c r="I46" s="1631"/>
      <c r="J46" s="3010" t="s">
        <v>1025</v>
      </c>
      <c r="K46" s="6177" t="s">
        <v>1196</v>
      </c>
      <c r="L46" s="6178"/>
      <c r="M46" s="6178"/>
      <c r="N46" s="6187"/>
      <c r="O46" s="4310" t="s">
        <v>1186</v>
      </c>
      <c r="P46" s="4310"/>
      <c r="Q46" s="6177" t="s">
        <v>1196</v>
      </c>
      <c r="R46" s="6178"/>
      <c r="S46" s="6179"/>
      <c r="T46" s="3010" t="s">
        <v>1025</v>
      </c>
      <c r="U46" s="2"/>
      <c r="V46" s="779"/>
      <c r="W46" s="779"/>
      <c r="X46" s="779"/>
      <c r="Y46" s="3010" t="s">
        <v>1025</v>
      </c>
      <c r="Z46" s="5587" t="s">
        <v>1197</v>
      </c>
      <c r="AA46" s="5588"/>
      <c r="AB46" s="5588"/>
      <c r="AC46" s="5588"/>
      <c r="AD46" s="5588"/>
      <c r="AE46" s="6188"/>
    </row>
    <row r="47" spans="1:31">
      <c r="A47" s="6182"/>
      <c r="B47" s="2389" t="s">
        <v>692</v>
      </c>
      <c r="C47" s="1957" t="s">
        <v>693</v>
      </c>
      <c r="D47" s="4333" t="s">
        <v>419</v>
      </c>
      <c r="E47" s="4334"/>
      <c r="F47" s="779"/>
      <c r="G47" s="779"/>
      <c r="H47" s="4333" t="s">
        <v>1198</v>
      </c>
      <c r="I47" s="4411"/>
      <c r="J47" s="4411"/>
      <c r="K47" s="4411"/>
      <c r="L47" s="4411"/>
      <c r="M47" s="4411"/>
      <c r="N47" s="4334"/>
      <c r="O47" s="4310" t="s">
        <v>1186</v>
      </c>
      <c r="P47" s="4310"/>
      <c r="Q47" s="3010" t="s">
        <v>1025</v>
      </c>
      <c r="R47" s="779"/>
      <c r="S47" s="779"/>
      <c r="T47" s="779"/>
      <c r="U47" s="2434" t="s">
        <v>717</v>
      </c>
      <c r="V47" s="779"/>
      <c r="W47" s="779"/>
      <c r="X47" s="779"/>
      <c r="Y47" s="779"/>
      <c r="Z47" s="2434" t="s">
        <v>717</v>
      </c>
      <c r="AA47" s="779"/>
      <c r="AB47" s="779"/>
      <c r="AC47" s="779"/>
      <c r="AD47" s="779"/>
      <c r="AE47" s="2444"/>
    </row>
    <row r="48" spans="1:31">
      <c r="A48" s="6182"/>
      <c r="B48" s="2389" t="s">
        <v>127</v>
      </c>
      <c r="C48" s="1957" t="s">
        <v>657</v>
      </c>
      <c r="D48" s="4333" t="s">
        <v>946</v>
      </c>
      <c r="E48" s="4411"/>
      <c r="F48" s="4411"/>
      <c r="G48" s="4334"/>
      <c r="H48" s="779"/>
      <c r="I48" s="779"/>
      <c r="J48" s="3010" t="s">
        <v>1025</v>
      </c>
      <c r="K48" s="6177" t="s">
        <v>1196</v>
      </c>
      <c r="L48" s="6178"/>
      <c r="M48" s="6178"/>
      <c r="N48" s="6187"/>
      <c r="O48" s="4310" t="s">
        <v>1186</v>
      </c>
      <c r="P48" s="4310"/>
      <c r="Q48" s="6177" t="s">
        <v>1196</v>
      </c>
      <c r="R48" s="6178"/>
      <c r="S48" s="6179"/>
      <c r="T48" s="3010" t="s">
        <v>1025</v>
      </c>
      <c r="U48" s="779"/>
      <c r="V48" s="779"/>
      <c r="W48" s="779"/>
      <c r="X48" s="779"/>
      <c r="Y48" s="2434" t="s">
        <v>722</v>
      </c>
      <c r="Z48" s="2434"/>
      <c r="AA48" s="779"/>
      <c r="AB48" s="2434"/>
      <c r="AC48" s="2434" t="s">
        <v>720</v>
      </c>
      <c r="AD48" s="2434"/>
      <c r="AE48" s="804"/>
    </row>
    <row r="49" spans="1:31">
      <c r="A49" s="6182"/>
      <c r="B49" s="2389" t="s">
        <v>554</v>
      </c>
      <c r="C49" s="1957" t="s">
        <v>555</v>
      </c>
      <c r="D49" s="779"/>
      <c r="E49" s="2435" t="s">
        <v>722</v>
      </c>
      <c r="F49" s="2435"/>
      <c r="G49" s="779"/>
      <c r="H49" s="779"/>
      <c r="I49" s="779"/>
      <c r="J49" s="779"/>
      <c r="K49" s="2434"/>
      <c r="L49" s="779"/>
      <c r="M49" s="779"/>
      <c r="N49" s="778"/>
      <c r="O49" s="778"/>
      <c r="P49" s="778"/>
      <c r="Q49" s="2437" t="s">
        <v>720</v>
      </c>
      <c r="R49" s="6180" t="s">
        <v>1199</v>
      </c>
      <c r="S49" s="4413"/>
      <c r="T49" s="4413"/>
      <c r="U49" s="4413"/>
      <c r="V49" s="4413"/>
      <c r="W49" s="4413"/>
      <c r="X49" s="4413"/>
      <c r="Y49" s="4413"/>
      <c r="Z49" s="4414"/>
      <c r="AA49" s="779"/>
      <c r="AB49" s="2434"/>
      <c r="AC49" s="779"/>
      <c r="AD49" s="779"/>
      <c r="AE49" s="804"/>
    </row>
    <row r="50" spans="1:31">
      <c r="A50" s="6182"/>
      <c r="B50" s="2763" t="s">
        <v>155</v>
      </c>
      <c r="C50" s="2264" t="s">
        <v>135</v>
      </c>
      <c r="D50" s="2435"/>
      <c r="E50" s="780"/>
      <c r="F50" s="2435"/>
      <c r="G50" s="780"/>
      <c r="H50" s="780"/>
      <c r="I50" s="780"/>
      <c r="J50" s="2435" t="s">
        <v>722</v>
      </c>
      <c r="K50" s="780"/>
      <c r="L50" s="780"/>
      <c r="M50" s="2434"/>
      <c r="N50" s="780"/>
      <c r="O50" s="3685"/>
      <c r="P50" s="780"/>
      <c r="Q50" s="780"/>
      <c r="R50" s="780"/>
      <c r="S50" s="780"/>
      <c r="T50" s="2434"/>
      <c r="U50" s="2435" t="s">
        <v>722</v>
      </c>
      <c r="V50" s="780"/>
      <c r="W50" s="780"/>
      <c r="X50" s="780"/>
      <c r="Y50" s="780"/>
      <c r="Z50" s="780"/>
      <c r="AA50" s="2434"/>
      <c r="AB50" s="780"/>
      <c r="AC50" s="780"/>
      <c r="AD50" s="780"/>
      <c r="AE50" s="806"/>
    </row>
    <row r="51" spans="1:31">
      <c r="A51" s="6182"/>
      <c r="B51" s="2389" t="s">
        <v>1056</v>
      </c>
      <c r="C51" s="2389" t="s">
        <v>334</v>
      </c>
      <c r="D51" s="780"/>
      <c r="E51" s="2435"/>
      <c r="F51" s="780"/>
      <c r="G51" s="780"/>
      <c r="H51" s="2435"/>
      <c r="I51" s="2435" t="s">
        <v>722</v>
      </c>
      <c r="J51" s="780"/>
      <c r="K51" s="780"/>
      <c r="L51" s="2435"/>
      <c r="M51" s="2435" t="s">
        <v>720</v>
      </c>
      <c r="N51" s="780"/>
      <c r="O51" s="780"/>
      <c r="P51" s="780"/>
      <c r="Q51" s="2435" t="s">
        <v>722</v>
      </c>
      <c r="R51" s="2435"/>
      <c r="S51" s="780"/>
      <c r="T51" s="780"/>
      <c r="U51" s="780"/>
      <c r="V51" s="780"/>
      <c r="W51" s="780"/>
      <c r="X51" s="780"/>
      <c r="Y51" s="780"/>
      <c r="Z51" s="780"/>
      <c r="AA51" s="780"/>
      <c r="AB51" s="780"/>
      <c r="AC51" s="780"/>
      <c r="AD51" s="780"/>
      <c r="AE51" s="804"/>
    </row>
    <row r="52" spans="1:31">
      <c r="A52" s="6182"/>
      <c r="B52" s="2763" t="s">
        <v>1200</v>
      </c>
      <c r="C52" s="2264" t="s">
        <v>1201</v>
      </c>
      <c r="D52" s="779"/>
      <c r="E52" s="2690"/>
      <c r="F52" s="779"/>
      <c r="G52" s="779"/>
      <c r="H52" s="2434"/>
      <c r="I52" s="779"/>
      <c r="J52" s="779"/>
      <c r="K52" s="779"/>
      <c r="L52" s="2434"/>
      <c r="M52" s="2434"/>
      <c r="N52" s="779"/>
      <c r="O52" s="779"/>
      <c r="P52" s="779"/>
      <c r="Q52" s="2434" t="s">
        <v>717</v>
      </c>
      <c r="R52" s="2434"/>
      <c r="S52" s="779"/>
      <c r="T52" s="779"/>
      <c r="U52" s="779"/>
      <c r="V52" s="779"/>
      <c r="W52" s="779"/>
      <c r="X52" s="2434" t="s">
        <v>717</v>
      </c>
      <c r="Y52" s="779"/>
      <c r="Z52" s="779"/>
      <c r="AA52" s="779"/>
      <c r="AB52" s="779"/>
      <c r="AC52" s="779"/>
      <c r="AD52" s="779"/>
      <c r="AE52" s="804"/>
    </row>
    <row r="53" spans="1:31">
      <c r="A53" s="6182"/>
      <c r="B53" s="2763" t="s">
        <v>129</v>
      </c>
      <c r="C53" s="2264" t="s">
        <v>474</v>
      </c>
      <c r="D53" s="849"/>
      <c r="E53" s="5094" t="s">
        <v>158</v>
      </c>
      <c r="F53" s="5094"/>
      <c r="G53" s="5094"/>
      <c r="H53" s="5094"/>
      <c r="I53" s="5094"/>
      <c r="J53" s="5094"/>
      <c r="K53" s="1264"/>
      <c r="L53" s="2435"/>
      <c r="M53" s="2435"/>
      <c r="N53" s="785"/>
      <c r="O53" s="785"/>
      <c r="P53" s="785"/>
      <c r="Q53" s="785"/>
      <c r="R53" s="785"/>
      <c r="S53" s="2439" t="s">
        <v>722</v>
      </c>
      <c r="T53" s="785"/>
      <c r="U53" s="785"/>
      <c r="V53" s="785"/>
      <c r="W53" s="785"/>
      <c r="X53" s="785"/>
      <c r="Y53" s="785"/>
      <c r="Z53" s="2439"/>
      <c r="AA53" s="785"/>
      <c r="AB53" s="785"/>
      <c r="AC53" s="785"/>
      <c r="AD53" s="2439" t="s">
        <v>722</v>
      </c>
      <c r="AE53" s="808"/>
    </row>
    <row r="54" spans="1:31">
      <c r="A54" s="6116" t="s">
        <v>136</v>
      </c>
      <c r="B54" s="1923" t="s">
        <v>283</v>
      </c>
      <c r="C54" s="1923" t="s">
        <v>1036</v>
      </c>
      <c r="D54" s="937"/>
      <c r="E54" s="937"/>
      <c r="F54" s="2433" t="s">
        <v>717</v>
      </c>
      <c r="G54" s="937"/>
      <c r="H54" s="937"/>
      <c r="I54" s="937"/>
      <c r="J54" s="937"/>
      <c r="K54" s="937"/>
      <c r="L54" s="937"/>
      <c r="M54" s="3010" t="s">
        <v>1025</v>
      </c>
      <c r="N54" s="6164" t="s">
        <v>1184</v>
      </c>
      <c r="O54" s="5569"/>
      <c r="P54" s="5569"/>
      <c r="Q54" s="6165"/>
      <c r="R54" s="3019" t="s">
        <v>1025</v>
      </c>
      <c r="S54" s="937"/>
      <c r="T54" s="2433" t="s">
        <v>717</v>
      </c>
      <c r="U54" s="937"/>
      <c r="V54" s="937"/>
      <c r="W54" s="937"/>
      <c r="X54" s="2433"/>
      <c r="Y54" s="937"/>
      <c r="Z54" s="937"/>
      <c r="AA54" s="2433"/>
      <c r="AB54" s="937"/>
      <c r="AC54" s="937"/>
      <c r="AD54" s="4599" t="s">
        <v>482</v>
      </c>
      <c r="AE54" s="4653"/>
    </row>
    <row r="55" spans="1:31">
      <c r="A55" s="6117"/>
      <c r="B55" s="56" t="s">
        <v>95</v>
      </c>
      <c r="C55" s="56" t="s">
        <v>1058</v>
      </c>
      <c r="D55" s="3082" t="s">
        <v>251</v>
      </c>
      <c r="E55" s="779"/>
      <c r="F55" s="779"/>
      <c r="G55" s="779"/>
      <c r="H55" s="779"/>
      <c r="I55" s="2434"/>
      <c r="J55" s="779"/>
      <c r="K55" s="2434" t="s">
        <v>717</v>
      </c>
      <c r="L55" s="779"/>
      <c r="M55" s="3010" t="s">
        <v>1025</v>
      </c>
      <c r="N55" s="6189" t="s">
        <v>1173</v>
      </c>
      <c r="O55" s="6189"/>
      <c r="P55" s="6189"/>
      <c r="Q55" s="3010" t="s">
        <v>1025</v>
      </c>
      <c r="R55" s="4475" t="s">
        <v>1202</v>
      </c>
      <c r="S55" s="4475"/>
      <c r="T55" s="4475"/>
      <c r="U55" s="2434" t="s">
        <v>717</v>
      </c>
      <c r="V55" s="779"/>
      <c r="W55" s="779"/>
      <c r="X55" s="779"/>
      <c r="Y55" s="779"/>
      <c r="Z55" s="779"/>
      <c r="AA55" s="779"/>
      <c r="AB55" s="779"/>
      <c r="AC55" s="3010" t="s">
        <v>1025</v>
      </c>
      <c r="AD55" s="4621" t="s">
        <v>1182</v>
      </c>
      <c r="AE55" s="5967"/>
    </row>
    <row r="56" spans="1:31">
      <c r="A56" s="6117"/>
      <c r="B56" s="56" t="s">
        <v>95</v>
      </c>
      <c r="C56" s="56" t="s">
        <v>620</v>
      </c>
      <c r="D56" s="3010" t="s">
        <v>1025</v>
      </c>
      <c r="E56" s="4311" t="s">
        <v>1172</v>
      </c>
      <c r="F56" s="4311"/>
      <c r="G56" s="4311"/>
      <c r="H56" s="4311"/>
      <c r="I56" s="3010" t="s">
        <v>1025</v>
      </c>
      <c r="J56" s="3010" t="s">
        <v>1025</v>
      </c>
      <c r="K56" s="779"/>
      <c r="L56" s="2434" t="s">
        <v>722</v>
      </c>
      <c r="M56" s="3010" t="s">
        <v>1025</v>
      </c>
      <c r="N56" s="3127" t="s">
        <v>1184</v>
      </c>
      <c r="O56" s="2435" t="s">
        <v>720</v>
      </c>
      <c r="P56" s="3010" t="s">
        <v>1025</v>
      </c>
      <c r="Q56" s="4475" t="s">
        <v>1203</v>
      </c>
      <c r="R56" s="4475"/>
      <c r="S56" s="4475"/>
      <c r="T56" s="4475"/>
      <c r="U56" s="4475"/>
      <c r="V56" s="4475"/>
      <c r="W56" s="4475"/>
      <c r="X56" s="4475"/>
      <c r="Y56" s="4475"/>
      <c r="Z56" s="4475"/>
      <c r="AA56" s="6190" t="s">
        <v>1204</v>
      </c>
      <c r="AB56" s="6190"/>
      <c r="AC56" s="6190"/>
      <c r="AD56" s="6190"/>
      <c r="AE56" s="6191"/>
    </row>
    <row r="57" spans="1:31">
      <c r="A57" s="6117"/>
      <c r="B57" s="56" t="s">
        <v>95</v>
      </c>
      <c r="C57" s="56" t="s">
        <v>1037</v>
      </c>
      <c r="D57" s="2434" t="s">
        <v>717</v>
      </c>
      <c r="E57" s="779"/>
      <c r="F57" s="2271" t="s">
        <v>1205</v>
      </c>
      <c r="G57" s="2287"/>
      <c r="H57" s="2434" t="s">
        <v>717</v>
      </c>
      <c r="I57" s="2287"/>
      <c r="J57" s="2287"/>
      <c r="K57" s="2"/>
      <c r="L57" s="3010" t="s">
        <v>1025</v>
      </c>
      <c r="M57" s="3010" t="s">
        <v>1025</v>
      </c>
      <c r="N57" s="4313" t="s">
        <v>1181</v>
      </c>
      <c r="O57" s="4313"/>
      <c r="P57" s="3010" t="s">
        <v>1025</v>
      </c>
      <c r="Q57" s="3010" t="s">
        <v>1025</v>
      </c>
      <c r="R57" s="4333" t="s">
        <v>1206</v>
      </c>
      <c r="S57" s="4411"/>
      <c r="T57" s="4411"/>
      <c r="U57" s="4334"/>
      <c r="V57" s="2434"/>
      <c r="W57" s="779"/>
      <c r="X57" s="779"/>
      <c r="Y57" s="779"/>
      <c r="Z57" s="2434"/>
      <c r="AA57" s="779"/>
      <c r="AB57" s="779"/>
      <c r="AC57" s="2"/>
      <c r="AD57" s="2"/>
      <c r="AE57" s="696"/>
    </row>
    <row r="58" spans="1:31">
      <c r="A58" s="6117"/>
      <c r="B58" s="56" t="s">
        <v>739</v>
      </c>
      <c r="C58" s="56" t="s">
        <v>740</v>
      </c>
      <c r="D58" s="3010" t="s">
        <v>1025</v>
      </c>
      <c r="E58" s="2287"/>
      <c r="F58" s="2287"/>
      <c r="G58" s="2434"/>
      <c r="H58" s="2432" t="s">
        <v>720</v>
      </c>
      <c r="I58" s="2432"/>
      <c r="J58" s="3010" t="s">
        <v>1025</v>
      </c>
      <c r="K58" s="4310" t="s">
        <v>1186</v>
      </c>
      <c r="L58" s="4310"/>
      <c r="M58" s="3010" t="s">
        <v>1025</v>
      </c>
      <c r="N58" s="6164" t="s">
        <v>1184</v>
      </c>
      <c r="O58" s="5569"/>
      <c r="P58" s="5569"/>
      <c r="Q58" s="6165"/>
      <c r="R58" s="3010" t="s">
        <v>1025</v>
      </c>
      <c r="S58" s="779"/>
      <c r="T58" s="779"/>
      <c r="U58" s="779"/>
      <c r="V58" s="2434" t="s">
        <v>722</v>
      </c>
      <c r="W58" s="779"/>
      <c r="X58" s="779"/>
      <c r="Y58" s="779"/>
      <c r="Z58" s="2432" t="s">
        <v>720</v>
      </c>
      <c r="AA58" s="779"/>
      <c r="AB58" s="779"/>
      <c r="AC58" s="779"/>
      <c r="AD58" s="779"/>
      <c r="AE58" s="804"/>
    </row>
    <row r="59" spans="1:31">
      <c r="A59" s="6118"/>
      <c r="B59" s="3022" t="s">
        <v>108</v>
      </c>
      <c r="C59" s="3022" t="s">
        <v>1106</v>
      </c>
      <c r="D59" s="321"/>
      <c r="E59" s="321"/>
      <c r="F59" s="321"/>
      <c r="G59" s="2992" t="s">
        <v>717</v>
      </c>
      <c r="H59" s="321"/>
      <c r="I59" s="321"/>
      <c r="J59" s="2599" t="s">
        <v>1025</v>
      </c>
      <c r="K59" s="4546" t="s">
        <v>1186</v>
      </c>
      <c r="L59" s="4546"/>
      <c r="M59" s="2599" t="s">
        <v>1025</v>
      </c>
      <c r="N59" s="321"/>
      <c r="O59" s="321"/>
      <c r="P59" s="321"/>
      <c r="Q59" s="321"/>
      <c r="R59" s="321"/>
      <c r="S59" s="321"/>
      <c r="T59" s="321"/>
      <c r="U59" s="321"/>
      <c r="V59" s="321"/>
      <c r="W59" s="321"/>
      <c r="X59" s="321"/>
      <c r="Y59" s="321"/>
      <c r="Z59" s="321"/>
      <c r="AA59" s="321"/>
      <c r="AB59" s="321"/>
      <c r="AC59" s="321"/>
      <c r="AD59" s="2992" t="s">
        <v>717</v>
      </c>
      <c r="AE59" s="807"/>
    </row>
    <row r="60" spans="1:31">
      <c r="A60" s="6167" t="s">
        <v>144</v>
      </c>
      <c r="B60" s="266" t="s">
        <v>145</v>
      </c>
      <c r="C60" s="266" t="s">
        <v>148</v>
      </c>
      <c r="D60" s="1207"/>
      <c r="E60" s="3084"/>
      <c r="F60" s="3084" t="s">
        <v>722</v>
      </c>
      <c r="G60" s="906"/>
      <c r="H60" s="2437"/>
      <c r="I60" s="906"/>
      <c r="J60" s="1918"/>
      <c r="K60" s="3084" t="s">
        <v>720</v>
      </c>
      <c r="L60" s="778"/>
      <c r="M60" s="906"/>
      <c r="N60" s="906"/>
      <c r="O60" s="906"/>
      <c r="P60" s="1918"/>
      <c r="Q60" s="1207"/>
      <c r="R60" s="6169" t="s">
        <v>684</v>
      </c>
      <c r="S60" s="6170"/>
      <c r="T60" s="6170"/>
      <c r="U60" s="6170"/>
      <c r="V60" s="6170"/>
      <c r="W60" s="6170"/>
      <c r="X60" s="6170"/>
      <c r="Y60" s="6170"/>
      <c r="Z60" s="6170"/>
      <c r="AA60" s="6170"/>
      <c r="AB60" s="6170"/>
      <c r="AC60" s="6170"/>
      <c r="AD60" s="6170"/>
      <c r="AE60" s="6171"/>
    </row>
    <row r="61" spans="1:31">
      <c r="A61" s="6117"/>
      <c r="B61" s="56" t="s">
        <v>1038</v>
      </c>
      <c r="C61" s="56" t="s">
        <v>618</v>
      </c>
      <c r="D61" s="5270" t="s">
        <v>684</v>
      </c>
      <c r="E61" s="5270"/>
      <c r="F61" s="5270"/>
      <c r="G61" s="5270"/>
      <c r="H61" s="5270"/>
      <c r="I61" s="5270"/>
      <c r="J61" s="5270"/>
      <c r="K61" s="5270"/>
      <c r="L61" s="5270"/>
      <c r="M61" s="778"/>
      <c r="N61" s="778"/>
      <c r="O61" s="778"/>
      <c r="P61" s="778"/>
      <c r="Q61" s="2437" t="s">
        <v>30</v>
      </c>
      <c r="R61" s="2434" t="s">
        <v>720</v>
      </c>
      <c r="S61" s="779"/>
      <c r="T61" s="779"/>
      <c r="U61" s="779"/>
      <c r="V61" s="779"/>
      <c r="W61" s="3685" t="s">
        <v>720</v>
      </c>
      <c r="X61" s="779"/>
      <c r="Y61" s="779"/>
      <c r="Z61" s="779"/>
      <c r="AA61" s="779"/>
      <c r="AB61" s="2434"/>
      <c r="AC61" s="2434" t="s">
        <v>722</v>
      </c>
      <c r="AD61" s="779"/>
      <c r="AE61" s="804"/>
    </row>
    <row r="62" spans="1:31">
      <c r="A62" s="6117"/>
      <c r="B62" s="56" t="s">
        <v>149</v>
      </c>
      <c r="C62" s="56" t="s">
        <v>1207</v>
      </c>
      <c r="D62" s="779"/>
      <c r="E62" s="779"/>
      <c r="F62" s="779"/>
      <c r="G62" s="779"/>
      <c r="H62" s="779"/>
      <c r="I62" s="779"/>
      <c r="J62" s="779"/>
      <c r="K62" s="779"/>
      <c r="L62" s="779"/>
      <c r="M62" s="779"/>
      <c r="N62" s="2435" t="s">
        <v>717</v>
      </c>
      <c r="O62" s="780"/>
      <c r="P62" s="780"/>
      <c r="Q62" s="780"/>
      <c r="R62" s="779"/>
      <c r="S62" s="779"/>
      <c r="T62" s="779"/>
      <c r="U62" s="779"/>
      <c r="V62" s="779"/>
      <c r="W62" s="779"/>
      <c r="X62" s="779"/>
      <c r="Y62" s="779"/>
      <c r="Z62" s="779"/>
      <c r="AA62" s="779"/>
      <c r="AB62" s="2434"/>
      <c r="AC62" s="779"/>
      <c r="AD62" s="779"/>
      <c r="AE62" s="804"/>
    </row>
    <row r="63" spans="1:31">
      <c r="A63" s="6168"/>
      <c r="B63" s="816" t="s">
        <v>149</v>
      </c>
      <c r="C63" s="816" t="s">
        <v>151</v>
      </c>
      <c r="D63" s="780"/>
      <c r="E63" s="2435" t="s">
        <v>720</v>
      </c>
      <c r="F63" s="780"/>
      <c r="G63" s="780"/>
      <c r="H63" s="2435" t="s">
        <v>722</v>
      </c>
      <c r="I63" s="780"/>
      <c r="J63" s="3021" t="s">
        <v>1025</v>
      </c>
      <c r="K63" s="6172" t="s">
        <v>1186</v>
      </c>
      <c r="L63" s="6172"/>
      <c r="M63" s="3106" t="s">
        <v>1025</v>
      </c>
      <c r="N63" s="780"/>
      <c r="O63" s="780"/>
      <c r="P63" s="780"/>
      <c r="Q63" s="2435"/>
      <c r="R63" s="1264"/>
      <c r="S63" s="785"/>
      <c r="T63" s="785"/>
      <c r="U63" s="2439"/>
      <c r="V63" s="780"/>
      <c r="W63" s="780"/>
      <c r="X63" s="780"/>
      <c r="Y63" s="2435"/>
      <c r="Z63" s="2435"/>
      <c r="AA63" s="2435" t="s">
        <v>722</v>
      </c>
      <c r="AB63" s="3128"/>
      <c r="AC63" s="3128"/>
      <c r="AD63" s="3128"/>
      <c r="AE63" s="3129"/>
    </row>
    <row r="64" spans="1:31">
      <c r="A64" s="6173" t="s">
        <v>13</v>
      </c>
      <c r="B64" s="1923" t="s">
        <v>283</v>
      </c>
      <c r="C64" s="1923" t="s">
        <v>1005</v>
      </c>
      <c r="D64" s="937"/>
      <c r="E64" s="937"/>
      <c r="F64" s="3019" t="s">
        <v>1025</v>
      </c>
      <c r="G64" s="4593" t="s">
        <v>1178</v>
      </c>
      <c r="H64" s="4593"/>
      <c r="I64" s="3019" t="s">
        <v>1025</v>
      </c>
      <c r="J64" s="937"/>
      <c r="K64" s="937"/>
      <c r="L64" s="3019" t="s">
        <v>1025</v>
      </c>
      <c r="M64" s="3019" t="s">
        <v>1025</v>
      </c>
      <c r="N64" s="6174" t="s">
        <v>1181</v>
      </c>
      <c r="O64" s="6174"/>
      <c r="P64" s="3019" t="s">
        <v>1025</v>
      </c>
      <c r="Q64" s="3019" t="s">
        <v>1025</v>
      </c>
      <c r="R64" s="937"/>
      <c r="S64" s="937"/>
      <c r="T64" s="937"/>
      <c r="U64" s="937"/>
      <c r="V64" s="3075" t="s">
        <v>1180</v>
      </c>
      <c r="W64" s="2433" t="s">
        <v>720</v>
      </c>
      <c r="X64" s="3076" t="s">
        <v>1180</v>
      </c>
      <c r="Y64" s="937"/>
      <c r="Z64" s="937"/>
      <c r="AA64" s="2433" t="s">
        <v>720</v>
      </c>
      <c r="AB64" s="3130"/>
      <c r="AC64" s="3019" t="s">
        <v>1025</v>
      </c>
      <c r="AD64" s="6175" t="s">
        <v>1182</v>
      </c>
      <c r="AE64" s="6176"/>
    </row>
    <row r="65" spans="1:31">
      <c r="A65" s="5826"/>
      <c r="B65" s="2795" t="s">
        <v>127</v>
      </c>
      <c r="C65" s="2" t="s">
        <v>128</v>
      </c>
      <c r="D65" s="1387" t="s">
        <v>482</v>
      </c>
      <c r="E65" s="779"/>
      <c r="F65" s="779"/>
      <c r="G65" s="779" t="s">
        <v>1208</v>
      </c>
      <c r="H65" s="779"/>
      <c r="I65" s="779"/>
      <c r="J65" s="779"/>
      <c r="K65" s="779"/>
      <c r="L65" s="779"/>
      <c r="M65" s="779"/>
      <c r="N65" s="779"/>
      <c r="O65" s="779"/>
      <c r="P65" s="779"/>
      <c r="Q65" s="779"/>
      <c r="R65" s="779"/>
      <c r="S65" s="779"/>
      <c r="T65" s="779"/>
      <c r="U65" s="6125" t="s">
        <v>1108</v>
      </c>
      <c r="V65" s="6125"/>
      <c r="W65" s="6125"/>
      <c r="X65" s="6125"/>
      <c r="Y65" s="6125"/>
      <c r="Z65" s="6125"/>
      <c r="AA65" s="6125"/>
      <c r="AB65" s="6125"/>
      <c r="AC65" s="6125"/>
      <c r="AD65" s="6125"/>
      <c r="AE65" s="6126"/>
    </row>
    <row r="66" spans="1:31">
      <c r="A66" s="5826"/>
      <c r="B66" s="2795" t="s">
        <v>602</v>
      </c>
      <c r="C66" s="2" t="s">
        <v>660</v>
      </c>
      <c r="D66" s="2"/>
      <c r="E66" s="779"/>
      <c r="F66" s="779"/>
      <c r="G66" s="779"/>
      <c r="H66" s="2434"/>
      <c r="I66" s="2434" t="s">
        <v>720</v>
      </c>
      <c r="J66" s="779"/>
      <c r="K66" s="779"/>
      <c r="L66" s="779"/>
      <c r="M66" s="779"/>
      <c r="N66" s="2434" t="s">
        <v>722</v>
      </c>
      <c r="O66" s="779"/>
      <c r="P66" s="779"/>
      <c r="Q66" s="5270" t="s">
        <v>1209</v>
      </c>
      <c r="R66" s="5270"/>
      <c r="S66" s="5270"/>
      <c r="T66" s="5270"/>
      <c r="U66" s="779"/>
      <c r="V66" s="779"/>
      <c r="W66" s="779"/>
      <c r="X66" s="2434"/>
      <c r="Y66" s="779"/>
      <c r="Z66" s="2434" t="s">
        <v>722</v>
      </c>
      <c r="AA66" s="779"/>
      <c r="AB66" s="779"/>
      <c r="AC66" s="779"/>
      <c r="AD66" s="779"/>
      <c r="AE66" s="804"/>
    </row>
    <row r="67" spans="1:31">
      <c r="A67" s="5826"/>
      <c r="B67" s="56" t="s">
        <v>81</v>
      </c>
      <c r="C67" s="56" t="s">
        <v>396</v>
      </c>
      <c r="D67" s="779"/>
      <c r="E67" s="779"/>
      <c r="F67" s="3010" t="s">
        <v>1025</v>
      </c>
      <c r="G67" s="4306" t="s">
        <v>1178</v>
      </c>
      <c r="H67" s="4306"/>
      <c r="I67" s="3010" t="s">
        <v>1025</v>
      </c>
      <c r="J67" s="779"/>
      <c r="K67" s="779"/>
      <c r="L67" s="3010" t="s">
        <v>1025</v>
      </c>
      <c r="M67" s="3010" t="s">
        <v>1025</v>
      </c>
      <c r="N67" s="4313" t="s">
        <v>1181</v>
      </c>
      <c r="O67" s="4313"/>
      <c r="P67" s="3010" t="s">
        <v>1025</v>
      </c>
      <c r="Q67" s="3010" t="s">
        <v>1025</v>
      </c>
      <c r="R67" s="2894"/>
      <c r="S67" s="2894"/>
      <c r="T67" s="2432" t="s">
        <v>722</v>
      </c>
      <c r="U67" s="779"/>
      <c r="V67" s="2434"/>
      <c r="W67" s="779"/>
      <c r="X67" s="779"/>
      <c r="Y67" s="2434" t="s">
        <v>720</v>
      </c>
      <c r="Z67" s="779"/>
      <c r="AA67" s="3010" t="s">
        <v>1025</v>
      </c>
      <c r="AB67" s="6162" t="s">
        <v>1210</v>
      </c>
      <c r="AC67" s="6162"/>
      <c r="AD67" s="6162"/>
      <c r="AE67" s="3045" t="s">
        <v>1025</v>
      </c>
    </row>
    <row r="68" spans="1:31">
      <c r="A68" s="6166"/>
      <c r="B68" s="68" t="s">
        <v>1211</v>
      </c>
      <c r="C68" s="68" t="s">
        <v>1212</v>
      </c>
      <c r="D68" s="782"/>
      <c r="E68" s="782"/>
      <c r="F68" s="782"/>
      <c r="G68" s="782"/>
      <c r="H68" s="782"/>
      <c r="I68" s="782"/>
      <c r="J68" s="782"/>
      <c r="K68" s="782"/>
      <c r="L68" s="782"/>
      <c r="M68" s="782"/>
      <c r="N68" s="782"/>
      <c r="O68" s="782"/>
      <c r="P68" s="782"/>
      <c r="Q68" s="782"/>
      <c r="R68" s="782"/>
      <c r="S68" s="782"/>
      <c r="T68" s="782"/>
      <c r="U68" s="782"/>
      <c r="V68" s="782"/>
      <c r="W68" s="782"/>
      <c r="X68" s="782"/>
      <c r="Y68" s="782"/>
      <c r="Z68" s="3070"/>
      <c r="AA68" s="2599" t="s">
        <v>1025</v>
      </c>
      <c r="AB68" s="6163" t="s">
        <v>1210</v>
      </c>
      <c r="AC68" s="6163"/>
      <c r="AD68" s="6163"/>
      <c r="AE68" s="3046" t="s">
        <v>1025</v>
      </c>
    </row>
    <row r="69" spans="1:31">
      <c r="A69" s="5825" t="s">
        <v>751</v>
      </c>
      <c r="B69" s="266" t="s">
        <v>561</v>
      </c>
      <c r="C69" s="2480" t="s">
        <v>303</v>
      </c>
      <c r="D69" s="778"/>
      <c r="E69" s="778"/>
      <c r="F69" s="778"/>
      <c r="G69" s="778"/>
      <c r="H69" s="778"/>
      <c r="I69" s="778"/>
      <c r="J69" s="778"/>
      <c r="K69" s="778"/>
      <c r="L69" s="2437"/>
      <c r="M69" s="2437" t="s">
        <v>722</v>
      </c>
      <c r="N69" s="778"/>
      <c r="O69" s="778"/>
      <c r="P69" s="778"/>
      <c r="Q69" s="778"/>
      <c r="R69" s="778"/>
      <c r="S69" s="778"/>
      <c r="T69" s="778"/>
      <c r="U69" s="2437" t="s">
        <v>720</v>
      </c>
      <c r="V69" s="778"/>
      <c r="W69" s="778"/>
      <c r="X69" s="778"/>
      <c r="Y69" s="778"/>
      <c r="Z69" s="778"/>
      <c r="AA69" s="778"/>
      <c r="AB69" s="2437" t="s">
        <v>722</v>
      </c>
      <c r="AC69" s="2437"/>
      <c r="AD69" s="778"/>
      <c r="AE69" s="805"/>
    </row>
    <row r="70" spans="1:31">
      <c r="A70" s="6166"/>
      <c r="B70" s="68" t="s">
        <v>155</v>
      </c>
      <c r="C70" s="2393" t="s">
        <v>532</v>
      </c>
      <c r="D70" s="2443" t="s">
        <v>722</v>
      </c>
      <c r="E70" s="782"/>
      <c r="F70" s="782"/>
      <c r="G70" s="782"/>
      <c r="H70" s="2599" t="s">
        <v>1025</v>
      </c>
      <c r="I70" s="5670" t="s">
        <v>754</v>
      </c>
      <c r="J70" s="5671"/>
      <c r="K70" s="5671"/>
      <c r="L70" s="5671"/>
      <c r="M70" s="5671"/>
      <c r="N70" s="5672"/>
      <c r="O70" s="2599" t="s">
        <v>1025</v>
      </c>
      <c r="P70" s="782"/>
      <c r="Q70" s="2443"/>
      <c r="R70" s="2443" t="s">
        <v>722</v>
      </c>
      <c r="S70" s="782"/>
      <c r="T70" s="782"/>
      <c r="U70" s="2443"/>
      <c r="V70" s="782"/>
      <c r="W70" s="782"/>
      <c r="X70" s="782"/>
      <c r="Y70" s="2443"/>
      <c r="Z70" s="782"/>
      <c r="AA70" s="1646" t="s">
        <v>720</v>
      </c>
      <c r="AB70" s="782"/>
      <c r="AC70" s="2443"/>
      <c r="AD70" s="782"/>
      <c r="AE70" s="807"/>
    </row>
  </sheetData>
  <mergeCells count="99">
    <mergeCell ref="A8:C8"/>
    <mergeCell ref="A1:C1"/>
    <mergeCell ref="D1:AE1"/>
    <mergeCell ref="A2:C2"/>
    <mergeCell ref="A3:C3"/>
    <mergeCell ref="A4:C4"/>
    <mergeCell ref="R4:U4"/>
    <mergeCell ref="A5:C5"/>
    <mergeCell ref="E5:H5"/>
    <mergeCell ref="N5:P5"/>
    <mergeCell ref="A6:C6"/>
    <mergeCell ref="A7:C7"/>
    <mergeCell ref="A17:C17"/>
    <mergeCell ref="A9:C9"/>
    <mergeCell ref="G9:H9"/>
    <mergeCell ref="A10:C10"/>
    <mergeCell ref="A11:C11"/>
    <mergeCell ref="A12:C12"/>
    <mergeCell ref="A13:C13"/>
    <mergeCell ref="A14:C14"/>
    <mergeCell ref="N14:O14"/>
    <mergeCell ref="A15:C15"/>
    <mergeCell ref="A16:C16"/>
    <mergeCell ref="AD16:AE16"/>
    <mergeCell ref="N27:Q27"/>
    <mergeCell ref="A18:C18"/>
    <mergeCell ref="A19:C19"/>
    <mergeCell ref="A20:C20"/>
    <mergeCell ref="F20:J20"/>
    <mergeCell ref="A21:C21"/>
    <mergeCell ref="N21:Q21"/>
    <mergeCell ref="A22:C22"/>
    <mergeCell ref="A23:C23"/>
    <mergeCell ref="A24:C24"/>
    <mergeCell ref="A25:C25"/>
    <mergeCell ref="K27:L27"/>
    <mergeCell ref="A29:A30"/>
    <mergeCell ref="A31:A33"/>
    <mergeCell ref="D31:J31"/>
    <mergeCell ref="N31:Q31"/>
    <mergeCell ref="K32:L32"/>
    <mergeCell ref="N33:Q33"/>
    <mergeCell ref="A34:A39"/>
    <mergeCell ref="K34:L34"/>
    <mergeCell ref="N34:Q34"/>
    <mergeCell ref="G35:H35"/>
    <mergeCell ref="K35:L35"/>
    <mergeCell ref="N35:Q35"/>
    <mergeCell ref="N36:P36"/>
    <mergeCell ref="K38:L38"/>
    <mergeCell ref="D47:E47"/>
    <mergeCell ref="H47:N47"/>
    <mergeCell ref="O47:P47"/>
    <mergeCell ref="D48:G48"/>
    <mergeCell ref="K48:N48"/>
    <mergeCell ref="O48:P48"/>
    <mergeCell ref="AD54:AE54"/>
    <mergeCell ref="N55:P55"/>
    <mergeCell ref="R55:T55"/>
    <mergeCell ref="AD55:AE55"/>
    <mergeCell ref="E56:H56"/>
    <mergeCell ref="AA56:AE56"/>
    <mergeCell ref="Q48:S48"/>
    <mergeCell ref="R49:Z49"/>
    <mergeCell ref="E53:J53"/>
    <mergeCell ref="A54:A59"/>
    <mergeCell ref="N54:Q54"/>
    <mergeCell ref="A40:A53"/>
    <mergeCell ref="R41:U41"/>
    <mergeCell ref="X41:Y41"/>
    <mergeCell ref="D42:E42"/>
    <mergeCell ref="D44:M44"/>
    <mergeCell ref="N44:AE44"/>
    <mergeCell ref="K46:N46"/>
    <mergeCell ref="O46:P46"/>
    <mergeCell ref="Q46:S46"/>
    <mergeCell ref="Z46:AE46"/>
    <mergeCell ref="Q56:Z56"/>
    <mergeCell ref="N57:O57"/>
    <mergeCell ref="R57:U57"/>
    <mergeCell ref="K58:L58"/>
    <mergeCell ref="N58:Q58"/>
    <mergeCell ref="A69:A70"/>
    <mergeCell ref="I70:N70"/>
    <mergeCell ref="K59:L59"/>
    <mergeCell ref="A60:A63"/>
    <mergeCell ref="R60:AE60"/>
    <mergeCell ref="D61:L61"/>
    <mergeCell ref="K63:L63"/>
    <mergeCell ref="A64:A68"/>
    <mergeCell ref="G64:H64"/>
    <mergeCell ref="N64:O64"/>
    <mergeCell ref="AD64:AE64"/>
    <mergeCell ref="U65:AE65"/>
    <mergeCell ref="Q66:T66"/>
    <mergeCell ref="G67:H67"/>
    <mergeCell ref="N67:O67"/>
    <mergeCell ref="AB67:AD67"/>
    <mergeCell ref="AB68:AD68"/>
  </mergeCells>
  <printOptions verticalCentered="1"/>
  <pageMargins left="0.25" right="0.25" top="0.75" bottom="0.75" header="0.3" footer="0.3"/>
  <pageSetup orientation="landscape" verticalDpi="59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38BF-C543-45DB-9ECA-DED34DDE7B8A}">
  <sheetPr>
    <pageSetUpPr fitToPage="1"/>
  </sheetPr>
  <dimension ref="A1:BH70"/>
  <sheetViews>
    <sheetView zoomScale="80" zoomScaleNormal="80" workbookViewId="0">
      <pane xSplit="2" topLeftCell="C9" activePane="topRight" state="frozen"/>
      <selection pane="topRight" activeCell="B40" sqref="B40"/>
    </sheetView>
  </sheetViews>
  <sheetFormatPr defaultRowHeight="15"/>
  <cols>
    <col min="1" max="1" width="9.140625" customWidth="1"/>
    <col min="2" max="2" width="13.5703125" bestFit="1" customWidth="1"/>
    <col min="3" max="30" width="9.140625" bestFit="1" customWidth="1"/>
    <col min="31" max="33" width="9.140625" style="3245" bestFit="1" customWidth="1"/>
    <col min="34" max="34" width="9.140625" bestFit="1" customWidth="1"/>
    <col min="35" max="35" width="9.140625" customWidth="1"/>
    <col min="36" max="36" width="12.7109375" bestFit="1" customWidth="1"/>
    <col min="37" max="37" width="19.28515625" customWidth="1"/>
    <col min="38" max="38" width="17.5703125" customWidth="1"/>
    <col min="39" max="39" width="20.28515625" customWidth="1"/>
    <col min="40" max="40" width="11.7109375" customWidth="1"/>
    <col min="41" max="41" width="17.7109375" bestFit="1" customWidth="1"/>
    <col min="42" max="42" width="20.85546875" bestFit="1" customWidth="1"/>
    <col min="43" max="43" width="12.28515625" bestFit="1" customWidth="1"/>
    <col min="44" max="45" width="19.85546875" customWidth="1"/>
    <col min="46" max="46" width="15.42578125" bestFit="1" customWidth="1"/>
    <col min="47" max="47" width="9.140625" bestFit="1" customWidth="1"/>
    <col min="48" max="48" width="12.5703125" customWidth="1"/>
    <col min="49" max="49" width="9.140625" bestFit="1" customWidth="1"/>
  </cols>
  <sheetData>
    <row r="1" spans="1:60">
      <c r="A1" s="6205"/>
      <c r="B1" s="6205"/>
      <c r="C1" s="6223" t="s">
        <v>1168</v>
      </c>
      <c r="D1" s="5073"/>
      <c r="E1" s="5073"/>
      <c r="F1" s="5073"/>
      <c r="G1" s="5073"/>
      <c r="H1" s="5073"/>
      <c r="I1" s="5073"/>
      <c r="J1" s="5073"/>
      <c r="K1" s="5073"/>
      <c r="L1" s="5073"/>
      <c r="M1" s="5073"/>
      <c r="N1" s="5073"/>
      <c r="O1" s="5073"/>
      <c r="P1" s="5073"/>
      <c r="Q1" s="5073"/>
      <c r="R1" s="5073"/>
      <c r="S1" s="5073"/>
      <c r="T1" s="5073"/>
      <c r="U1" s="5073"/>
      <c r="V1" s="5073"/>
      <c r="W1" s="5073"/>
      <c r="X1" s="5073"/>
      <c r="Y1" s="5073"/>
      <c r="Z1" s="5073"/>
      <c r="AA1" s="5073"/>
      <c r="AB1" s="5073"/>
      <c r="AC1" s="5073"/>
      <c r="AD1" s="5074"/>
      <c r="AE1" s="3234"/>
      <c r="AF1" s="3234"/>
      <c r="AG1" s="3235"/>
      <c r="AH1" s="3233"/>
      <c r="AJ1" s="6221" t="s">
        <v>1113</v>
      </c>
      <c r="AK1" s="6221"/>
      <c r="AL1" s="6221"/>
      <c r="AM1" s="6221"/>
      <c r="AN1" s="6221"/>
      <c r="AO1" s="6221"/>
      <c r="AP1" s="6221"/>
      <c r="AQ1" s="6221"/>
      <c r="AR1" s="6221"/>
      <c r="AS1" s="6221"/>
      <c r="AT1" s="6221"/>
      <c r="AU1" s="6221"/>
      <c r="AV1" s="6221"/>
      <c r="AW1" s="6221"/>
      <c r="AX1" s="6221"/>
      <c r="AY1" s="6221"/>
      <c r="AZ1" s="6221"/>
      <c r="BA1" s="6221"/>
      <c r="BB1" s="6221"/>
      <c r="BC1" s="6221"/>
      <c r="BD1" s="6221"/>
      <c r="BE1" s="6221"/>
      <c r="BF1" s="6221"/>
      <c r="BG1" s="6221"/>
      <c r="BH1" s="6221"/>
    </row>
    <row r="2" spans="1:60">
      <c r="A2" s="4304"/>
      <c r="B2" s="4304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2867">
        <v>28</v>
      </c>
      <c r="AE2" s="2873"/>
      <c r="AF2" s="2873"/>
      <c r="AG2" s="3236"/>
      <c r="AH2" s="3233"/>
    </row>
    <row r="3" spans="1:60">
      <c r="A3" s="6222"/>
      <c r="B3" s="6222"/>
      <c r="C3" s="1267" t="s">
        <v>36</v>
      </c>
      <c r="D3" s="1267" t="s">
        <v>36</v>
      </c>
      <c r="E3" s="3588" t="s">
        <v>37</v>
      </c>
      <c r="F3" s="2942" t="s">
        <v>33</v>
      </c>
      <c r="G3" s="2942" t="s">
        <v>34</v>
      </c>
      <c r="H3" s="3588" t="s">
        <v>33</v>
      </c>
      <c r="I3" s="3588" t="s">
        <v>35</v>
      </c>
      <c r="J3" s="1267" t="s">
        <v>36</v>
      </c>
      <c r="K3" s="1267" t="s">
        <v>36</v>
      </c>
      <c r="L3" s="1267" t="s">
        <v>37</v>
      </c>
      <c r="M3" s="2942" t="s">
        <v>33</v>
      </c>
      <c r="N3" s="2942" t="s">
        <v>34</v>
      </c>
      <c r="O3" s="3588" t="s">
        <v>33</v>
      </c>
      <c r="P3" s="2942" t="s">
        <v>35</v>
      </c>
      <c r="Q3" s="2945" t="s">
        <v>36</v>
      </c>
      <c r="R3" s="2945" t="s">
        <v>36</v>
      </c>
      <c r="S3" s="2945" t="s">
        <v>37</v>
      </c>
      <c r="T3" s="2945" t="s">
        <v>33</v>
      </c>
      <c r="U3" s="2942" t="s">
        <v>34</v>
      </c>
      <c r="V3" s="3588" t="s">
        <v>33</v>
      </c>
      <c r="W3" s="3588" t="s">
        <v>35</v>
      </c>
      <c r="X3" s="1267" t="s">
        <v>36</v>
      </c>
      <c r="Y3" s="1267" t="s">
        <v>36</v>
      </c>
      <c r="Z3" s="3588" t="s">
        <v>37</v>
      </c>
      <c r="AA3" s="2942" t="s">
        <v>33</v>
      </c>
      <c r="AB3" s="2942" t="s">
        <v>34</v>
      </c>
      <c r="AC3" s="3588" t="s">
        <v>33</v>
      </c>
      <c r="AD3" s="2867" t="s">
        <v>35</v>
      </c>
      <c r="AE3" s="3237"/>
      <c r="AF3" s="3237"/>
      <c r="AG3" s="3238"/>
      <c r="AH3" s="3233"/>
      <c r="AJ3" s="4289" t="s">
        <v>1115</v>
      </c>
      <c r="AK3" s="4289"/>
      <c r="AL3" s="4289"/>
      <c r="AM3" s="4289"/>
      <c r="AN3" s="4289"/>
      <c r="AO3" s="4289"/>
      <c r="AP3" s="4289"/>
      <c r="AQ3" s="4289"/>
      <c r="AR3" s="4289"/>
      <c r="AS3" s="4289"/>
      <c r="AT3" s="4289"/>
      <c r="AV3" s="4289" t="s">
        <v>1116</v>
      </c>
      <c r="AW3" s="4289"/>
      <c r="AX3" s="4289"/>
      <c r="AY3" s="4289"/>
      <c r="AZ3" s="4289"/>
      <c r="BA3" s="4289"/>
      <c r="BB3" s="4289"/>
      <c r="BD3" t="s">
        <v>1135</v>
      </c>
    </row>
    <row r="4" spans="1:60">
      <c r="A4" s="6220" t="s">
        <v>1117</v>
      </c>
      <c r="B4" s="6220"/>
      <c r="C4" s="3155">
        <v>2</v>
      </c>
      <c r="D4" s="3155">
        <v>3</v>
      </c>
      <c r="E4" s="3155">
        <v>0</v>
      </c>
      <c r="F4" s="3155">
        <v>0</v>
      </c>
      <c r="G4" s="3155">
        <v>0</v>
      </c>
      <c r="H4" s="3155">
        <v>0</v>
      </c>
      <c r="I4" s="3155">
        <v>1</v>
      </c>
      <c r="J4" s="3155">
        <v>2</v>
      </c>
      <c r="K4" s="3155">
        <v>3</v>
      </c>
      <c r="L4" s="3155">
        <v>0</v>
      </c>
      <c r="M4" s="3155">
        <v>0</v>
      </c>
      <c r="N4" s="3155">
        <v>0</v>
      </c>
      <c r="O4" s="3155">
        <v>0</v>
      </c>
      <c r="P4" s="3155">
        <v>1</v>
      </c>
      <c r="Q4" s="3155">
        <v>2</v>
      </c>
      <c r="R4" s="3155">
        <v>3</v>
      </c>
      <c r="S4" s="3155">
        <v>0</v>
      </c>
      <c r="T4" s="3155">
        <v>0</v>
      </c>
      <c r="U4" s="3155">
        <v>0</v>
      </c>
      <c r="V4" s="3155">
        <v>0</v>
      </c>
      <c r="W4" s="3155">
        <v>1</v>
      </c>
      <c r="X4" s="3155">
        <v>2</v>
      </c>
      <c r="Y4" s="3155">
        <v>3</v>
      </c>
      <c r="Z4" s="3155">
        <v>0</v>
      </c>
      <c r="AA4" s="3155">
        <v>0</v>
      </c>
      <c r="AB4" s="3155">
        <v>0</v>
      </c>
      <c r="AC4" s="3155">
        <v>0</v>
      </c>
      <c r="AD4" s="3155">
        <v>1</v>
      </c>
      <c r="AE4" s="2677"/>
      <c r="AF4" s="2677"/>
      <c r="AG4" s="2677"/>
      <c r="AH4" s="3233"/>
      <c r="AI4" t="s">
        <v>1213</v>
      </c>
      <c r="AJ4" t="s">
        <v>1118</v>
      </c>
      <c r="AK4" t="s">
        <v>1119</v>
      </c>
      <c r="AL4" t="s">
        <v>1120</v>
      </c>
      <c r="AM4" t="s">
        <v>1121</v>
      </c>
      <c r="AN4" t="s">
        <v>1122</v>
      </c>
      <c r="AO4" t="s">
        <v>1123</v>
      </c>
      <c r="AP4" t="s">
        <v>1124</v>
      </c>
      <c r="AQ4" t="s">
        <v>1125</v>
      </c>
      <c r="AR4" t="s">
        <v>1126</v>
      </c>
      <c r="AS4" t="s">
        <v>1214</v>
      </c>
      <c r="AT4" t="s">
        <v>1127</v>
      </c>
      <c r="AV4" t="s">
        <v>1128</v>
      </c>
      <c r="AW4" t="s">
        <v>1129</v>
      </c>
      <c r="AX4" t="s">
        <v>1130</v>
      </c>
      <c r="AY4" t="s">
        <v>1131</v>
      </c>
      <c r="AZ4" t="s">
        <v>1132</v>
      </c>
      <c r="BA4" t="s">
        <v>1133</v>
      </c>
      <c r="BB4" t="s">
        <v>1134</v>
      </c>
    </row>
    <row r="5" spans="1:60" ht="15.75">
      <c r="A5" s="56"/>
      <c r="B5" s="56"/>
      <c r="C5" s="2894" t="s">
        <v>1215</v>
      </c>
      <c r="D5" s="2894"/>
      <c r="E5" s="880"/>
      <c r="F5" s="880"/>
      <c r="G5" s="880"/>
      <c r="H5" s="880"/>
      <c r="I5" s="880"/>
      <c r="J5" s="675"/>
      <c r="K5" s="675"/>
      <c r="L5" s="880"/>
      <c r="M5" s="3251"/>
      <c r="N5" s="3251"/>
      <c r="O5" s="880"/>
      <c r="P5" s="675"/>
      <c r="Q5" s="675"/>
      <c r="R5" s="675"/>
      <c r="S5" s="675"/>
      <c r="T5" s="675"/>
      <c r="U5" s="2639"/>
      <c r="V5" s="675" t="s">
        <v>1216</v>
      </c>
      <c r="W5" s="675"/>
      <c r="X5" s="675"/>
      <c r="Y5" s="675"/>
      <c r="Z5" s="675" t="s">
        <v>720</v>
      </c>
      <c r="AA5" s="2639"/>
      <c r="AB5" s="675"/>
      <c r="AC5" s="675"/>
      <c r="AD5" s="880"/>
      <c r="AE5" s="2677"/>
      <c r="AF5" s="2459"/>
      <c r="AG5" s="2459"/>
      <c r="AH5" s="3233"/>
    </row>
    <row r="6" spans="1:60">
      <c r="A6" s="56" t="s">
        <v>561</v>
      </c>
      <c r="B6" s="56" t="s">
        <v>718</v>
      </c>
      <c r="C6" s="2659">
        <v>2</v>
      </c>
      <c r="D6" s="2659">
        <v>2</v>
      </c>
      <c r="E6" s="2659">
        <v>2</v>
      </c>
      <c r="F6" s="2659">
        <v>2</v>
      </c>
      <c r="G6" s="2659">
        <v>2</v>
      </c>
      <c r="H6" s="2659">
        <v>2</v>
      </c>
      <c r="I6" s="2659">
        <v>2</v>
      </c>
      <c r="J6" s="2659">
        <v>2</v>
      </c>
      <c r="K6" s="2659">
        <v>2</v>
      </c>
      <c r="L6" s="2659">
        <v>2</v>
      </c>
      <c r="M6" s="2659">
        <v>2</v>
      </c>
      <c r="N6" s="2659">
        <v>2</v>
      </c>
      <c r="O6" s="2659">
        <v>2</v>
      </c>
      <c r="P6" s="2659">
        <v>2</v>
      </c>
      <c r="Q6" s="2659">
        <v>2</v>
      </c>
      <c r="R6" s="2659">
        <v>2</v>
      </c>
      <c r="S6" s="2659">
        <v>2</v>
      </c>
      <c r="T6" s="2659">
        <v>2</v>
      </c>
      <c r="U6" s="2659">
        <v>2</v>
      </c>
      <c r="V6" s="2659">
        <v>2</v>
      </c>
      <c r="W6" s="2659">
        <v>0</v>
      </c>
      <c r="X6" s="2659">
        <v>0</v>
      </c>
      <c r="Y6" s="2659">
        <v>0</v>
      </c>
      <c r="Z6" s="2659">
        <v>8</v>
      </c>
      <c r="AA6" s="2659">
        <v>0</v>
      </c>
      <c r="AB6" s="2659">
        <v>0</v>
      </c>
      <c r="AC6" s="2659">
        <v>0</v>
      </c>
      <c r="AD6" s="2659">
        <v>0</v>
      </c>
      <c r="AE6" s="2250"/>
      <c r="AF6" s="2250"/>
      <c r="AG6" s="2250"/>
      <c r="AH6" s="3233"/>
      <c r="AI6" s="3202">
        <v>0</v>
      </c>
      <c r="AJ6" cm="1">
        <f t="array" ref="AJ6">SUM(COUNTIFS($C6:$AG6,{"0","4","5","6","7","8","9"}))</f>
        <v>8</v>
      </c>
      <c r="AK6" cm="1">
        <f t="array" ref="AK6">SUM(COUNTIFS($C6:$AG6,{"0","4","5","6","7","8","9"},$C$4:$AG$4,"0"))</f>
        <v>4</v>
      </c>
      <c r="AL6" cm="1">
        <f t="array" ref="AL6">SUM(COUNTIFS($C6:$AG6,{"0","4","5","6","7","8","9"},$C$4:$AG$4,"1"))</f>
        <v>2</v>
      </c>
      <c r="AM6" cm="1">
        <f t="array" ref="AM6">SUM(COUNTIFS($C6:$AG6,{"0","4","5","6","7","8","9"},$C$4:$AG$4,"2"))</f>
        <v>1</v>
      </c>
      <c r="AN6" cm="1">
        <f t="array" ref="AN6">SUM(COUNTIFS($C6:$AG6,{"0","4","5","6","7","8","9"},$C$4:$AG$4,"3"))</f>
        <v>1</v>
      </c>
      <c r="AO6" cm="1">
        <f t="array" ref="AO6">SUM(COUNTIFS($C6:$AG6,{"1","2","3"}))</f>
        <v>20</v>
      </c>
      <c r="AP6" cm="1">
        <f t="array" ref="AP6">SUM(COUNTIFS($C6:$AG6,{"4","5","6"}))</f>
        <v>0</v>
      </c>
      <c r="AQ6">
        <f>AK6*'Spreadsheet Key'!$A$23 + AL6*'Spreadsheet Key'!$A$24 + AM6*'Spreadsheet Key'!$A$25 + AN6*'Spreadsheet Key'!$A$26</f>
        <v>324</v>
      </c>
      <c r="AR6">
        <f>AJ6/('FEB Statistics'!$B$29)*ABS(AI6-1)</f>
        <v>1.9417475728155338E-2</v>
      </c>
      <c r="AS6">
        <f>AI6*AT6</f>
        <v>0</v>
      </c>
      <c r="AT6">
        <f>AR6*'FEB Statistics'!$C$10</f>
        <v>19.631067961165048</v>
      </c>
      <c r="AV6">
        <f>COUNTIFS($C6:$AG6,"8",$C$4:$AG$4,"0")</f>
        <v>1</v>
      </c>
      <c r="AW6">
        <f>COUNTIFS($C6:$AG6,"9",$C$4:$AG$4,"0")</f>
        <v>0</v>
      </c>
      <c r="AX6">
        <f>COUNTIFS($C6:$AG6,"8",$C$4:$AG$4,"1")</f>
        <v>0</v>
      </c>
      <c r="AY6" cm="1">
        <f t="array" ref="AY6">COUNTIFS($C6:$AG6,"9",$C$4:$AG$4,"1")+SUM(COUNTIFS($C6:$AG6,{"8","9"},$C$4:$AG$4,"2"))+COUNTIFS($C6:$AG6,"8",$C$4:$AG$4,"3")</f>
        <v>0</v>
      </c>
      <c r="AZ6">
        <f>COUNTIFS($C6:$AG6,"9",$C$4:$AG$4,"3")</f>
        <v>0</v>
      </c>
      <c r="BA6">
        <f>SUM(AV6:AZ6)</f>
        <v>1</v>
      </c>
      <c r="BB6">
        <f>AV6*'Spreadsheet Key'!$A$27+AW6*'Spreadsheet Key'!$A$28+AX6*'Spreadsheet Key'!$A$29+AY6*'Spreadsheet Key'!$A$30+AZ6*'Spreadsheet Key'!$A$31</f>
        <v>10</v>
      </c>
      <c r="BD6">
        <f>AT6-BB6</f>
        <v>9.6310679611650478</v>
      </c>
    </row>
    <row r="7" spans="1:60">
      <c r="A7" s="56"/>
      <c r="B7" s="56"/>
      <c r="C7" s="3082" t="s">
        <v>251</v>
      </c>
      <c r="D7" s="3082" t="s">
        <v>251</v>
      </c>
      <c r="E7" s="779"/>
      <c r="F7" s="2434" t="s">
        <v>720</v>
      </c>
      <c r="G7" s="779"/>
      <c r="H7" s="779"/>
      <c r="I7" s="3010" t="s">
        <v>1025</v>
      </c>
      <c r="J7" s="4396" t="s">
        <v>1186</v>
      </c>
      <c r="K7" s="4467"/>
      <c r="L7" s="3010" t="s">
        <v>1025</v>
      </c>
      <c r="M7" s="2260"/>
      <c r="N7" s="3685"/>
      <c r="O7" s="2260"/>
      <c r="P7" s="2260"/>
      <c r="Q7" s="2894"/>
      <c r="R7" s="779"/>
      <c r="S7" s="2434" t="s">
        <v>720</v>
      </c>
      <c r="T7" s="779"/>
      <c r="U7" s="779"/>
      <c r="V7" s="779"/>
      <c r="W7" s="2434" t="s">
        <v>722</v>
      </c>
      <c r="X7" s="779"/>
      <c r="Y7" s="2434"/>
      <c r="Z7" s="2434"/>
      <c r="AA7" s="779"/>
      <c r="AB7" s="779"/>
      <c r="AC7" s="779"/>
      <c r="AD7" s="779"/>
      <c r="AE7" s="2677"/>
      <c r="AF7" s="2459"/>
      <c r="AG7" s="2459"/>
      <c r="AH7" s="3233"/>
      <c r="AI7" s="3202"/>
      <c r="AJ7" cm="1">
        <f t="array" ref="AJ7">SUM(COUNTIFS($C7:$AG7,{"0","4","5","6","7","8","9"}))</f>
        <v>0</v>
      </c>
      <c r="AK7" cm="1">
        <f t="array" ref="AK7">SUM(COUNTIFS($C7:$AG7,{"0","4","5","6","7","8","9"},$C$4:$AG$4,"0"))</f>
        <v>0</v>
      </c>
      <c r="AL7" cm="1">
        <f t="array" ref="AL7">SUM(COUNTIFS($C7:$AG7,{"0","4","5","6","7","8","9"},$C$4:$AG$4,"1"))</f>
        <v>0</v>
      </c>
      <c r="AM7" cm="1">
        <f t="array" ref="AM7">SUM(COUNTIFS($C7:$AG7,{"0","4","5","6","7","8","9"},$C$4:$AG$4,"2"))</f>
        <v>0</v>
      </c>
      <c r="AN7" cm="1">
        <f t="array" ref="AN7">SUM(COUNTIFS($C7:$AG7,{"0","4","5","6","7","8","9"},$C$4:$AG$4,"3"))</f>
        <v>0</v>
      </c>
      <c r="AO7" cm="1">
        <f t="array" ref="AO7">SUM(COUNTIFS($C7:$AG7,{"1","2","3"}))</f>
        <v>0</v>
      </c>
      <c r="AP7" cm="1">
        <f t="array" ref="AP7">SUM(COUNTIFS($C7:$AG7,{"4","5","6"}))</f>
        <v>0</v>
      </c>
      <c r="AQ7">
        <f>AK7*'Spreadsheet Key'!$A$23 + AL7*'Spreadsheet Key'!$A$24 + AM7*'Spreadsheet Key'!$A$25 + AN7*'Spreadsheet Key'!$A$26</f>
        <v>0</v>
      </c>
      <c r="AR7">
        <f>AJ7/('FEB Statistics'!$B$29)*ABS(AI7-1)</f>
        <v>0</v>
      </c>
      <c r="AS7">
        <f>AI7*AT7</f>
        <v>0</v>
      </c>
      <c r="AT7">
        <f>AR7*'FEB Statistics'!$C$10</f>
        <v>0</v>
      </c>
      <c r="AV7">
        <f>COUNTIFS($C7:$AG7,"8",$C$4:$AG$4,"0")</f>
        <v>0</v>
      </c>
      <c r="AW7">
        <f>COUNTIFS($C7:$AG7,"9",$C$4:$AG$4,"0")</f>
        <v>0</v>
      </c>
      <c r="AX7">
        <f>COUNTIFS($C7:$AG7,"8",$C$4:$AG$4,"1")</f>
        <v>0</v>
      </c>
      <c r="AY7" cm="1">
        <f t="array" ref="AY7">COUNTIFS($C7:$AG7,"9",$C$4:$AG$4,"1")+SUM(COUNTIFS($C7:$AG7,{"8","9"},$C$4:$AG$4,"2"))+COUNTIFS($C7:$AG7,"8",$C$4:$AG$4,"3")</f>
        <v>0</v>
      </c>
      <c r="AZ7">
        <f>COUNTIFS($C7:$AG7,"9",$C$4:$AG$4,"3")</f>
        <v>0</v>
      </c>
      <c r="BA7">
        <f>SUM(AV7:AZ7)</f>
        <v>0</v>
      </c>
      <c r="BB7">
        <f>AV7*'Spreadsheet Key'!$A$27+AW7*'Spreadsheet Key'!$A$28+AX7*'Spreadsheet Key'!$A$29+AY7*'Spreadsheet Key'!$A$30+AZ7*'Spreadsheet Key'!$A$31</f>
        <v>0</v>
      </c>
    </row>
    <row r="8" spans="1:60">
      <c r="A8" s="56" t="s">
        <v>326</v>
      </c>
      <c r="B8" s="56" t="s">
        <v>327</v>
      </c>
      <c r="C8" s="2659">
        <v>2</v>
      </c>
      <c r="D8" s="2659">
        <v>3</v>
      </c>
      <c r="E8" s="2659">
        <v>0</v>
      </c>
      <c r="F8" s="2659">
        <v>8</v>
      </c>
      <c r="G8" s="2659">
        <v>0</v>
      </c>
      <c r="H8" s="2659">
        <v>0</v>
      </c>
      <c r="I8" s="2659">
        <v>1</v>
      </c>
      <c r="J8" s="2659">
        <v>2</v>
      </c>
      <c r="K8" s="2659">
        <v>2</v>
      </c>
      <c r="L8" s="2659">
        <v>3</v>
      </c>
      <c r="M8" s="2659">
        <v>0</v>
      </c>
      <c r="N8" s="2659">
        <v>0</v>
      </c>
      <c r="O8" s="2659">
        <v>0</v>
      </c>
      <c r="P8" s="2659">
        <v>0</v>
      </c>
      <c r="Q8" s="2659">
        <v>0</v>
      </c>
      <c r="R8" s="2659">
        <v>0</v>
      </c>
      <c r="S8" s="2659">
        <v>8</v>
      </c>
      <c r="T8" s="2659">
        <v>0</v>
      </c>
      <c r="U8" s="2659">
        <v>0</v>
      </c>
      <c r="V8" s="2659">
        <v>0</v>
      </c>
      <c r="W8" s="2659">
        <v>9</v>
      </c>
      <c r="X8" s="2659">
        <v>0</v>
      </c>
      <c r="Y8" s="2659">
        <v>0</v>
      </c>
      <c r="Z8" s="2659">
        <v>0</v>
      </c>
      <c r="AA8" s="2659">
        <v>0</v>
      </c>
      <c r="AB8" s="2659">
        <v>0</v>
      </c>
      <c r="AC8" s="2659">
        <v>0</v>
      </c>
      <c r="AD8" s="2659">
        <v>0</v>
      </c>
      <c r="AE8" s="2250"/>
      <c r="AF8" s="2250"/>
      <c r="AG8" s="2250"/>
      <c r="AH8" s="3233"/>
      <c r="AI8" s="3202">
        <v>0</v>
      </c>
      <c r="AJ8" cm="1">
        <f t="array" ref="AJ8">SUM(COUNTIFS($C8:$AG8,{"0","4","5","6","7","8","9"}))</f>
        <v>22</v>
      </c>
      <c r="AK8" cm="1">
        <f t="array" ref="AK8">SUM(COUNTIFS($C8:$AG8,{"0","4","5","6","7","8","9"},$C$4:$AG$4,"0"))</f>
        <v>15</v>
      </c>
      <c r="AL8" cm="1">
        <f t="array" ref="AL8">SUM(COUNTIFS($C8:$AG8,{"0","4","5","6","7","8","9"},$C$4:$AG$4,"1"))</f>
        <v>3</v>
      </c>
      <c r="AM8" cm="1">
        <f t="array" ref="AM8">SUM(COUNTIFS($C8:$AG8,{"0","4","5","6","7","8","9"},$C$4:$AG$4,"2"))</f>
        <v>2</v>
      </c>
      <c r="AN8" cm="1">
        <f t="array" ref="AN8">SUM(COUNTIFS($C8:$AG8,{"0","4","5","6","7","8","9"},$C$4:$AG$4,"3"))</f>
        <v>2</v>
      </c>
      <c r="AO8" cm="1">
        <f t="array" ref="AO8">SUM(COUNTIFS($C8:$AG8,{"1","2","3"}))</f>
        <v>6</v>
      </c>
      <c r="AP8" cm="1">
        <f t="array" ref="AP8">SUM(COUNTIFS($C8:$AG8,{"4","5","6"}))</f>
        <v>0</v>
      </c>
      <c r="AQ8">
        <f>AK8*'Spreadsheet Key'!$A$23 + AL8*'Spreadsheet Key'!$A$24 + AM8*'Spreadsheet Key'!$A$25 + AN8*'Spreadsheet Key'!$A$26</f>
        <v>748</v>
      </c>
      <c r="AR8">
        <f>AJ8/('FEB Statistics'!$B$29)*ABS(AI8-1)</f>
        <v>5.3398058252427182E-2</v>
      </c>
      <c r="AS8">
        <f>AI8*AT8</f>
        <v>0</v>
      </c>
      <c r="AT8">
        <f>AR8*'FEB Statistics'!$C$10</f>
        <v>53.985436893203882</v>
      </c>
      <c r="AV8">
        <f>COUNTIFS($C8:$AG8,"8",$C$4:$AG$4,"0")</f>
        <v>2</v>
      </c>
      <c r="AW8">
        <f>COUNTIFS($C8:$AG8,"9",$C$4:$AG$4,"0")</f>
        <v>0</v>
      </c>
      <c r="AX8">
        <f>COUNTIFS($C8:$AG8,"8",$C$4:$AG$4,"1")</f>
        <v>0</v>
      </c>
      <c r="AY8" cm="1">
        <f t="array" ref="AY8">COUNTIFS($C8:$AG8,"9",$C$4:$AG$4,"1")+SUM(COUNTIFS($C8:$AG8,{"8","9"},$C$4:$AG$4,"2"))+COUNTIFS($C8:$AG8,"8",$C$4:$AG$4,"3")</f>
        <v>1</v>
      </c>
      <c r="AZ8">
        <f>COUNTIFS($C8:$AG8,"9",$C$4:$AG$4,"3")</f>
        <v>0</v>
      </c>
      <c r="BA8">
        <f>SUM(AV8:AZ8)</f>
        <v>3</v>
      </c>
      <c r="BB8">
        <f>AV8*'Spreadsheet Key'!$A$27+AW8*'Spreadsheet Key'!$A$28+AX8*'Spreadsheet Key'!$A$29+AY8*'Spreadsheet Key'!$A$30+AZ8*'Spreadsheet Key'!$A$31</f>
        <v>56</v>
      </c>
      <c r="BD8">
        <f>AT8-BB8</f>
        <v>-2.0145631067961176</v>
      </c>
    </row>
    <row r="9" spans="1:60">
      <c r="A9" s="56"/>
      <c r="B9" s="56"/>
      <c r="C9" s="779"/>
      <c r="D9" s="779"/>
      <c r="E9" s="779"/>
      <c r="F9" s="779"/>
      <c r="G9" s="779"/>
      <c r="H9" s="779"/>
      <c r="I9" s="779"/>
      <c r="J9" s="2434" t="s">
        <v>722</v>
      </c>
      <c r="K9" s="779"/>
      <c r="L9" s="3010" t="s">
        <v>1025</v>
      </c>
      <c r="M9" s="6164" t="s">
        <v>1184</v>
      </c>
      <c r="N9" s="5569"/>
      <c r="O9" s="5569"/>
      <c r="P9" s="6165"/>
      <c r="Q9" s="3010" t="s">
        <v>1025</v>
      </c>
      <c r="R9" s="779"/>
      <c r="S9" s="779"/>
      <c r="T9" s="779"/>
      <c r="U9" s="2434" t="s">
        <v>720</v>
      </c>
      <c r="V9" s="2434"/>
      <c r="W9" s="779"/>
      <c r="X9" s="779"/>
      <c r="Y9" s="779"/>
      <c r="Z9" s="779"/>
      <c r="AA9" s="779"/>
      <c r="AB9" s="779"/>
      <c r="AC9" s="779"/>
      <c r="AD9" s="2434" t="s">
        <v>722</v>
      </c>
      <c r="AE9" s="2459"/>
      <c r="AF9" s="2459"/>
      <c r="AG9" s="2677"/>
      <c r="AH9" s="3233"/>
      <c r="AI9" s="3202"/>
      <c r="AJ9" cm="1">
        <f t="array" ref="AJ9">SUM(COUNTIFS($C9:$AG9,{"0","4","5","6","7","8","9"}))</f>
        <v>0</v>
      </c>
      <c r="AK9" cm="1">
        <f t="array" ref="AK9">SUM(COUNTIFS($C9:$AG9,{"0","4","5","6","7","8","9"},$C$4:$AG$4,"0"))</f>
        <v>0</v>
      </c>
      <c r="AL9" cm="1">
        <f t="array" ref="AL9">SUM(COUNTIFS($C9:$AG9,{"0","4","5","6","7","8","9"},$C$4:$AG$4,"1"))</f>
        <v>0</v>
      </c>
      <c r="AM9" cm="1">
        <f t="array" ref="AM9">SUM(COUNTIFS($C9:$AG9,{"0","4","5","6","7","8","9"},$C$4:$AG$4,"2"))</f>
        <v>0</v>
      </c>
      <c r="AN9" cm="1">
        <f t="array" ref="AN9">SUM(COUNTIFS($C9:$AG9,{"0","4","5","6","7","8","9"},$C$4:$AG$4,"3"))</f>
        <v>0</v>
      </c>
      <c r="AO9" cm="1">
        <f t="array" ref="AO9">SUM(COUNTIFS($C9:$AG9,{"1","2","3"}))</f>
        <v>0</v>
      </c>
      <c r="AP9" cm="1">
        <f t="array" ref="AP9">SUM(COUNTIFS($C9:$AG9,{"4","5","6"}))</f>
        <v>0</v>
      </c>
      <c r="AQ9">
        <f>AK9*'Spreadsheet Key'!$A$23 + AL9*'Spreadsheet Key'!$A$24 + AM9*'Spreadsheet Key'!$A$25 + AN9*'Spreadsheet Key'!$A$26</f>
        <v>0</v>
      </c>
      <c r="AR9">
        <f>AJ9/('FEB Statistics'!$B$29)*ABS(AI9-1)</f>
        <v>0</v>
      </c>
      <c r="AS9">
        <f>AI9*AT9</f>
        <v>0</v>
      </c>
      <c r="AT9">
        <f>AR9*'FEB Statistics'!$C$10</f>
        <v>0</v>
      </c>
      <c r="AV9">
        <f>COUNTIFS($C9:$AG9,"8",$C$4:$AG$4,"0")</f>
        <v>0</v>
      </c>
      <c r="AW9">
        <f>COUNTIFS($C9:$AG9,"9",$C$4:$AG$4,"0")</f>
        <v>0</v>
      </c>
      <c r="AX9">
        <f>COUNTIFS($C9:$AG9,"8",$C$4:$AG$4,"1")</f>
        <v>0</v>
      </c>
      <c r="AY9" cm="1">
        <f t="array" ref="AY9">COUNTIFS($C9:$AG9,"9",$C$4:$AG$4,"1")+SUM(COUNTIFS($C9:$AG9,{"8","9"},$C$4:$AG$4,"2"))+COUNTIFS($C9:$AG9,"8",$C$4:$AG$4,"3")</f>
        <v>0</v>
      </c>
      <c r="AZ9">
        <f>COUNTIFS($C9:$AG9,"9",$C$4:$AG$4,"3")</f>
        <v>0</v>
      </c>
      <c r="BA9">
        <f>SUM(AV9:AZ9)</f>
        <v>0</v>
      </c>
      <c r="BB9">
        <f>AV9*'Spreadsheet Key'!$A$27+AW9*'Spreadsheet Key'!$A$28+AX9*'Spreadsheet Key'!$A$29+AY9*'Spreadsheet Key'!$A$30+AZ9*'Spreadsheet Key'!$A$31</f>
        <v>0</v>
      </c>
    </row>
    <row r="10" spans="1:60">
      <c r="A10" s="56" t="s">
        <v>606</v>
      </c>
      <c r="B10" s="56" t="s">
        <v>98</v>
      </c>
      <c r="C10" s="2659">
        <v>0</v>
      </c>
      <c r="D10" s="2659">
        <v>0</v>
      </c>
      <c r="E10" s="2659">
        <v>0</v>
      </c>
      <c r="F10" s="2659">
        <v>0</v>
      </c>
      <c r="G10" s="2659">
        <v>0</v>
      </c>
      <c r="H10" s="2659">
        <v>0</v>
      </c>
      <c r="I10" s="2659">
        <v>0</v>
      </c>
      <c r="J10" s="2659">
        <v>9</v>
      </c>
      <c r="K10" s="2659">
        <v>0</v>
      </c>
      <c r="L10" s="2659">
        <v>1</v>
      </c>
      <c r="M10" s="2659">
        <v>2</v>
      </c>
      <c r="N10" s="2659">
        <v>2</v>
      </c>
      <c r="O10" s="2659">
        <v>2</v>
      </c>
      <c r="P10" s="2659">
        <v>2</v>
      </c>
      <c r="Q10" s="2659">
        <v>3</v>
      </c>
      <c r="R10" s="2659">
        <v>0</v>
      </c>
      <c r="S10" s="2659">
        <v>0</v>
      </c>
      <c r="T10" s="2659">
        <v>0</v>
      </c>
      <c r="U10" s="2659">
        <v>8</v>
      </c>
      <c r="V10" s="2659">
        <v>0</v>
      </c>
      <c r="W10" s="2659">
        <v>0</v>
      </c>
      <c r="X10" s="2659">
        <v>0</v>
      </c>
      <c r="Y10" s="2659">
        <v>0</v>
      </c>
      <c r="Z10" s="2659">
        <v>0</v>
      </c>
      <c r="AA10" s="2659">
        <v>0</v>
      </c>
      <c r="AB10" s="2659">
        <v>0</v>
      </c>
      <c r="AC10" s="2659">
        <v>0</v>
      </c>
      <c r="AD10" s="2659">
        <v>9</v>
      </c>
      <c r="AE10" s="2250"/>
      <c r="AF10" s="2250"/>
      <c r="AG10" s="2250"/>
      <c r="AH10" s="3233"/>
      <c r="AI10" s="3202">
        <v>0</v>
      </c>
      <c r="AJ10" cm="1">
        <f t="array" ref="AJ10">SUM(COUNTIFS($C10:$AG10,{"0","4","5","6","7","8","9"}))</f>
        <v>22</v>
      </c>
      <c r="AK10" cm="1">
        <f t="array" ref="AK10">SUM(COUNTIFS($C10:$AG10,{"0","4","5","6","7","8","9"},$C$4:$AG$4,"0"))</f>
        <v>12</v>
      </c>
      <c r="AL10" cm="1">
        <f t="array" ref="AL10">SUM(COUNTIFS($C10:$AG10,{"0","4","5","6","7","8","9"},$C$4:$AG$4,"1"))</f>
        <v>3</v>
      </c>
      <c r="AM10" cm="1">
        <f t="array" ref="AM10">SUM(COUNTIFS($C10:$AG10,{"0","4","5","6","7","8","9"},$C$4:$AG$4,"2"))</f>
        <v>3</v>
      </c>
      <c r="AN10" cm="1">
        <f t="array" ref="AN10">SUM(COUNTIFS($C10:$AG10,{"0","4","5","6","7","8","9"},$C$4:$AG$4,"3"))</f>
        <v>4</v>
      </c>
      <c r="AO10" cm="1">
        <f t="array" ref="AO10">SUM(COUNTIFS($C10:$AG10,{"1","2","3"}))</f>
        <v>6</v>
      </c>
      <c r="AP10" cm="1">
        <f t="array" ref="AP10">SUM(COUNTIFS($C10:$AG10,{"4","5","6"}))</f>
        <v>0</v>
      </c>
      <c r="AQ10">
        <f>AK10*'Spreadsheet Key'!$A$23 + AL10*'Spreadsheet Key'!$A$24 + AM10*'Spreadsheet Key'!$A$25 + AN10*'Spreadsheet Key'!$A$26</f>
        <v>866</v>
      </c>
      <c r="AR10">
        <f>AJ10/('FEB Statistics'!$B$29)*ABS(AI10-1)</f>
        <v>5.3398058252427182E-2</v>
      </c>
      <c r="AS10">
        <f>AI10*AT10</f>
        <v>0</v>
      </c>
      <c r="AT10">
        <f>AR10*'FEB Statistics'!$C$10</f>
        <v>53.985436893203882</v>
      </c>
      <c r="AV10">
        <f>COUNTIFS($C10:$AG10,"8",$C$4:$AG$4,"0")</f>
        <v>1</v>
      </c>
      <c r="AW10">
        <f>COUNTIFS($C10:$AG10,"9",$C$4:$AG$4,"0")</f>
        <v>0</v>
      </c>
      <c r="AX10">
        <f>COUNTIFS($C10:$AG10,"8",$C$4:$AG$4,"1")</f>
        <v>0</v>
      </c>
      <c r="AY10" cm="1">
        <f t="array" ref="AY10">COUNTIFS($C10:$AG10,"9",$C$4:$AG$4,"1")+SUM(COUNTIFS($C10:$AG10,{"8","9"},$C$4:$AG$4,"2"))+COUNTIFS($C10:$AG10,"8",$C$4:$AG$4,"3")</f>
        <v>2</v>
      </c>
      <c r="AZ10">
        <f>COUNTIFS($C10:$AG10,"9",$C$4:$AG$4,"3")</f>
        <v>0</v>
      </c>
      <c r="BA10">
        <f>SUM(AV10:AZ10)</f>
        <v>3</v>
      </c>
      <c r="BB10">
        <f>AV10*'Spreadsheet Key'!$A$27+AW10*'Spreadsheet Key'!$A$28+AX10*'Spreadsheet Key'!$A$29+AY10*'Spreadsheet Key'!$A$30+AZ10*'Spreadsheet Key'!$A$31</f>
        <v>82</v>
      </c>
      <c r="BD10">
        <f>AT10-BB10</f>
        <v>-28.014563106796118</v>
      </c>
    </row>
    <row r="11" spans="1:60">
      <c r="A11" s="2389"/>
      <c r="B11" s="56"/>
      <c r="C11" s="2434" t="s">
        <v>1189</v>
      </c>
      <c r="D11" s="779"/>
      <c r="E11" s="3010" t="s">
        <v>1025</v>
      </c>
      <c r="F11" s="4517" t="s">
        <v>1178</v>
      </c>
      <c r="G11" s="4519"/>
      <c r="H11" s="3010" t="s">
        <v>1025</v>
      </c>
      <c r="I11" s="3010" t="s">
        <v>1025</v>
      </c>
      <c r="J11" s="4396" t="s">
        <v>1186</v>
      </c>
      <c r="K11" s="4467"/>
      <c r="L11" s="3010" t="s">
        <v>1025</v>
      </c>
      <c r="M11" s="6164" t="s">
        <v>1184</v>
      </c>
      <c r="N11" s="5569"/>
      <c r="O11" s="5569"/>
      <c r="P11" s="6165"/>
      <c r="Q11" s="3010" t="s">
        <v>1025</v>
      </c>
      <c r="R11" s="779"/>
      <c r="S11" s="779"/>
      <c r="T11" s="779"/>
      <c r="U11" s="779"/>
      <c r="V11" s="2434" t="s">
        <v>722</v>
      </c>
      <c r="W11" s="779"/>
      <c r="X11" s="779"/>
      <c r="Y11" s="779"/>
      <c r="Z11" s="779"/>
      <c r="AA11" s="779"/>
      <c r="AB11" s="779"/>
      <c r="AC11" s="779"/>
      <c r="AD11" s="2434" t="s">
        <v>720</v>
      </c>
      <c r="AE11" s="2459"/>
      <c r="AF11" s="2459"/>
      <c r="AG11" s="2677"/>
      <c r="AH11" s="3233"/>
      <c r="AI11" s="3202"/>
      <c r="AJ11" cm="1">
        <f t="array" ref="AJ11">SUM(COUNTIFS($C11:$AG11,{"0","4","5","6","7","8","9"}))</f>
        <v>0</v>
      </c>
      <c r="AK11" cm="1">
        <f t="array" ref="AK11">SUM(COUNTIFS($C11:$AG11,{"0","4","5","6","7","8","9"},$C$4:$AG$4,"0"))</f>
        <v>0</v>
      </c>
      <c r="AL11" cm="1">
        <f t="array" ref="AL11">SUM(COUNTIFS($C11:$AG11,{"0","4","5","6","7","8","9"},$C$4:$AG$4,"1"))</f>
        <v>0</v>
      </c>
      <c r="AM11" cm="1">
        <f t="array" ref="AM11">SUM(COUNTIFS($C11:$AG11,{"0","4","5","6","7","8","9"},$C$4:$AG$4,"2"))</f>
        <v>0</v>
      </c>
      <c r="AN11" cm="1">
        <f t="array" ref="AN11">SUM(COUNTIFS($C11:$AG11,{"0","4","5","6","7","8","9"},$C$4:$AG$4,"3"))</f>
        <v>0</v>
      </c>
      <c r="AO11" cm="1">
        <f t="array" ref="AO11">SUM(COUNTIFS($C11:$AG11,{"1","2","3"}))</f>
        <v>0</v>
      </c>
      <c r="AP11" cm="1">
        <f t="array" ref="AP11">SUM(COUNTIFS($C11:$AG11,{"4","5","6"}))</f>
        <v>0</v>
      </c>
      <c r="AQ11">
        <f>AK11*'Spreadsheet Key'!$A$23 + AL11*'Spreadsheet Key'!$A$24 + AM11*'Spreadsheet Key'!$A$25 + AN11*'Spreadsheet Key'!$A$26</f>
        <v>0</v>
      </c>
      <c r="AR11">
        <f>AJ11/('FEB Statistics'!$B$29)*ABS(AI11-1)</f>
        <v>0</v>
      </c>
      <c r="AS11">
        <f>AI11*AT11</f>
        <v>0</v>
      </c>
      <c r="AT11">
        <f>AR11*'FEB Statistics'!$C$10</f>
        <v>0</v>
      </c>
      <c r="AV11">
        <f>COUNTIFS($C11:$AG11,"8",$C$4:$AG$4,"0")</f>
        <v>0</v>
      </c>
      <c r="AW11">
        <f>COUNTIFS($C11:$AG11,"9",$C$4:$AG$4,"0")</f>
        <v>0</v>
      </c>
      <c r="AX11">
        <f>COUNTIFS($C11:$AG11,"8",$C$4:$AG$4,"1")</f>
        <v>0</v>
      </c>
      <c r="AY11" cm="1">
        <f t="array" ref="AY11">COUNTIFS($C11:$AG11,"9",$C$4:$AG$4,"1")+SUM(COUNTIFS($C11:$AG11,{"8","9"},$C$4:$AG$4,"2"))+COUNTIFS($C11:$AG11,"8",$C$4:$AG$4,"3")</f>
        <v>0</v>
      </c>
      <c r="AZ11">
        <f>COUNTIFS($C11:$AG11,"9",$C$4:$AG$4,"3")</f>
        <v>0</v>
      </c>
      <c r="BA11">
        <f>SUM(AV11:AZ11)</f>
        <v>0</v>
      </c>
      <c r="BB11">
        <f>AV11*'Spreadsheet Key'!$A$27+AW11*'Spreadsheet Key'!$A$28+AX11*'Spreadsheet Key'!$A$29+AY11*'Spreadsheet Key'!$A$30+AZ11*'Spreadsheet Key'!$A$31</f>
        <v>0</v>
      </c>
    </row>
    <row r="12" spans="1:60">
      <c r="A12" s="2389" t="s">
        <v>95</v>
      </c>
      <c r="B12" s="56" t="s">
        <v>726</v>
      </c>
      <c r="C12" s="2659">
        <v>8</v>
      </c>
      <c r="D12" s="2659">
        <v>0</v>
      </c>
      <c r="E12" s="2659">
        <v>1</v>
      </c>
      <c r="F12" s="2659">
        <v>2</v>
      </c>
      <c r="G12" s="2659">
        <v>2</v>
      </c>
      <c r="H12" s="2659">
        <v>2</v>
      </c>
      <c r="I12" s="2659">
        <v>2</v>
      </c>
      <c r="J12" s="2659">
        <v>2</v>
      </c>
      <c r="K12" s="2659">
        <v>2</v>
      </c>
      <c r="L12" s="2659">
        <v>2</v>
      </c>
      <c r="M12" s="2659">
        <v>2</v>
      </c>
      <c r="N12" s="2659">
        <v>2</v>
      </c>
      <c r="O12" s="2659">
        <v>2</v>
      </c>
      <c r="P12" s="2659">
        <v>2</v>
      </c>
      <c r="Q12" s="2659">
        <v>3</v>
      </c>
      <c r="R12" s="2659">
        <v>0</v>
      </c>
      <c r="S12" s="2659">
        <v>0</v>
      </c>
      <c r="T12" s="2659">
        <v>0</v>
      </c>
      <c r="U12" s="2659">
        <v>0</v>
      </c>
      <c r="V12" s="2659">
        <v>9</v>
      </c>
      <c r="W12" s="2659">
        <v>0</v>
      </c>
      <c r="X12" s="2659">
        <v>0</v>
      </c>
      <c r="Y12" s="2659">
        <v>0</v>
      </c>
      <c r="Z12" s="2659">
        <v>0</v>
      </c>
      <c r="AA12" s="2659">
        <v>0</v>
      </c>
      <c r="AB12" s="2659">
        <v>0</v>
      </c>
      <c r="AC12" s="2659">
        <v>0</v>
      </c>
      <c r="AD12" s="2659">
        <v>8</v>
      </c>
      <c r="AE12" s="2250"/>
      <c r="AF12" s="2250"/>
      <c r="AG12" s="2250"/>
      <c r="AH12" s="3233"/>
      <c r="AI12" s="3202">
        <v>0</v>
      </c>
      <c r="AJ12" cm="1">
        <f t="array" ref="AJ12">SUM(COUNTIFS($C12:$AG12,{"0","4","5","6","7","8","9"}))</f>
        <v>15</v>
      </c>
      <c r="AK12" cm="1">
        <f t="array" ref="AK12">SUM(COUNTIFS($C12:$AG12,{"0","4","5","6","7","8","9"},$C$4:$AG$4,"0"))</f>
        <v>8</v>
      </c>
      <c r="AL12" cm="1">
        <f t="array" ref="AL12">SUM(COUNTIFS($C12:$AG12,{"0","4","5","6","7","8","9"},$C$4:$AG$4,"1"))</f>
        <v>2</v>
      </c>
      <c r="AM12" cm="1">
        <f t="array" ref="AM12">SUM(COUNTIFS($C12:$AG12,{"0","4","5","6","7","8","9"},$C$4:$AG$4,"2"))</f>
        <v>2</v>
      </c>
      <c r="AN12" cm="1">
        <f t="array" ref="AN12">SUM(COUNTIFS($C12:$AG12,{"0","4","5","6","7","8","9"},$C$4:$AG$4,"3"))</f>
        <v>3</v>
      </c>
      <c r="AO12" cm="1">
        <f t="array" ref="AO12">SUM(COUNTIFS($C12:$AG12,{"1","2","3"}))</f>
        <v>13</v>
      </c>
      <c r="AP12" cm="1">
        <f t="array" ref="AP12">SUM(COUNTIFS($C12:$AG12,{"4","5","6"}))</f>
        <v>0</v>
      </c>
      <c r="AQ12">
        <f>AK12*'Spreadsheet Key'!$A$23 + AL12*'Spreadsheet Key'!$A$24 + AM12*'Spreadsheet Key'!$A$25 + AN12*'Spreadsheet Key'!$A$26</f>
        <v>596</v>
      </c>
      <c r="AR12">
        <f>AJ12/('FEB Statistics'!$B$29)*ABS(AI12-1)</f>
        <v>3.640776699029126E-2</v>
      </c>
      <c r="AS12">
        <f>AI12*AT12</f>
        <v>0</v>
      </c>
      <c r="AT12">
        <f>AR12*'FEB Statistics'!$C$10</f>
        <v>36.808252427184463</v>
      </c>
      <c r="AV12">
        <f>COUNTIFS($C12:$AG12,"8",$C$4:$AG$4,"0")</f>
        <v>0</v>
      </c>
      <c r="AW12">
        <f>COUNTIFS($C12:$AG12,"9",$C$4:$AG$4,"0")</f>
        <v>1</v>
      </c>
      <c r="AX12">
        <f>COUNTIFS($C12:$AG12,"8",$C$4:$AG$4,"1")</f>
        <v>1</v>
      </c>
      <c r="AY12" cm="1">
        <f t="array" ref="AY12">COUNTIFS($C12:$AG12,"9",$C$4:$AG$4,"1")+SUM(COUNTIFS($C12:$AG12,{"8","9"},$C$4:$AG$4,"2"))+COUNTIFS($C12:$AG12,"8",$C$4:$AG$4,"3")</f>
        <v>1</v>
      </c>
      <c r="AZ12">
        <f>COUNTIFS($C12:$AG12,"9",$C$4:$AG$4,"3")</f>
        <v>0</v>
      </c>
      <c r="BA12">
        <f>SUM(AV12:AZ12)</f>
        <v>3</v>
      </c>
      <c r="BB12">
        <f>AV12*'Spreadsheet Key'!$A$27+AW12*'Spreadsheet Key'!$A$28+AX12*'Spreadsheet Key'!$A$29+AY12*'Spreadsheet Key'!$A$30+AZ12*'Spreadsheet Key'!$A$31</f>
        <v>66</v>
      </c>
      <c r="BD12">
        <f>AT12-BB12</f>
        <v>-29.191747572815537</v>
      </c>
    </row>
    <row r="13" spans="1:60" s="3232" customFormat="1" ht="15.75">
      <c r="A13" s="56"/>
      <c r="B13" s="56"/>
      <c r="C13" s="2894" t="s">
        <v>1215</v>
      </c>
      <c r="D13" s="2894"/>
      <c r="E13" s="1268"/>
      <c r="F13" s="1268"/>
      <c r="G13" s="1268"/>
      <c r="H13" s="1268"/>
      <c r="I13" s="1268"/>
      <c r="J13" s="361"/>
      <c r="K13" s="361"/>
      <c r="L13" s="1268"/>
      <c r="M13" s="203"/>
      <c r="N13" s="203"/>
      <c r="O13" s="1268"/>
      <c r="P13" s="361"/>
      <c r="Q13" s="361"/>
      <c r="R13" s="361"/>
      <c r="S13" s="361"/>
      <c r="T13" s="361"/>
      <c r="U13" s="2456"/>
      <c r="V13" s="361"/>
      <c r="W13" s="361"/>
      <c r="X13" s="361"/>
      <c r="Y13" s="361"/>
      <c r="Z13" s="361"/>
      <c r="AA13" s="2456"/>
      <c r="AB13" s="361"/>
      <c r="AC13" s="361"/>
      <c r="AD13" s="1268"/>
      <c r="AE13" s="2459"/>
      <c r="AF13" s="2459"/>
      <c r="AG13" s="2677"/>
      <c r="AH13" s="3233"/>
      <c r="AI13" s="3202">
        <v>0</v>
      </c>
      <c r="AJ13" cm="1">
        <f t="array" ref="AJ13">SUM(COUNTIFS($C13:$AG13,{"0","4","5","6","7","8","9"}))</f>
        <v>0</v>
      </c>
      <c r="AK13" cm="1">
        <f t="array" ref="AK13">SUM(COUNTIFS($C13:$AG13,{"0","4","5","6","7","8","9"},$C$4:$AG$4,"0"))</f>
        <v>0</v>
      </c>
      <c r="AL13" cm="1">
        <f t="array" ref="AL13">SUM(COUNTIFS($C13:$AG13,{"0","4","5","6","7","8","9"},$C$4:$AG$4,"1"))</f>
        <v>0</v>
      </c>
      <c r="AM13" cm="1">
        <f t="array" ref="AM13">SUM(COUNTIFS($C13:$AG13,{"0","4","5","6","7","8","9"},$C$4:$AG$4,"2"))</f>
        <v>0</v>
      </c>
      <c r="AN13" cm="1">
        <f t="array" ref="AN13">SUM(COUNTIFS($C13:$AG13,{"0","4","5","6","7","8","9"},$C$4:$AG$4,"3"))</f>
        <v>0</v>
      </c>
      <c r="AO13" cm="1">
        <f t="array" ref="AO13">SUM(COUNTIFS($C13:$AG13,{"1","2","3"}))</f>
        <v>0</v>
      </c>
      <c r="AP13" cm="1">
        <f t="array" ref="AP13">SUM(COUNTIFS($C13:$AG13,{"4","5","6"}))</f>
        <v>0</v>
      </c>
      <c r="AQ13">
        <f>AK13*'Spreadsheet Key'!$A$23 + AL13*'Spreadsheet Key'!$A$24 + AM13*'Spreadsheet Key'!$A$25 + AN13*'Spreadsheet Key'!$A$26</f>
        <v>0</v>
      </c>
      <c r="AR13">
        <f>AJ13/('FEB Statistics'!$B$29)*ABS(AI13-1)</f>
        <v>0</v>
      </c>
      <c r="AS13">
        <f>AI13*AT13</f>
        <v>0</v>
      </c>
      <c r="AT13">
        <f>AR13*'FEB Statistics'!$C$10</f>
        <v>0</v>
      </c>
      <c r="AU13"/>
      <c r="AV13">
        <f>COUNTIFS($C13:$AG13,"8",$C$4:$AG$4,"0")</f>
        <v>0</v>
      </c>
      <c r="AW13">
        <f>COUNTIFS($C13:$AG13,"9",$C$4:$AG$4,"0")</f>
        <v>0</v>
      </c>
      <c r="AX13">
        <f>COUNTIFS($C13:$AG13,"8",$C$4:$AG$4,"1")</f>
        <v>0</v>
      </c>
      <c r="AY13" cm="1">
        <f t="array" ref="AY13">COUNTIFS($C13:$AG13,"9",$C$4:$AG$4,"1")+SUM(COUNTIFS($C13:$AG13,{"8","9"},$C$4:$AG$4,"2"))+COUNTIFS($C13:$AG13,"8",$C$4:$AG$4,"3")</f>
        <v>0</v>
      </c>
      <c r="AZ13">
        <f>COUNTIFS($C13:$AG13,"9",$C$4:$AG$4,"3")</f>
        <v>0</v>
      </c>
      <c r="BA13">
        <f>SUM(AV13:AZ13)</f>
        <v>0</v>
      </c>
      <c r="BB13">
        <f>AV13*'Spreadsheet Key'!$A$27+AW13*'Spreadsheet Key'!$A$28+AX13*'Spreadsheet Key'!$A$29+AY13*'Spreadsheet Key'!$A$30+AZ13*'Spreadsheet Key'!$A$31</f>
        <v>0</v>
      </c>
      <c r="BC13"/>
      <c r="BD13"/>
    </row>
    <row r="14" spans="1:60" s="3232" customFormat="1">
      <c r="A14" s="56" t="s">
        <v>95</v>
      </c>
      <c r="B14" s="56" t="s">
        <v>738</v>
      </c>
      <c r="C14" s="2659">
        <v>2</v>
      </c>
      <c r="D14" s="2659">
        <v>2</v>
      </c>
      <c r="E14" s="2659">
        <v>2</v>
      </c>
      <c r="F14" s="2659">
        <v>2</v>
      </c>
      <c r="G14" s="2659">
        <v>2</v>
      </c>
      <c r="H14" s="2659">
        <v>2</v>
      </c>
      <c r="I14" s="2659">
        <v>2</v>
      </c>
      <c r="J14" s="2659">
        <v>2</v>
      </c>
      <c r="K14" s="2659">
        <v>2</v>
      </c>
      <c r="L14" s="2659">
        <v>2</v>
      </c>
      <c r="M14" s="2659">
        <v>2</v>
      </c>
      <c r="N14" s="2659">
        <v>2</v>
      </c>
      <c r="O14" s="2659">
        <v>2</v>
      </c>
      <c r="P14" s="2659">
        <v>2</v>
      </c>
      <c r="Q14" s="2659">
        <v>2</v>
      </c>
      <c r="R14" s="2659">
        <v>2</v>
      </c>
      <c r="S14" s="2659">
        <v>2</v>
      </c>
      <c r="T14" s="2659">
        <v>2</v>
      </c>
      <c r="U14" s="2659">
        <v>2</v>
      </c>
      <c r="V14" s="2659">
        <v>2</v>
      </c>
      <c r="W14" s="2659">
        <v>2</v>
      </c>
      <c r="X14" s="2659">
        <v>2</v>
      </c>
      <c r="Y14" s="2659">
        <v>2</v>
      </c>
      <c r="Z14" s="2659">
        <v>2</v>
      </c>
      <c r="AA14" s="2659">
        <v>2</v>
      </c>
      <c r="AB14" s="2659">
        <v>2</v>
      </c>
      <c r="AC14" s="2659">
        <v>2</v>
      </c>
      <c r="AD14" s="2659">
        <v>2</v>
      </c>
      <c r="AE14" s="2250"/>
      <c r="AF14" s="2250"/>
      <c r="AG14" s="2250"/>
      <c r="AH14" s="3233"/>
      <c r="AI14" s="3202">
        <v>0</v>
      </c>
      <c r="AJ14" cm="1">
        <f t="array" ref="AJ14">SUM(COUNTIFS($C14:$AG14,{"0","4","5","6","7","8","9"}))</f>
        <v>0</v>
      </c>
      <c r="AK14" cm="1">
        <f t="array" ref="AK14">SUM(COUNTIFS($C14:$AG14,{"0","4","5","6","7","8","9"},$C$4:$AG$4,"0"))</f>
        <v>0</v>
      </c>
      <c r="AL14" cm="1">
        <f t="array" ref="AL14">SUM(COUNTIFS($C14:$AG14,{"0","4","5","6","7","8","9"},$C$4:$AG$4,"1"))</f>
        <v>0</v>
      </c>
      <c r="AM14" cm="1">
        <f t="array" ref="AM14">SUM(COUNTIFS($C14:$AG14,{"0","4","5","6","7","8","9"},$C$4:$AG$4,"2"))</f>
        <v>0</v>
      </c>
      <c r="AN14" cm="1">
        <f t="array" ref="AN14">SUM(COUNTIFS($C14:$AG14,{"0","4","5","6","7","8","9"},$C$4:$AG$4,"3"))</f>
        <v>0</v>
      </c>
      <c r="AO14" cm="1">
        <f t="array" ref="AO14">SUM(COUNTIFS($C14:$AG14,{"1","2","3"}))</f>
        <v>28</v>
      </c>
      <c r="AP14" cm="1">
        <f t="array" ref="AP14">SUM(COUNTIFS($C14:$AG14,{"4","5","6"}))</f>
        <v>0</v>
      </c>
      <c r="AQ14">
        <f>AK14*'Spreadsheet Key'!$A$23 + AL14*'Spreadsheet Key'!$A$24 + AM14*'Spreadsheet Key'!$A$25 + AN14*'Spreadsheet Key'!$A$26</f>
        <v>0</v>
      </c>
      <c r="AR14">
        <f>AJ14/('FEB Statistics'!$B$29)*ABS(AI14-1)</f>
        <v>0</v>
      </c>
      <c r="AS14">
        <f>AI14*AT14</f>
        <v>0</v>
      </c>
      <c r="AT14">
        <f>AR14*'FEB Statistics'!$C$10</f>
        <v>0</v>
      </c>
      <c r="AU14"/>
      <c r="AV14">
        <f>COUNTIFS($C14:$AG14,"8",$C$4:$AG$4,"0")</f>
        <v>0</v>
      </c>
      <c r="AW14">
        <f>COUNTIFS($C14:$AG14,"9",$C$4:$AG$4,"0")</f>
        <v>0</v>
      </c>
      <c r="AX14">
        <f>COUNTIFS($C14:$AG14,"8",$C$4:$AG$4,"1")</f>
        <v>0</v>
      </c>
      <c r="AY14" cm="1">
        <f t="array" ref="AY14">COUNTIFS($C14:$AG14,"9",$C$4:$AG$4,"1")+SUM(COUNTIFS($C14:$AG14,{"8","9"},$C$4:$AG$4,"2"))+COUNTIFS($C14:$AG14,"8",$C$4:$AG$4,"3")</f>
        <v>0</v>
      </c>
      <c r="AZ14">
        <f>COUNTIFS($C14:$AG14,"9",$C$4:$AG$4,"3")</f>
        <v>0</v>
      </c>
      <c r="BA14">
        <f>SUM(AV14:AZ14)</f>
        <v>0</v>
      </c>
      <c r="BB14">
        <f>AV14*'Spreadsheet Key'!$A$27+AW14*'Spreadsheet Key'!$A$28+AX14*'Spreadsheet Key'!$A$29+AY14*'Spreadsheet Key'!$A$30+AZ14*'Spreadsheet Key'!$A$31</f>
        <v>0</v>
      </c>
      <c r="BC14"/>
      <c r="BD14">
        <f>AT14-BB14</f>
        <v>0</v>
      </c>
    </row>
    <row r="15" spans="1:60">
      <c r="A15" s="56"/>
      <c r="B15" s="56"/>
      <c r="C15" s="779"/>
      <c r="D15" s="779"/>
      <c r="E15" s="779"/>
      <c r="F15" s="1459" t="s">
        <v>722</v>
      </c>
      <c r="G15" s="779"/>
      <c r="H15" s="779"/>
      <c r="I15" s="779"/>
      <c r="J15" s="779"/>
      <c r="K15" s="779"/>
      <c r="L15" s="779"/>
      <c r="M15" s="779"/>
      <c r="N15" s="2434" t="s">
        <v>722</v>
      </c>
      <c r="O15" s="779"/>
      <c r="P15" s="779"/>
      <c r="Q15" s="779"/>
      <c r="R15" s="2434" t="s">
        <v>720</v>
      </c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779"/>
      <c r="AE15" s="2459"/>
      <c r="AF15" s="2459"/>
      <c r="AG15" s="2459"/>
      <c r="AH15" s="3233"/>
      <c r="AI15" s="3202"/>
      <c r="AJ15" cm="1">
        <f t="array" ref="AJ15">SUM(COUNTIFS($C15:$AG15,{"0","4","5","6","7","8","9"}))</f>
        <v>0</v>
      </c>
      <c r="AK15" cm="1">
        <f t="array" ref="AK15">SUM(COUNTIFS($C15:$AG15,{"0","4","5","6","7","8","9"},$C$4:$AG$4,"0"))</f>
        <v>0</v>
      </c>
      <c r="AL15" cm="1">
        <f t="array" ref="AL15">SUM(COUNTIFS($C15:$AG15,{"0","4","5","6","7","8","9"},$C$4:$AG$4,"1"))</f>
        <v>0</v>
      </c>
      <c r="AM15" cm="1">
        <f t="array" ref="AM15">SUM(COUNTIFS($C15:$AG15,{"0","4","5","6","7","8","9"},$C$4:$AG$4,"2"))</f>
        <v>0</v>
      </c>
      <c r="AN15" cm="1">
        <f t="array" ref="AN15">SUM(COUNTIFS($C15:$AG15,{"0","4","5","6","7","8","9"},$C$4:$AG$4,"3"))</f>
        <v>0</v>
      </c>
      <c r="AO15" cm="1">
        <f t="array" ref="AO15">SUM(COUNTIFS($C15:$AG15,{"1","2","3"}))</f>
        <v>0</v>
      </c>
      <c r="AP15" cm="1">
        <f t="array" ref="AP15">SUM(COUNTIFS($C15:$AG15,{"4","5","6"}))</f>
        <v>0</v>
      </c>
      <c r="AQ15">
        <f>AK15*'Spreadsheet Key'!$A$23 + AL15*'Spreadsheet Key'!$A$24 + AM15*'Spreadsheet Key'!$A$25 + AN15*'Spreadsheet Key'!$A$26</f>
        <v>0</v>
      </c>
      <c r="AR15">
        <f>AJ15/('FEB Statistics'!$B$29)*ABS(AI15-1)</f>
        <v>0</v>
      </c>
      <c r="AS15">
        <f>AI15*AT15</f>
        <v>0</v>
      </c>
      <c r="AT15">
        <f>AR15*'FEB Statistics'!$C$10</f>
        <v>0</v>
      </c>
      <c r="AV15">
        <f>COUNTIFS($C15:$AG15,"8",$C$4:$AG$4,"0")</f>
        <v>0</v>
      </c>
      <c r="AW15">
        <f>COUNTIFS($C15:$AG15,"9",$C$4:$AG$4,"0")</f>
        <v>0</v>
      </c>
      <c r="AX15">
        <f>COUNTIFS($C15:$AG15,"8",$C$4:$AG$4,"1")</f>
        <v>0</v>
      </c>
      <c r="AY15" cm="1">
        <f t="array" ref="AY15">COUNTIFS($C15:$AG15,"9",$C$4:$AG$4,"1")+SUM(COUNTIFS($C15:$AG15,{"8","9"},$C$4:$AG$4,"2"))+COUNTIFS($C15:$AG15,"8",$C$4:$AG$4,"3")</f>
        <v>0</v>
      </c>
      <c r="AZ15">
        <f>COUNTIFS($C15:$AG15,"9",$C$4:$AG$4,"3")</f>
        <v>0</v>
      </c>
      <c r="BA15">
        <f>SUM(AV15:AZ15)</f>
        <v>0</v>
      </c>
      <c r="BB15">
        <f>AV15*'Spreadsheet Key'!$A$27+AW15*'Spreadsheet Key'!$A$28+AX15*'Spreadsheet Key'!$A$29+AY15*'Spreadsheet Key'!$A$30+AZ15*'Spreadsheet Key'!$A$31</f>
        <v>0</v>
      </c>
    </row>
    <row r="16" spans="1:60">
      <c r="A16" s="56" t="s">
        <v>108</v>
      </c>
      <c r="B16" s="56" t="s">
        <v>109</v>
      </c>
      <c r="C16" s="2659">
        <v>0</v>
      </c>
      <c r="D16" s="2659">
        <v>0</v>
      </c>
      <c r="E16" s="2659">
        <v>0</v>
      </c>
      <c r="F16" s="2659">
        <v>9</v>
      </c>
      <c r="G16" s="2659">
        <v>0</v>
      </c>
      <c r="H16" s="2659">
        <v>0</v>
      </c>
      <c r="I16" s="2659">
        <v>0</v>
      </c>
      <c r="J16" s="2659">
        <v>0</v>
      </c>
      <c r="K16" s="2659">
        <v>0</v>
      </c>
      <c r="L16" s="2659">
        <v>0</v>
      </c>
      <c r="M16" s="2659">
        <v>0</v>
      </c>
      <c r="N16" s="2659">
        <v>9</v>
      </c>
      <c r="O16" s="2659">
        <v>0</v>
      </c>
      <c r="P16" s="2659">
        <v>0</v>
      </c>
      <c r="Q16" s="2659">
        <v>0</v>
      </c>
      <c r="R16" s="2659">
        <v>8</v>
      </c>
      <c r="S16" s="2659">
        <v>0</v>
      </c>
      <c r="T16" s="2659">
        <v>0</v>
      </c>
      <c r="U16" s="2659">
        <v>0</v>
      </c>
      <c r="V16" s="2659">
        <v>0</v>
      </c>
      <c r="W16" s="2659">
        <v>0</v>
      </c>
      <c r="X16" s="2659">
        <v>0</v>
      </c>
      <c r="Y16" s="2659">
        <v>0</v>
      </c>
      <c r="Z16" s="2659">
        <v>0</v>
      </c>
      <c r="AA16" s="2659">
        <v>0</v>
      </c>
      <c r="AB16" s="2659">
        <v>0</v>
      </c>
      <c r="AC16" s="2659">
        <v>0</v>
      </c>
      <c r="AD16" s="2659">
        <v>0</v>
      </c>
      <c r="AE16" s="2250"/>
      <c r="AF16" s="2250"/>
      <c r="AG16" s="2250"/>
      <c r="AH16" s="3233"/>
      <c r="AI16" s="3202">
        <v>0</v>
      </c>
      <c r="AJ16" cm="1">
        <f t="array" ref="AJ16">SUM(COUNTIFS($C16:$AG16,{"0","4","5","6","7","8","9"}))</f>
        <v>28</v>
      </c>
      <c r="AK16" cm="1">
        <f t="array" ref="AK16">SUM(COUNTIFS($C16:$AG16,{"0","4","5","6","7","8","9"},$C$4:$AG$4,"0"))</f>
        <v>16</v>
      </c>
      <c r="AL16" cm="1">
        <f t="array" ref="AL16">SUM(COUNTIFS($C16:$AG16,{"0","4","5","6","7","8","9"},$C$4:$AG$4,"1"))</f>
        <v>4</v>
      </c>
      <c r="AM16" cm="1">
        <f t="array" ref="AM16">SUM(COUNTIFS($C16:$AG16,{"0","4","5","6","7","8","9"},$C$4:$AG$4,"2"))</f>
        <v>4</v>
      </c>
      <c r="AN16" cm="1">
        <f t="array" ref="AN16">SUM(COUNTIFS($C16:$AG16,{"0","4","5","6","7","8","9"},$C$4:$AG$4,"3"))</f>
        <v>4</v>
      </c>
      <c r="AO16" cm="1">
        <f t="array" ref="AO16">SUM(COUNTIFS($C16:$AG16,{"1","2","3"}))</f>
        <v>0</v>
      </c>
      <c r="AP16" cm="1">
        <f t="array" ref="AP16">SUM(COUNTIFS($C16:$AG16,{"4","5","6"}))</f>
        <v>0</v>
      </c>
      <c r="AQ16">
        <f>AK16*'Spreadsheet Key'!$A$23 + AL16*'Spreadsheet Key'!$A$24 + AM16*'Spreadsheet Key'!$A$25 + AN16*'Spreadsheet Key'!$A$26</f>
        <v>1080</v>
      </c>
      <c r="AR16">
        <f>AJ16/('FEB Statistics'!$B$29)*ABS(AI16-1)</f>
        <v>6.7961165048543687E-2</v>
      </c>
      <c r="AS16">
        <f>AI16*AT16</f>
        <v>0</v>
      </c>
      <c r="AT16">
        <f>AR16*'FEB Statistics'!$C$10</f>
        <v>68.708737864077662</v>
      </c>
      <c r="AV16">
        <f>COUNTIFS($C16:$AG16,"8",$C$4:$AG$4,"0")</f>
        <v>0</v>
      </c>
      <c r="AW16">
        <f>COUNTIFS($C16:$AG16,"9",$C$4:$AG$4,"0")</f>
        <v>2</v>
      </c>
      <c r="AX16">
        <f>COUNTIFS($C16:$AG16,"8",$C$4:$AG$4,"1")</f>
        <v>0</v>
      </c>
      <c r="AY16" cm="1">
        <f t="array" ref="AY16">COUNTIFS($C16:$AG16,"9",$C$4:$AG$4,"1")+SUM(COUNTIFS($C16:$AG16,{"8","9"},$C$4:$AG$4,"2"))+COUNTIFS($C16:$AG16,"8",$C$4:$AG$4,"3")</f>
        <v>1</v>
      </c>
      <c r="AZ16">
        <f>COUNTIFS($C16:$AG16,"9",$C$4:$AG$4,"3")</f>
        <v>0</v>
      </c>
      <c r="BA16">
        <f>SUM(AV16:AZ16)</f>
        <v>3</v>
      </c>
      <c r="BB16">
        <f>AV16*'Spreadsheet Key'!$A$27+AW16*'Spreadsheet Key'!$A$28+AX16*'Spreadsheet Key'!$A$29+AY16*'Spreadsheet Key'!$A$30+AZ16*'Spreadsheet Key'!$A$31</f>
        <v>60</v>
      </c>
      <c r="BD16">
        <f>AT16-BB16</f>
        <v>8.708737864077662</v>
      </c>
    </row>
    <row r="17" spans="1:56">
      <c r="A17" s="2389"/>
      <c r="B17" s="2389"/>
      <c r="C17" s="779"/>
      <c r="D17" s="779"/>
      <c r="E17" s="779"/>
      <c r="F17" s="779"/>
      <c r="G17" s="779"/>
      <c r="H17" s="779"/>
      <c r="I17" s="2434" t="s">
        <v>720</v>
      </c>
      <c r="J17" s="779"/>
      <c r="K17" s="779"/>
      <c r="L17" s="779"/>
      <c r="M17" s="779"/>
      <c r="N17" s="779"/>
      <c r="O17" s="2434" t="s">
        <v>720</v>
      </c>
      <c r="P17" s="779"/>
      <c r="Q17" s="5587" t="s">
        <v>1192</v>
      </c>
      <c r="R17" s="5588"/>
      <c r="S17" s="5588"/>
      <c r="T17" s="5589"/>
      <c r="U17" s="779"/>
      <c r="V17" s="3010" t="s">
        <v>1025</v>
      </c>
      <c r="W17" s="4333" t="s">
        <v>1193</v>
      </c>
      <c r="X17" s="4334"/>
      <c r="Y17" s="3010" t="s">
        <v>1025</v>
      </c>
      <c r="Z17" s="3685"/>
      <c r="AA17" s="3685"/>
      <c r="AB17" s="779"/>
      <c r="AC17" s="779"/>
      <c r="AD17" s="779"/>
      <c r="AE17" s="3239"/>
      <c r="AF17" s="2459"/>
      <c r="AG17" s="2459"/>
      <c r="AH17" s="3233"/>
      <c r="AI17" s="3202"/>
      <c r="AJ17" cm="1">
        <f t="array" ref="AJ17">SUM(COUNTIFS($C17:$AG17,{"0","4","5","6","7","8","9"}))</f>
        <v>0</v>
      </c>
      <c r="AK17" cm="1">
        <f t="array" ref="AK17">SUM(COUNTIFS($C17:$AG17,{"0","4","5","6","7","8","9"},$C$4:$AG$4,"0"))</f>
        <v>0</v>
      </c>
      <c r="AL17" cm="1">
        <f t="array" ref="AL17">SUM(COUNTIFS($C17:$AG17,{"0","4","5","6","7","8","9"},$C$4:$AG$4,"1"))</f>
        <v>0</v>
      </c>
      <c r="AM17" cm="1">
        <f t="array" ref="AM17">SUM(COUNTIFS($C17:$AG17,{"0","4","5","6","7","8","9"},$C$4:$AG$4,"2"))</f>
        <v>0</v>
      </c>
      <c r="AN17" cm="1">
        <f t="array" ref="AN17">SUM(COUNTIFS($C17:$AG17,{"0","4","5","6","7","8","9"},$C$4:$AG$4,"3"))</f>
        <v>0</v>
      </c>
      <c r="AO17" cm="1">
        <f t="array" ref="AO17">SUM(COUNTIFS($C17:$AG17,{"1","2","3"}))</f>
        <v>0</v>
      </c>
      <c r="AP17" cm="1">
        <f t="array" ref="AP17">SUM(COUNTIFS($C17:$AG17,{"4","5","6"}))</f>
        <v>0</v>
      </c>
      <c r="AQ17">
        <f>AK17*'Spreadsheet Key'!$A$23 + AL17*'Spreadsheet Key'!$A$24 + AM17*'Spreadsheet Key'!$A$25 + AN17*'Spreadsheet Key'!$A$26</f>
        <v>0</v>
      </c>
      <c r="AR17">
        <f>AJ17/('FEB Statistics'!$B$29)*ABS(AI17-1)</f>
        <v>0</v>
      </c>
      <c r="AS17">
        <f>AI17*AT17</f>
        <v>0</v>
      </c>
      <c r="AV17">
        <f>COUNTIFS($C17:$AG17,"8",$C$4:$AG$4,"0")</f>
        <v>0</v>
      </c>
      <c r="AW17">
        <f>COUNTIFS($C17:$AG17,"9",$C$4:$AG$4,"0")</f>
        <v>0</v>
      </c>
      <c r="AX17">
        <f>COUNTIFS($C17:$AG17,"8",$C$4:$AG$4,"1")</f>
        <v>0</v>
      </c>
      <c r="AY17" cm="1">
        <f t="array" ref="AY17">COUNTIFS($C17:$AG17,"9",$C$4:$AG$4,"1")+SUM(COUNTIFS($C17:$AG17,{"8","9"},$C$4:$AG$4,"2"))+COUNTIFS($C17:$AG17,"8",$C$4:$AG$4,"3")</f>
        <v>0</v>
      </c>
      <c r="AZ17">
        <f>COUNTIFS($C17:$AG17,"9",$C$4:$AG$4,"3")</f>
        <v>0</v>
      </c>
      <c r="BA17">
        <f>SUM(AV17:AZ17)</f>
        <v>0</v>
      </c>
      <c r="BB17">
        <f>AV17*'Spreadsheet Key'!$A$27+AW17*'Spreadsheet Key'!$A$28+AX17*'Spreadsheet Key'!$A$29+AY17*'Spreadsheet Key'!$A$30+AZ17*'Spreadsheet Key'!$A$31</f>
        <v>0</v>
      </c>
    </row>
    <row r="18" spans="1:56">
      <c r="A18" s="2389" t="s">
        <v>283</v>
      </c>
      <c r="B18" s="2389" t="s">
        <v>610</v>
      </c>
      <c r="C18" s="2659">
        <v>0</v>
      </c>
      <c r="D18" s="2659">
        <v>0</v>
      </c>
      <c r="E18" s="2659">
        <v>0</v>
      </c>
      <c r="F18" s="2659">
        <v>0</v>
      </c>
      <c r="G18" s="2659">
        <v>0</v>
      </c>
      <c r="H18" s="2659">
        <v>0</v>
      </c>
      <c r="I18" s="2659">
        <v>8</v>
      </c>
      <c r="J18" s="2659">
        <v>0</v>
      </c>
      <c r="K18" s="2659">
        <v>0</v>
      </c>
      <c r="L18" s="2659">
        <v>0</v>
      </c>
      <c r="M18" s="2659">
        <v>0</v>
      </c>
      <c r="N18" s="2659">
        <v>0</v>
      </c>
      <c r="O18" s="2659">
        <v>8</v>
      </c>
      <c r="P18" s="2659">
        <v>0</v>
      </c>
      <c r="Q18" s="2659">
        <v>4</v>
      </c>
      <c r="R18" s="2659">
        <v>5</v>
      </c>
      <c r="S18" s="2659">
        <v>5</v>
      </c>
      <c r="T18" s="2659">
        <v>6</v>
      </c>
      <c r="U18" s="2659">
        <v>0</v>
      </c>
      <c r="V18" s="2659">
        <v>1</v>
      </c>
      <c r="W18" s="2659">
        <v>2</v>
      </c>
      <c r="X18" s="2659">
        <v>2</v>
      </c>
      <c r="Y18" s="2659">
        <v>3</v>
      </c>
      <c r="Z18" s="2659">
        <v>0</v>
      </c>
      <c r="AA18" s="2659">
        <v>0</v>
      </c>
      <c r="AB18" s="2659">
        <v>0</v>
      </c>
      <c r="AC18" s="2659">
        <v>0</v>
      </c>
      <c r="AD18" s="2659">
        <v>0</v>
      </c>
      <c r="AE18" s="2250"/>
      <c r="AF18" s="2250"/>
      <c r="AG18" s="2250"/>
      <c r="AH18" s="3233"/>
      <c r="AI18" s="3202">
        <v>1</v>
      </c>
      <c r="AJ18" cm="1">
        <f t="array" ref="AJ18">SUM(COUNTIFS($C18:$AG18,{"0","4","5","6","7","8","9"}))</f>
        <v>24</v>
      </c>
      <c r="AK18" cm="1">
        <f t="array" ref="AK18">SUM(COUNTIFS($C18:$AG18,{"0","4","5","6","7","8","9"},$C$4:$AG$4,"0"))</f>
        <v>15</v>
      </c>
      <c r="AL18" cm="1">
        <f t="array" ref="AL18">SUM(COUNTIFS($C18:$AG18,{"0","4","5","6","7","8","9"},$C$4:$AG$4,"1"))</f>
        <v>3</v>
      </c>
      <c r="AM18" cm="1">
        <f t="array" ref="AM18">SUM(COUNTIFS($C18:$AG18,{"0","4","5","6","7","8","9"},$C$4:$AG$4,"2"))</f>
        <v>3</v>
      </c>
      <c r="AN18" cm="1">
        <f t="array" ref="AN18">SUM(COUNTIFS($C18:$AG18,{"0","4","5","6","7","8","9"},$C$4:$AG$4,"3"))</f>
        <v>3</v>
      </c>
      <c r="AO18" cm="1">
        <f t="array" ref="AO18">SUM(COUNTIFS($C18:$AG18,{"1","2","3"}))</f>
        <v>4</v>
      </c>
      <c r="AP18" cm="1">
        <f t="array" ref="AP18">SUM(COUNTIFS($C18:$AG18,{"4","5","6"}))</f>
        <v>4</v>
      </c>
      <c r="AQ18">
        <f>AK18*'Spreadsheet Key'!$A$23 + AL18*'Spreadsheet Key'!$A$24 + AM18*'Spreadsheet Key'!$A$25 + AN18*'Spreadsheet Key'!$A$26</f>
        <v>876</v>
      </c>
      <c r="AR18">
        <f>AJ18/('FEB Statistics'!$B$29)*ABS(AI18-1)</f>
        <v>0</v>
      </c>
      <c r="AS18">
        <f>AI18*AT18</f>
        <v>24</v>
      </c>
      <c r="AT18">
        <f>(AJ18/'FEB Statistics'!$B$6)*'Spreadsheet Key'!$A$32</f>
        <v>24</v>
      </c>
      <c r="AV18">
        <f>COUNTIFS($C18:$AG18,"8",$C$4:$AG$4,"0")</f>
        <v>1</v>
      </c>
      <c r="AW18">
        <f>COUNTIFS($C18:$AG18,"9",$C$4:$AG$4,"0")</f>
        <v>0</v>
      </c>
      <c r="AX18">
        <f>COUNTIFS($C18:$AG18,"8",$C$4:$AG$4,"1")</f>
        <v>1</v>
      </c>
      <c r="AY18" cm="1">
        <f t="array" ref="AY18">COUNTIFS($C18:$AG18,"9",$C$4:$AG$4,"1")+SUM(COUNTIFS($C18:$AG18,{"8","9"},$C$4:$AG$4,"2"))+COUNTIFS($C18:$AG18,"8",$C$4:$AG$4,"3")</f>
        <v>0</v>
      </c>
      <c r="AZ18">
        <f>COUNTIFS($C18:$AG18,"9",$C$4:$AG$4,"3")</f>
        <v>0</v>
      </c>
      <c r="BA18">
        <f>SUM(AV18:AZ18)</f>
        <v>2</v>
      </c>
      <c r="BB18">
        <f>AV18*'Spreadsheet Key'!$A$27+AW18*'Spreadsheet Key'!$A$28+AX18*'Spreadsheet Key'!$A$29+AY18*'Spreadsheet Key'!$A$30+AZ18*'Spreadsheet Key'!$A$31</f>
        <v>28</v>
      </c>
      <c r="BD18">
        <f>AT18-BB18</f>
        <v>-4</v>
      </c>
    </row>
    <row r="19" spans="1:56">
      <c r="A19" s="2389"/>
      <c r="B19" s="2389"/>
      <c r="C19" s="6183" t="s">
        <v>1145</v>
      </c>
      <c r="D19" s="6218"/>
      <c r="E19" s="6218"/>
      <c r="F19" s="6218"/>
      <c r="G19" s="6218"/>
      <c r="H19" s="6218"/>
      <c r="I19" s="6218"/>
      <c r="J19" s="6218"/>
      <c r="K19" s="6218"/>
      <c r="L19" s="6219"/>
      <c r="M19" s="6164" t="s">
        <v>1194</v>
      </c>
      <c r="N19" s="5569"/>
      <c r="O19" s="5569"/>
      <c r="P19" s="5569"/>
      <c r="Q19" s="5569"/>
      <c r="R19" s="5569"/>
      <c r="S19" s="5569"/>
      <c r="T19" s="5569"/>
      <c r="U19" s="5569"/>
      <c r="V19" s="5569"/>
      <c r="W19" s="5569"/>
      <c r="X19" s="5569"/>
      <c r="Y19" s="5569"/>
      <c r="Z19" s="5569"/>
      <c r="AA19" s="5569"/>
      <c r="AB19" s="5569"/>
      <c r="AC19" s="5569"/>
      <c r="AD19" s="6165"/>
      <c r="AE19" s="2459"/>
      <c r="AF19" s="2459"/>
      <c r="AG19" s="3240"/>
      <c r="AH19" s="3233"/>
      <c r="AI19" s="3202"/>
      <c r="AJ19" cm="1">
        <f t="array" ref="AJ19">SUM(COUNTIFS($C19:$AG19,{"0","4","5","6","7","8","9"}))</f>
        <v>0</v>
      </c>
      <c r="AK19" cm="1">
        <f t="array" ref="AK19">SUM(COUNTIFS($C19:$AG19,{"0","4","5","6","7","8","9"},$C$4:$AG$4,"0"))</f>
        <v>0</v>
      </c>
      <c r="AL19" cm="1">
        <f t="array" ref="AL19">SUM(COUNTIFS($C19:$AG19,{"0","4","5","6","7","8","9"},$C$4:$AG$4,"1"))</f>
        <v>0</v>
      </c>
      <c r="AM19" cm="1">
        <f t="array" ref="AM19">SUM(COUNTIFS($C19:$AG19,{"0","4","5","6","7","8","9"},$C$4:$AG$4,"2"))</f>
        <v>0</v>
      </c>
      <c r="AN19" cm="1">
        <f t="array" ref="AN19">SUM(COUNTIFS($C19:$AG19,{"0","4","5","6","7","8","9"},$C$4:$AG$4,"3"))</f>
        <v>0</v>
      </c>
      <c r="AO19" cm="1">
        <f t="array" ref="AO19">SUM(COUNTIFS($C19:$AG19,{"1","2","3"}))</f>
        <v>0</v>
      </c>
      <c r="AP19" cm="1">
        <f t="array" ref="AP19">SUM(COUNTIFS($C19:$AG19,{"4","5","6"}))</f>
        <v>0</v>
      </c>
      <c r="AQ19">
        <f>AK19*'Spreadsheet Key'!$A$23 + AL19*'Spreadsheet Key'!$A$24 + AM19*'Spreadsheet Key'!$A$25 + AN19*'Spreadsheet Key'!$A$26</f>
        <v>0</v>
      </c>
      <c r="AR19">
        <f>AJ19/('FEB Statistics'!$B$29)*ABS(AI19-1)</f>
        <v>0</v>
      </c>
      <c r="AS19">
        <f>AI19*AT19</f>
        <v>0</v>
      </c>
      <c r="AV19">
        <f>COUNTIFS($C19:$AG19,"8",$C$4:$AG$4,"0")</f>
        <v>0</v>
      </c>
      <c r="AW19">
        <f>COUNTIFS($C19:$AG19,"9",$C$4:$AG$4,"0")</f>
        <v>0</v>
      </c>
      <c r="AX19">
        <f>COUNTIFS($C19:$AG19,"8",$C$4:$AG$4,"1")</f>
        <v>0</v>
      </c>
      <c r="AY19" cm="1">
        <f t="array" ref="AY19">COUNTIFS($C19:$AG19,"9",$C$4:$AG$4,"1")+SUM(COUNTIFS($C19:$AG19,{"8","9"},$C$4:$AG$4,"2"))+COUNTIFS($C19:$AG19,"8",$C$4:$AG$4,"3")</f>
        <v>0</v>
      </c>
      <c r="AZ19">
        <f>COUNTIFS($C19:$AG19,"9",$C$4:$AG$4,"3")</f>
        <v>0</v>
      </c>
      <c r="BA19">
        <f>SUM(AV19:AZ19)</f>
        <v>0</v>
      </c>
      <c r="BB19">
        <f>AV19*'Spreadsheet Key'!$A$27+AW19*'Spreadsheet Key'!$A$28+AX19*'Spreadsheet Key'!$A$29+AY19*'Spreadsheet Key'!$A$30+AZ19*'Spreadsheet Key'!$A$31</f>
        <v>0</v>
      </c>
    </row>
    <row r="20" spans="1:56">
      <c r="A20" s="2389" t="s">
        <v>122</v>
      </c>
      <c r="B20" s="2389" t="s">
        <v>553</v>
      </c>
      <c r="C20" s="2659">
        <v>2</v>
      </c>
      <c r="D20" s="2659">
        <v>2</v>
      </c>
      <c r="E20" s="2659">
        <v>2</v>
      </c>
      <c r="F20" s="2659">
        <v>2</v>
      </c>
      <c r="G20" s="2659">
        <v>2</v>
      </c>
      <c r="H20" s="2659">
        <v>2</v>
      </c>
      <c r="I20" s="2659">
        <v>2</v>
      </c>
      <c r="J20" s="2659">
        <v>2</v>
      </c>
      <c r="K20" s="2659">
        <v>2</v>
      </c>
      <c r="L20" s="2659">
        <v>2</v>
      </c>
      <c r="M20" s="2659">
        <v>2</v>
      </c>
      <c r="N20" s="2659">
        <v>2</v>
      </c>
      <c r="O20" s="2659">
        <v>2</v>
      </c>
      <c r="P20" s="2659">
        <v>2</v>
      </c>
      <c r="Q20" s="2659">
        <v>2</v>
      </c>
      <c r="R20" s="2659">
        <v>2</v>
      </c>
      <c r="S20" s="2659">
        <v>2</v>
      </c>
      <c r="T20" s="2659">
        <v>2</v>
      </c>
      <c r="U20" s="2659">
        <v>2</v>
      </c>
      <c r="V20" s="2659">
        <v>2</v>
      </c>
      <c r="W20" s="2659">
        <v>2</v>
      </c>
      <c r="X20" s="2659">
        <v>2</v>
      </c>
      <c r="Y20" s="2659">
        <v>2</v>
      </c>
      <c r="Z20" s="2659">
        <v>2</v>
      </c>
      <c r="AA20" s="2659">
        <v>2</v>
      </c>
      <c r="AB20" s="2659">
        <v>2</v>
      </c>
      <c r="AC20" s="2659">
        <v>2</v>
      </c>
      <c r="AD20" s="2659">
        <v>2</v>
      </c>
      <c r="AE20" s="2250"/>
      <c r="AF20" s="2250"/>
      <c r="AG20" s="2250"/>
      <c r="AH20" s="3233"/>
      <c r="AI20" s="3202">
        <v>0</v>
      </c>
      <c r="AJ20" cm="1">
        <f t="array" ref="AJ20">SUM(COUNTIFS($C20:$AG20,{"0","4","5","6","7","8","9"}))</f>
        <v>0</v>
      </c>
      <c r="AK20" cm="1">
        <f t="array" ref="AK20">SUM(COUNTIFS($C20:$AG20,{"0","4","5","6","7","8","9"},$C$4:$AG$4,"0"))</f>
        <v>0</v>
      </c>
      <c r="AL20" cm="1">
        <f t="array" ref="AL20">SUM(COUNTIFS($C20:$AG20,{"0","4","5","6","7","8","9"},$C$4:$AG$4,"1"))</f>
        <v>0</v>
      </c>
      <c r="AM20" cm="1">
        <f t="array" ref="AM20">SUM(COUNTIFS($C20:$AG20,{"0","4","5","6","7","8","9"},$C$4:$AG$4,"2"))</f>
        <v>0</v>
      </c>
      <c r="AN20" cm="1">
        <f t="array" ref="AN20">SUM(COUNTIFS($C20:$AG20,{"0","4","5","6","7","8","9"},$C$4:$AG$4,"3"))</f>
        <v>0</v>
      </c>
      <c r="AO20" cm="1">
        <f t="array" ref="AO20">SUM(COUNTIFS($C20:$AG20,{"1","2","3"}))</f>
        <v>28</v>
      </c>
      <c r="AP20" cm="1">
        <f t="array" ref="AP20">SUM(COUNTIFS($C20:$AG20,{"4","5","6"}))</f>
        <v>0</v>
      </c>
      <c r="AQ20">
        <f>AK20*'Spreadsheet Key'!$A$23 + AL20*'Spreadsheet Key'!$A$24 + AM20*'Spreadsheet Key'!$A$25 + AN20*'Spreadsheet Key'!$A$26</f>
        <v>0</v>
      </c>
      <c r="AR20">
        <f>AJ20/('FEB Statistics'!$B$29)*ABS(AI20-1)</f>
        <v>0</v>
      </c>
      <c r="AS20">
        <f>AI20*AT20</f>
        <v>0</v>
      </c>
      <c r="AT20">
        <f>AR20*'FEB Statistics'!$C$10</f>
        <v>0</v>
      </c>
      <c r="AV20">
        <f>COUNTIFS($C20:$AG20,"8",$C$4:$AG$4,"0")</f>
        <v>0</v>
      </c>
      <c r="AW20">
        <f>COUNTIFS($C20:$AG20,"9",$C$4:$AG$4,"0")</f>
        <v>0</v>
      </c>
      <c r="AX20">
        <f>COUNTIFS($C20:$AG20,"8",$C$4:$AG$4,"1")</f>
        <v>0</v>
      </c>
      <c r="AY20" cm="1">
        <f t="array" ref="AY20">COUNTIFS($C20:$AG20,"9",$C$4:$AG$4,"1")+SUM(COUNTIFS($C20:$AG20,{"8","9"},$C$4:$AG$4,"2"))+COUNTIFS($C20:$AG20,"8",$C$4:$AG$4,"3")</f>
        <v>0</v>
      </c>
      <c r="AZ20">
        <f>COUNTIFS($C20:$AG20,"9",$C$4:$AG$4,"3")</f>
        <v>0</v>
      </c>
      <c r="BA20">
        <f>SUM(AV20:AZ20)</f>
        <v>0</v>
      </c>
      <c r="BB20">
        <f>AV20*'Spreadsheet Key'!$A$27+AW20*'Spreadsheet Key'!$A$28+AX20*'Spreadsheet Key'!$A$29+AY20*'Spreadsheet Key'!$A$30+AZ20*'Spreadsheet Key'!$A$31</f>
        <v>0</v>
      </c>
      <c r="BD20">
        <f>AT20-BB20</f>
        <v>0</v>
      </c>
    </row>
    <row r="21" spans="1:56">
      <c r="A21" s="2389"/>
      <c r="B21" s="2389"/>
      <c r="C21" s="2434"/>
      <c r="D21" s="779"/>
      <c r="E21" s="779"/>
      <c r="F21" s="779"/>
      <c r="G21" s="779"/>
      <c r="H21" s="779"/>
      <c r="I21" s="779"/>
      <c r="J21" s="779"/>
      <c r="K21" s="2434" t="s">
        <v>720</v>
      </c>
      <c r="L21" s="779"/>
      <c r="M21" s="779"/>
      <c r="N21" s="779"/>
      <c r="O21" s="2434" t="s">
        <v>722</v>
      </c>
      <c r="P21" s="779"/>
      <c r="Q21" s="779"/>
      <c r="R21" s="779"/>
      <c r="S21" s="779"/>
      <c r="T21" s="779"/>
      <c r="U21" s="779"/>
      <c r="V21" s="779"/>
      <c r="W21" s="779"/>
      <c r="X21" s="779"/>
      <c r="Y21" s="779"/>
      <c r="Z21" s="779"/>
      <c r="AA21" s="779"/>
      <c r="AB21" s="2434"/>
      <c r="AC21" s="2434" t="s">
        <v>720</v>
      </c>
      <c r="AD21" s="779"/>
      <c r="AE21" s="2459"/>
      <c r="AF21" s="2459"/>
      <c r="AG21" s="3240"/>
      <c r="AH21" s="3233"/>
      <c r="AI21" s="3202"/>
      <c r="AJ21" cm="1">
        <f t="array" ref="AJ21">SUM(COUNTIFS($C21:$AG21,{"0","4","5","6","7","8","9"}))</f>
        <v>0</v>
      </c>
      <c r="AK21" cm="1">
        <f t="array" ref="AK21">SUM(COUNTIFS($C21:$AG21,{"0","4","5","6","7","8","9"},$C$4:$AG$4,"0"))</f>
        <v>0</v>
      </c>
      <c r="AL21" cm="1">
        <f t="array" ref="AL21">SUM(COUNTIFS($C21:$AG21,{"0","4","5","6","7","8","9"},$C$4:$AG$4,"1"))</f>
        <v>0</v>
      </c>
      <c r="AM21" cm="1">
        <f t="array" ref="AM21">SUM(COUNTIFS($C21:$AG21,{"0","4","5","6","7","8","9"},$C$4:$AG$4,"2"))</f>
        <v>0</v>
      </c>
      <c r="AN21" cm="1">
        <f t="array" ref="AN21">SUM(COUNTIFS($C21:$AG21,{"0","4","5","6","7","8","9"},$C$4:$AG$4,"3"))</f>
        <v>0</v>
      </c>
      <c r="AO21" cm="1">
        <f t="array" ref="AO21">SUM(COUNTIFS($C21:$AG21,{"1","2","3"}))</f>
        <v>0</v>
      </c>
      <c r="AP21" cm="1">
        <f t="array" ref="AP21">SUM(COUNTIFS($C21:$AG21,{"4","5","6"}))</f>
        <v>0</v>
      </c>
      <c r="AQ21">
        <f>AK21*'Spreadsheet Key'!$A$23 + AL21*'Spreadsheet Key'!$A$24 + AM21*'Spreadsheet Key'!$A$25 + AN21*'Spreadsheet Key'!$A$26</f>
        <v>0</v>
      </c>
      <c r="AR21">
        <f>AJ21/('FEB Statistics'!$B$29)*ABS(AI21-1)</f>
        <v>0</v>
      </c>
      <c r="AS21">
        <f>AI21*AT21</f>
        <v>0</v>
      </c>
      <c r="AT21">
        <f>AR21*'FEB Statistics'!$C$10</f>
        <v>0</v>
      </c>
      <c r="AV21">
        <f>COUNTIFS($C21:$AG21,"8",$C$4:$AG$4,"0")</f>
        <v>0</v>
      </c>
      <c r="AW21">
        <f>COUNTIFS($C21:$AG21,"9",$C$4:$AG$4,"0")</f>
        <v>0</v>
      </c>
      <c r="AX21">
        <f>COUNTIFS($C21:$AG21,"8",$C$4:$AG$4,"1")</f>
        <v>0</v>
      </c>
      <c r="AY21" cm="1">
        <f t="array" ref="AY21">COUNTIFS($C21:$AG21,"9",$C$4:$AG$4,"1")+SUM(COUNTIFS($C21:$AG21,{"8","9"},$C$4:$AG$4,"2"))+COUNTIFS($C21:$AG21,"8",$C$4:$AG$4,"3")</f>
        <v>0</v>
      </c>
      <c r="AZ21">
        <f>COUNTIFS($C21:$AG21,"9",$C$4:$AG$4,"3")</f>
        <v>0</v>
      </c>
      <c r="BA21">
        <f>SUM(AV21:AZ21)</f>
        <v>0</v>
      </c>
      <c r="BB21">
        <f>AV21*'Spreadsheet Key'!$A$27+AW21*'Spreadsheet Key'!$A$28+AX21*'Spreadsheet Key'!$A$29+AY21*'Spreadsheet Key'!$A$30+AZ21*'Spreadsheet Key'!$A$31</f>
        <v>0</v>
      </c>
    </row>
    <row r="22" spans="1:56">
      <c r="A22" s="2389" t="s">
        <v>293</v>
      </c>
      <c r="B22" s="2389" t="s">
        <v>733</v>
      </c>
      <c r="C22" s="2659">
        <v>0</v>
      </c>
      <c r="D22" s="2659">
        <v>0</v>
      </c>
      <c r="E22" s="2659">
        <v>0</v>
      </c>
      <c r="F22" s="2659">
        <v>0</v>
      </c>
      <c r="G22" s="2659">
        <v>0</v>
      </c>
      <c r="H22" s="2659">
        <v>0</v>
      </c>
      <c r="I22" s="2659">
        <v>0</v>
      </c>
      <c r="J22" s="2659">
        <v>0</v>
      </c>
      <c r="K22" s="2659">
        <v>8</v>
      </c>
      <c r="L22" s="2659">
        <v>0</v>
      </c>
      <c r="M22" s="2659">
        <v>0</v>
      </c>
      <c r="N22" s="2659">
        <v>0</v>
      </c>
      <c r="O22" s="2659">
        <v>9</v>
      </c>
      <c r="P22" s="2659">
        <v>0</v>
      </c>
      <c r="Q22" s="2659">
        <v>0</v>
      </c>
      <c r="R22" s="2659">
        <v>0</v>
      </c>
      <c r="S22" s="2659">
        <v>0</v>
      </c>
      <c r="T22" s="2659">
        <v>0</v>
      </c>
      <c r="U22" s="2659">
        <v>0</v>
      </c>
      <c r="V22" s="2659">
        <v>0</v>
      </c>
      <c r="W22" s="2659">
        <v>0</v>
      </c>
      <c r="X22" s="2659">
        <v>0</v>
      </c>
      <c r="Y22" s="2659">
        <v>0</v>
      </c>
      <c r="Z22" s="2659">
        <v>0</v>
      </c>
      <c r="AA22" s="2659">
        <v>0</v>
      </c>
      <c r="AB22" s="2659">
        <v>0</v>
      </c>
      <c r="AC22" s="2659">
        <v>8</v>
      </c>
      <c r="AD22" s="2659">
        <v>0</v>
      </c>
      <c r="AE22" s="2250"/>
      <c r="AF22" s="2250"/>
      <c r="AG22" s="2250"/>
      <c r="AH22" s="3233"/>
      <c r="AI22" s="3202">
        <v>0</v>
      </c>
      <c r="AJ22" cm="1">
        <f t="array" ref="AJ22">SUM(COUNTIFS($C22:$AG22,{"0","4","5","6","7","8","9"}))</f>
        <v>28</v>
      </c>
      <c r="AK22" cm="1">
        <f t="array" ref="AK22">SUM(COUNTIFS($C22:$AG22,{"0","4","5","6","7","8","9"},$C$4:$AG$4,"0"))</f>
        <v>16</v>
      </c>
      <c r="AL22" cm="1">
        <f t="array" ref="AL22">SUM(COUNTIFS($C22:$AG22,{"0","4","5","6","7","8","9"},$C$4:$AG$4,"1"))</f>
        <v>4</v>
      </c>
      <c r="AM22" cm="1">
        <f t="array" ref="AM22">SUM(COUNTIFS($C22:$AG22,{"0","4","5","6","7","8","9"},$C$4:$AG$4,"2"))</f>
        <v>4</v>
      </c>
      <c r="AN22" cm="1">
        <f t="array" ref="AN22">SUM(COUNTIFS($C22:$AG22,{"0","4","5","6","7","8","9"},$C$4:$AG$4,"3"))</f>
        <v>4</v>
      </c>
      <c r="AO22" cm="1">
        <f t="array" ref="AO22">SUM(COUNTIFS($C22:$AG22,{"1","2","3"}))</f>
        <v>0</v>
      </c>
      <c r="AP22" cm="1">
        <f t="array" ref="AP22">SUM(COUNTIFS($C22:$AG22,{"4","5","6"}))</f>
        <v>0</v>
      </c>
      <c r="AQ22">
        <f>AK22*'Spreadsheet Key'!$A$23 + AL22*'Spreadsheet Key'!$A$24 + AM22*'Spreadsheet Key'!$A$25 + AN22*'Spreadsheet Key'!$A$26</f>
        <v>1080</v>
      </c>
      <c r="AR22">
        <f>AJ22/('FEB Statistics'!$B$29)*ABS(AI22-1)</f>
        <v>6.7961165048543687E-2</v>
      </c>
      <c r="AS22">
        <f>AI22*AT22</f>
        <v>0</v>
      </c>
      <c r="AT22">
        <f>AR22*'FEB Statistics'!$C$10</f>
        <v>68.708737864077662</v>
      </c>
      <c r="AV22">
        <f>COUNTIFS($C22:$AG22,"8",$C$4:$AG$4,"0")</f>
        <v>1</v>
      </c>
      <c r="AW22">
        <f>COUNTIFS($C22:$AG22,"9",$C$4:$AG$4,"0")</f>
        <v>1</v>
      </c>
      <c r="AX22">
        <f>COUNTIFS($C22:$AG22,"8",$C$4:$AG$4,"1")</f>
        <v>0</v>
      </c>
      <c r="AY22" cm="1">
        <f t="array" ref="AY22">COUNTIFS($C22:$AG22,"9",$C$4:$AG$4,"1")+SUM(COUNTIFS($C22:$AG22,{"8","9"},$C$4:$AG$4,"2"))+COUNTIFS($C22:$AG22,"8",$C$4:$AG$4,"3")</f>
        <v>1</v>
      </c>
      <c r="AZ22">
        <f>COUNTIFS($C22:$AG22,"9",$C$4:$AG$4,"3")</f>
        <v>0</v>
      </c>
      <c r="BA22">
        <f>SUM(AV22:AZ22)</f>
        <v>3</v>
      </c>
      <c r="BB22">
        <f>AV22*'Spreadsheet Key'!$A$27+AW22*'Spreadsheet Key'!$A$28+AX22*'Spreadsheet Key'!$A$29+AY22*'Spreadsheet Key'!$A$30+AZ22*'Spreadsheet Key'!$A$31</f>
        <v>58</v>
      </c>
      <c r="BD22">
        <f>AT22-BB22</f>
        <v>10.708737864077662</v>
      </c>
    </row>
    <row r="23" spans="1:56">
      <c r="A23" s="2389"/>
      <c r="B23" s="1957"/>
      <c r="C23" s="4333" t="s">
        <v>419</v>
      </c>
      <c r="D23" s="4334"/>
      <c r="E23" s="779"/>
      <c r="F23" s="779" t="s">
        <v>1217</v>
      </c>
      <c r="G23" s="4333" t="s">
        <v>1198</v>
      </c>
      <c r="H23" s="4411"/>
      <c r="I23" s="4411"/>
      <c r="J23" s="4411"/>
      <c r="K23" s="4411"/>
      <c r="L23" s="4411"/>
      <c r="M23" s="4334"/>
      <c r="N23" s="4396" t="s">
        <v>1186</v>
      </c>
      <c r="O23" s="4467"/>
      <c r="P23" s="3010" t="s">
        <v>1025</v>
      </c>
      <c r="Q23" s="779"/>
      <c r="R23" s="779"/>
      <c r="S23" s="779"/>
      <c r="T23" s="2434"/>
      <c r="U23" s="779"/>
      <c r="V23" s="779"/>
      <c r="W23" s="779"/>
      <c r="X23" s="779"/>
      <c r="Y23" s="2434"/>
      <c r="Z23" s="779"/>
      <c r="AA23" s="779"/>
      <c r="AB23" s="779"/>
      <c r="AC23" s="779"/>
      <c r="AD23" s="2444"/>
      <c r="AE23" s="3241"/>
      <c r="AF23" s="3241"/>
      <c r="AG23" s="3241"/>
      <c r="AH23" s="3233"/>
      <c r="AI23" s="3202"/>
      <c r="AJ23" cm="1">
        <f t="array" ref="AJ23">SUM(COUNTIFS($C23:$AG23,{"0","4","5","6","7","8","9"}))</f>
        <v>0</v>
      </c>
      <c r="AK23" cm="1">
        <f t="array" ref="AK23">SUM(COUNTIFS($C23:$AG23,{"0","4","5","6","7","8","9"},$C$4:$AG$4,"0"))</f>
        <v>0</v>
      </c>
      <c r="AL23" cm="1">
        <f t="array" ref="AL23">SUM(COUNTIFS($C23:$AG23,{"0","4","5","6","7","8","9"},$C$4:$AG$4,"1"))</f>
        <v>0</v>
      </c>
      <c r="AM23" cm="1">
        <f t="array" ref="AM23">SUM(COUNTIFS($C23:$AG23,{"0","4","5","6","7","8","9"},$C$4:$AG$4,"2"))</f>
        <v>0</v>
      </c>
      <c r="AN23" cm="1">
        <f t="array" ref="AN23">SUM(COUNTIFS($C23:$AG23,{"0","4","5","6","7","8","9"},$C$4:$AG$4,"3"))</f>
        <v>0</v>
      </c>
      <c r="AO23" cm="1">
        <f t="array" ref="AO23">SUM(COUNTIFS($C23:$AG23,{"1","2","3"}))</f>
        <v>0</v>
      </c>
      <c r="AP23" cm="1">
        <f t="array" ref="AP23">SUM(COUNTIFS($C23:$AG23,{"4","5","6"}))</f>
        <v>0</v>
      </c>
      <c r="AQ23">
        <f>AK23*'Spreadsheet Key'!$A$23 + AL23*'Spreadsheet Key'!$A$24 + AM23*'Spreadsheet Key'!$A$25 + AN23*'Spreadsheet Key'!$A$26</f>
        <v>0</v>
      </c>
      <c r="AR23">
        <f>AJ23/('FEB Statistics'!$B$29)*ABS(AI23-1)</f>
        <v>0</v>
      </c>
      <c r="AS23">
        <f>AI23*AT23</f>
        <v>0</v>
      </c>
      <c r="AT23">
        <f>AR23*'FEB Statistics'!$C$10</f>
        <v>0</v>
      </c>
      <c r="AV23">
        <f>COUNTIFS($C23:$AG23,"8",$C$4:$AG$4,"0")</f>
        <v>0</v>
      </c>
      <c r="AW23">
        <f>COUNTIFS($C23:$AG23,"9",$C$4:$AG$4,"0")</f>
        <v>0</v>
      </c>
      <c r="AX23">
        <f>COUNTIFS($C23:$AG23,"8",$C$4:$AG$4,"1")</f>
        <v>0</v>
      </c>
      <c r="AY23" cm="1">
        <f t="array" ref="AY23">COUNTIFS($C23:$AG23,"9",$C$4:$AG$4,"1")+SUM(COUNTIFS($C23:$AG23,{"8","9"},$C$4:$AG$4,"2"))+COUNTIFS($C23:$AG23,"8",$C$4:$AG$4,"3")</f>
        <v>0</v>
      </c>
      <c r="AZ23">
        <f>COUNTIFS($C23:$AG23,"9",$C$4:$AG$4,"3")</f>
        <v>0</v>
      </c>
      <c r="BA23">
        <f>SUM(AV23:AZ23)</f>
        <v>0</v>
      </c>
      <c r="BB23">
        <f>AV23*'Spreadsheet Key'!$A$27+AW23*'Spreadsheet Key'!$A$28+AX23*'Spreadsheet Key'!$A$29+AY23*'Spreadsheet Key'!$A$30+AZ23*'Spreadsheet Key'!$A$31</f>
        <v>0</v>
      </c>
    </row>
    <row r="24" spans="1:56">
      <c r="A24" s="2389" t="s">
        <v>692</v>
      </c>
      <c r="B24" s="1957" t="s">
        <v>693</v>
      </c>
      <c r="C24" s="2659">
        <v>2</v>
      </c>
      <c r="D24" s="2659">
        <v>3</v>
      </c>
      <c r="E24" s="2659">
        <v>2</v>
      </c>
      <c r="F24" s="2659">
        <v>2</v>
      </c>
      <c r="G24" s="2659">
        <v>2</v>
      </c>
      <c r="H24" s="2659">
        <v>2</v>
      </c>
      <c r="I24" s="2659">
        <v>2</v>
      </c>
      <c r="J24" s="2659">
        <v>2</v>
      </c>
      <c r="K24" s="2659">
        <v>2</v>
      </c>
      <c r="L24" s="2659">
        <v>2</v>
      </c>
      <c r="M24" s="2659">
        <v>2</v>
      </c>
      <c r="N24" s="2659">
        <v>2</v>
      </c>
      <c r="O24" s="2659">
        <v>2</v>
      </c>
      <c r="P24" s="2659">
        <v>3</v>
      </c>
      <c r="Q24" s="2659">
        <v>0</v>
      </c>
      <c r="R24" s="2659">
        <v>0</v>
      </c>
      <c r="S24" s="2659">
        <v>0</v>
      </c>
      <c r="T24" s="2659">
        <v>0</v>
      </c>
      <c r="U24" s="2659">
        <v>0</v>
      </c>
      <c r="V24" s="2659">
        <v>0</v>
      </c>
      <c r="W24" s="2659">
        <v>0</v>
      </c>
      <c r="X24" s="2659">
        <v>0</v>
      </c>
      <c r="Y24" s="2659">
        <v>0</v>
      </c>
      <c r="Z24" s="2659">
        <v>0</v>
      </c>
      <c r="AA24" s="2659">
        <v>0</v>
      </c>
      <c r="AB24" s="2659">
        <v>0</v>
      </c>
      <c r="AC24" s="2659">
        <v>0</v>
      </c>
      <c r="AD24" s="2659">
        <v>0</v>
      </c>
      <c r="AE24" s="2250"/>
      <c r="AF24" s="2250"/>
      <c r="AG24" s="2250"/>
      <c r="AH24" s="3233"/>
      <c r="AI24" s="3202">
        <v>0</v>
      </c>
      <c r="AJ24" cm="1">
        <f t="array" ref="AJ24">SUM(COUNTIFS($C24:$AG24,{"0","4","5","6","7","8","9"}))</f>
        <v>14</v>
      </c>
      <c r="AK24" cm="1">
        <f t="array" ref="AK24">SUM(COUNTIFS($C24:$AG24,{"0","4","5","6","7","8","9"},$C$4:$AG$4,"0"))</f>
        <v>8</v>
      </c>
      <c r="AL24" cm="1">
        <f t="array" ref="AL24">SUM(COUNTIFS($C24:$AG24,{"0","4","5","6","7","8","9"},$C$4:$AG$4,"1"))</f>
        <v>2</v>
      </c>
      <c r="AM24" cm="1">
        <f t="array" ref="AM24">SUM(COUNTIFS($C24:$AG24,{"0","4","5","6","7","8","9"},$C$4:$AG$4,"2"))</f>
        <v>2</v>
      </c>
      <c r="AN24" cm="1">
        <f t="array" ref="AN24">SUM(COUNTIFS($C24:$AG24,{"0","4","5","6","7","8","9"},$C$4:$AG$4,"3"))</f>
        <v>2</v>
      </c>
      <c r="AO24" cm="1">
        <f t="array" ref="AO24">SUM(COUNTIFS($C24:$AG24,{"1","2","3"}))</f>
        <v>14</v>
      </c>
      <c r="AP24" cm="1">
        <f t="array" ref="AP24">SUM(COUNTIFS($C24:$AG24,{"4","5","6"}))</f>
        <v>0</v>
      </c>
      <c r="AQ24">
        <f>AK24*'Spreadsheet Key'!$A$23 + AL24*'Spreadsheet Key'!$A$24 + AM24*'Spreadsheet Key'!$A$25 + AN24*'Spreadsheet Key'!$A$26</f>
        <v>540</v>
      </c>
      <c r="AR24">
        <f>AJ24/('FEB Statistics'!$B$29)*ABS(AI24-1)</f>
        <v>3.3980582524271843E-2</v>
      </c>
      <c r="AS24">
        <f>AI24*AT24</f>
        <v>0</v>
      </c>
      <c r="AT24">
        <f>AR24*'FEB Statistics'!$C$10</f>
        <v>34.354368932038831</v>
      </c>
      <c r="AV24">
        <f>COUNTIFS($C24:$AG24,"8",$C$4:$AG$4,"0")</f>
        <v>0</v>
      </c>
      <c r="AW24">
        <f>COUNTIFS($C24:$AG24,"9",$C$4:$AG$4,"0")</f>
        <v>0</v>
      </c>
      <c r="AX24">
        <f>COUNTIFS($C24:$AG24,"8",$C$4:$AG$4,"1")</f>
        <v>0</v>
      </c>
      <c r="AY24" cm="1">
        <f t="array" ref="AY24">COUNTIFS($C24:$AG24,"9",$C$4:$AG$4,"1")+SUM(COUNTIFS($C24:$AG24,{"8","9"},$C$4:$AG$4,"2"))+COUNTIFS($C24:$AG24,"8",$C$4:$AG$4,"3")</f>
        <v>0</v>
      </c>
      <c r="AZ24">
        <f>COUNTIFS($C24:$AG24,"9",$C$4:$AG$4,"3")</f>
        <v>0</v>
      </c>
      <c r="BA24">
        <f>SUM(AV24:AZ24)</f>
        <v>0</v>
      </c>
      <c r="BB24">
        <f>AV24*'Spreadsheet Key'!$A$27+AW24*'Spreadsheet Key'!$A$28+AX24*'Spreadsheet Key'!$A$29+AY24*'Spreadsheet Key'!$A$30+AZ24*'Spreadsheet Key'!$A$31</f>
        <v>0</v>
      </c>
      <c r="BD24">
        <f>AT24-BB24</f>
        <v>34.354368932038831</v>
      </c>
    </row>
    <row r="25" spans="1:56">
      <c r="A25" s="2389"/>
      <c r="B25" s="2389"/>
      <c r="C25" s="4475" t="s">
        <v>946</v>
      </c>
      <c r="D25" s="4475"/>
      <c r="E25" s="4475"/>
      <c r="F25" s="4475"/>
      <c r="G25" s="779"/>
      <c r="H25" s="779"/>
      <c r="I25" s="3010" t="s">
        <v>1025</v>
      </c>
      <c r="J25" s="6216" t="s">
        <v>1196</v>
      </c>
      <c r="K25" s="6216"/>
      <c r="L25" s="6216"/>
      <c r="M25" s="6216"/>
      <c r="N25" s="4310" t="s">
        <v>1186</v>
      </c>
      <c r="O25" s="4310"/>
      <c r="P25" s="6216" t="s">
        <v>1196</v>
      </c>
      <c r="Q25" s="6216"/>
      <c r="R25" s="6216"/>
      <c r="S25" s="3010" t="s">
        <v>1025</v>
      </c>
      <c r="T25" s="779"/>
      <c r="U25" s="779"/>
      <c r="V25" s="779"/>
      <c r="W25" s="779"/>
      <c r="X25" s="2434" t="s">
        <v>722</v>
      </c>
      <c r="Y25" s="2434"/>
      <c r="Z25" s="779"/>
      <c r="AA25" s="2434"/>
      <c r="AB25" s="2434" t="s">
        <v>720</v>
      </c>
      <c r="AC25" s="2434"/>
      <c r="AD25" s="779"/>
      <c r="AE25" s="2459"/>
      <c r="AF25" s="2459"/>
      <c r="AG25" s="2459"/>
      <c r="AH25" s="3233"/>
      <c r="AI25" s="3202"/>
      <c r="AJ25" cm="1">
        <f t="array" ref="AJ25">SUM(COUNTIFS($C25:$AG25,{"0","4","5","6","7","8","9"}))</f>
        <v>0</v>
      </c>
      <c r="AK25" cm="1">
        <f t="array" ref="AK25">SUM(COUNTIFS($C25:$AG25,{"0","4","5","6","7","8","9"},$C$4:$AG$4,"0"))</f>
        <v>0</v>
      </c>
      <c r="AL25" cm="1">
        <f t="array" ref="AL25">SUM(COUNTIFS($C25:$AG25,{"0","4","5","6","7","8","9"},$C$4:$AG$4,"1"))</f>
        <v>0</v>
      </c>
      <c r="AM25" cm="1">
        <f t="array" ref="AM25">SUM(COUNTIFS($C25:$AG25,{"0","4","5","6","7","8","9"},$C$4:$AG$4,"2"))</f>
        <v>0</v>
      </c>
      <c r="AN25" cm="1">
        <f t="array" ref="AN25">SUM(COUNTIFS($C25:$AG25,{"0","4","5","6","7","8","9"},$C$4:$AG$4,"3"))</f>
        <v>0</v>
      </c>
      <c r="AO25" cm="1">
        <f t="array" ref="AO25">SUM(COUNTIFS($C25:$AG25,{"1","2","3"}))</f>
        <v>0</v>
      </c>
      <c r="AP25" cm="1">
        <f t="array" ref="AP25">SUM(COUNTIFS($C25:$AG25,{"4","5","6"}))</f>
        <v>0</v>
      </c>
      <c r="AQ25">
        <f>AK25*'Spreadsheet Key'!$A$23 + AL25*'Spreadsheet Key'!$A$24 + AM25*'Spreadsheet Key'!$A$25 + AN25*'Spreadsheet Key'!$A$26</f>
        <v>0</v>
      </c>
      <c r="AR25">
        <f>AJ25/('FEB Statistics'!$B$29)*ABS(AI25-1)</f>
        <v>0</v>
      </c>
      <c r="AS25">
        <f>AI25*AT25</f>
        <v>0</v>
      </c>
      <c r="AT25">
        <f>AR25*'FEB Statistics'!$C$10</f>
        <v>0</v>
      </c>
      <c r="AV25">
        <f>COUNTIFS($C25:$AG25,"8",$C$4:$AG$4,"0")</f>
        <v>0</v>
      </c>
      <c r="AW25">
        <f>COUNTIFS($C25:$AG25,"9",$C$4:$AG$4,"0")</f>
        <v>0</v>
      </c>
      <c r="AX25">
        <f>COUNTIFS($C25:$AG25,"8",$C$4:$AG$4,"1")</f>
        <v>0</v>
      </c>
      <c r="AY25" cm="1">
        <f t="array" ref="AY25">COUNTIFS($C25:$AG25,"9",$C$4:$AG$4,"1")+SUM(COUNTIFS($C25:$AG25,{"8","9"},$C$4:$AG$4,"2"))+COUNTIFS($C25:$AG25,"8",$C$4:$AG$4,"3")</f>
        <v>0</v>
      </c>
      <c r="AZ25">
        <f>COUNTIFS($C25:$AG25,"9",$C$4:$AG$4,"3")</f>
        <v>0</v>
      </c>
      <c r="BA25">
        <f>SUM(AV25:AZ25)</f>
        <v>0</v>
      </c>
      <c r="BB25">
        <f>AV25*'Spreadsheet Key'!$A$27+AW25*'Spreadsheet Key'!$A$28+AX25*'Spreadsheet Key'!$A$29+AY25*'Spreadsheet Key'!$A$30+AZ25*'Spreadsheet Key'!$A$31</f>
        <v>0</v>
      </c>
    </row>
    <row r="26" spans="1:56">
      <c r="A26" s="2389" t="s">
        <v>127</v>
      </c>
      <c r="B26" s="2389" t="s">
        <v>657</v>
      </c>
      <c r="C26" s="2659">
        <v>2</v>
      </c>
      <c r="D26" s="2659">
        <v>2</v>
      </c>
      <c r="E26" s="2659">
        <v>2</v>
      </c>
      <c r="F26" s="2659">
        <v>3</v>
      </c>
      <c r="G26" s="2659">
        <v>0</v>
      </c>
      <c r="H26" s="2659">
        <v>0</v>
      </c>
      <c r="I26" s="2659">
        <v>1</v>
      </c>
      <c r="J26" s="2659">
        <v>2</v>
      </c>
      <c r="K26" s="2659">
        <v>2</v>
      </c>
      <c r="L26" s="2659">
        <v>2</v>
      </c>
      <c r="M26" s="2659">
        <v>2</v>
      </c>
      <c r="N26" s="2659">
        <v>2</v>
      </c>
      <c r="O26" s="2659">
        <v>2</v>
      </c>
      <c r="P26" s="2659">
        <v>2</v>
      </c>
      <c r="Q26" s="2659">
        <v>2</v>
      </c>
      <c r="R26" s="2659">
        <v>2</v>
      </c>
      <c r="S26" s="2659">
        <v>3</v>
      </c>
      <c r="T26" s="2659">
        <v>0</v>
      </c>
      <c r="U26" s="2659">
        <v>0</v>
      </c>
      <c r="V26" s="2659">
        <v>0</v>
      </c>
      <c r="W26" s="2659">
        <v>0</v>
      </c>
      <c r="X26" s="2659">
        <v>9</v>
      </c>
      <c r="Y26" s="2659">
        <v>0</v>
      </c>
      <c r="Z26" s="2659">
        <v>0</v>
      </c>
      <c r="AA26" s="2659">
        <v>0</v>
      </c>
      <c r="AB26" s="2659">
        <v>8</v>
      </c>
      <c r="AC26" s="2659">
        <v>0</v>
      </c>
      <c r="AD26" s="2659">
        <v>0</v>
      </c>
      <c r="AE26" s="2250"/>
      <c r="AF26" s="2250"/>
      <c r="AG26" s="2250"/>
      <c r="AH26" s="3233"/>
      <c r="AI26" s="3202">
        <v>0</v>
      </c>
      <c r="AJ26" cm="1">
        <f t="array" ref="AJ26">SUM(COUNTIFS($C26:$AG26,{"0","4","5","6","7","8","9"}))</f>
        <v>13</v>
      </c>
      <c r="AK26" cm="1">
        <f t="array" ref="AK26">SUM(COUNTIFS($C26:$AG26,{"0","4","5","6","7","8","9"},$C$4:$AG$4,"0"))</f>
        <v>9</v>
      </c>
      <c r="AL26" cm="1">
        <f t="array" ref="AL26">SUM(COUNTIFS($C26:$AG26,{"0","4","5","6","7","8","9"},$C$4:$AG$4,"1"))</f>
        <v>2</v>
      </c>
      <c r="AM26" cm="1">
        <f t="array" ref="AM26">SUM(COUNTIFS($C26:$AG26,{"0","4","5","6","7","8","9"},$C$4:$AG$4,"2"))</f>
        <v>1</v>
      </c>
      <c r="AN26" cm="1">
        <f t="array" ref="AN26">SUM(COUNTIFS($C26:$AG26,{"0","4","5","6","7","8","9"},$C$4:$AG$4,"3"))</f>
        <v>1</v>
      </c>
      <c r="AO26" cm="1">
        <f t="array" ref="AO26">SUM(COUNTIFS($C26:$AG26,{"1","2","3"}))</f>
        <v>15</v>
      </c>
      <c r="AP26" cm="1">
        <f t="array" ref="AP26">SUM(COUNTIFS($C26:$AG26,{"4","5","6"}))</f>
        <v>0</v>
      </c>
      <c r="AQ26">
        <f>AK26*'Spreadsheet Key'!$A$23 + AL26*'Spreadsheet Key'!$A$24 + AM26*'Spreadsheet Key'!$A$25 + AN26*'Spreadsheet Key'!$A$26</f>
        <v>434</v>
      </c>
      <c r="AR26">
        <f>AJ26/('FEB Statistics'!$B$29)*ABS(AI26-1)</f>
        <v>3.1553398058252427E-2</v>
      </c>
      <c r="AS26">
        <f>AI26*AT26</f>
        <v>0</v>
      </c>
      <c r="AT26">
        <f>AR26*'FEB Statistics'!$C$10</f>
        <v>31.900485436893202</v>
      </c>
      <c r="AV26">
        <f>COUNTIFS($C26:$AG26,"8",$C$4:$AG$4,"0")</f>
        <v>1</v>
      </c>
      <c r="AW26">
        <f>COUNTIFS($C26:$AG26,"9",$C$4:$AG$4,"0")</f>
        <v>0</v>
      </c>
      <c r="AX26">
        <f>COUNTIFS($C26:$AG26,"8",$C$4:$AG$4,"1")</f>
        <v>0</v>
      </c>
      <c r="AY26" cm="1">
        <f t="array" ref="AY26">COUNTIFS($C26:$AG26,"9",$C$4:$AG$4,"1")+SUM(COUNTIFS($C26:$AG26,{"8","9"},$C$4:$AG$4,"2"))+COUNTIFS($C26:$AG26,"8",$C$4:$AG$4,"3")</f>
        <v>1</v>
      </c>
      <c r="AZ26">
        <f>COUNTIFS($C26:$AG26,"9",$C$4:$AG$4,"3")</f>
        <v>0</v>
      </c>
      <c r="BA26">
        <f>SUM(AV26:AZ26)</f>
        <v>2</v>
      </c>
      <c r="BB26">
        <f>AV26*'Spreadsheet Key'!$A$27+AW26*'Spreadsheet Key'!$A$28+AX26*'Spreadsheet Key'!$A$29+AY26*'Spreadsheet Key'!$A$30+AZ26*'Spreadsheet Key'!$A$31</f>
        <v>46</v>
      </c>
      <c r="BD26">
        <f>AT26-BB26</f>
        <v>-14.099514563106798</v>
      </c>
    </row>
    <row r="27" spans="1:56">
      <c r="A27" s="2389"/>
      <c r="B27" s="2389"/>
      <c r="C27" s="779"/>
      <c r="D27" s="2434" t="s">
        <v>722</v>
      </c>
      <c r="E27" s="2434"/>
      <c r="F27" s="779"/>
      <c r="G27" s="779"/>
      <c r="H27" s="779"/>
      <c r="I27" s="779"/>
      <c r="J27" s="2434"/>
      <c r="K27" s="779"/>
      <c r="L27" s="779"/>
      <c r="M27" s="779"/>
      <c r="N27" s="779"/>
      <c r="O27" s="779"/>
      <c r="P27" s="2434" t="s">
        <v>720</v>
      </c>
      <c r="Q27" s="6217" t="s">
        <v>1199</v>
      </c>
      <c r="R27" s="5270"/>
      <c r="S27" s="5270"/>
      <c r="T27" s="5270"/>
      <c r="U27" s="5270"/>
      <c r="V27" s="5270"/>
      <c r="W27" s="5270"/>
      <c r="X27" s="5270"/>
      <c r="Y27" s="5270"/>
      <c r="Z27" s="779"/>
      <c r="AA27" s="2434"/>
      <c r="AB27" s="779"/>
      <c r="AC27" s="779"/>
      <c r="AD27" s="779"/>
      <c r="AE27" s="2250"/>
      <c r="AF27" s="2250"/>
      <c r="AG27" s="2250"/>
      <c r="AH27" s="3233"/>
      <c r="AI27" s="3202">
        <v>0</v>
      </c>
      <c r="AJ27" cm="1">
        <f t="array" ref="AJ27">SUM(COUNTIFS($C27:$AG27,{"0","4","5","6","7","8","9"}))</f>
        <v>0</v>
      </c>
      <c r="AK27" cm="1">
        <f t="array" ref="AK27">SUM(COUNTIFS($C27:$AG27,{"0","4","5","6","7","8","9"},$C$4:$AG$4,"0"))</f>
        <v>0</v>
      </c>
      <c r="AL27" cm="1">
        <f t="array" ref="AL27">SUM(COUNTIFS($C27:$AG27,{"0","4","5","6","7","8","9"},$C$4:$AG$4,"1"))</f>
        <v>0</v>
      </c>
      <c r="AM27" cm="1">
        <f t="array" ref="AM27">SUM(COUNTIFS($C27:$AG27,{"0","4","5","6","7","8","9"},$C$4:$AG$4,"2"))</f>
        <v>0</v>
      </c>
      <c r="AN27" cm="1">
        <f t="array" ref="AN27">SUM(COUNTIFS($C27:$AG27,{"0","4","5","6","7","8","9"},$C$4:$AG$4,"3"))</f>
        <v>0</v>
      </c>
      <c r="AO27" cm="1">
        <f t="array" ref="AO27">SUM(COUNTIFS($C27:$AG27,{"1","2","3"}))</f>
        <v>0</v>
      </c>
      <c r="AP27" cm="1">
        <f t="array" ref="AP27">SUM(COUNTIFS($C27:$AG27,{"4","5","6"}))</f>
        <v>0</v>
      </c>
      <c r="AQ27">
        <f>AK27*'Spreadsheet Key'!$A$23 + AL27*'Spreadsheet Key'!$A$24 + AM27*'Spreadsheet Key'!$A$25 + AN27*'Spreadsheet Key'!$A$26</f>
        <v>0</v>
      </c>
      <c r="AR27">
        <f>AJ27/('FEB Statistics'!$B$29)*ABS(AI27-1)</f>
        <v>0</v>
      </c>
      <c r="AS27">
        <f>AI27*AT27</f>
        <v>0</v>
      </c>
      <c r="AT27">
        <f>AR27*'FEB Statistics'!$C$10</f>
        <v>0</v>
      </c>
      <c r="AV27">
        <f>COUNTIFS($C27:$AG27,"8",$C$4:$AG$4,"0")</f>
        <v>0</v>
      </c>
      <c r="AW27">
        <f>COUNTIFS($C27:$AG27,"9",$C$4:$AG$4,"0")</f>
        <v>0</v>
      </c>
      <c r="AX27">
        <f>COUNTIFS($C27:$AG27,"8",$C$4:$AG$4,"1")</f>
        <v>0</v>
      </c>
      <c r="AY27" cm="1">
        <f t="array" ref="AY27">COUNTIFS($C27:$AG27,"9",$C$4:$AG$4,"1")+SUM(COUNTIFS($C27:$AG27,{"8","9"},$C$4:$AG$4,"2"))+COUNTIFS($C27:$AG27,"8",$C$4:$AG$4,"3")</f>
        <v>0</v>
      </c>
      <c r="AZ27">
        <f>COUNTIFS($C27:$AG27,"9",$C$4:$AG$4,"3")</f>
        <v>0</v>
      </c>
      <c r="BA27">
        <f>SUM(AV27:AZ27)</f>
        <v>0</v>
      </c>
      <c r="BB27">
        <f>AV27*'Spreadsheet Key'!$A$27+AW27*'Spreadsheet Key'!$A$28+AX27*'Spreadsheet Key'!$A$29+AY27*'Spreadsheet Key'!$A$30+AZ27*'Spreadsheet Key'!$A$31</f>
        <v>0</v>
      </c>
    </row>
    <row r="28" spans="1:56">
      <c r="A28" s="2389" t="s">
        <v>554</v>
      </c>
      <c r="B28" s="2389" t="s">
        <v>555</v>
      </c>
      <c r="C28" s="2659">
        <v>0</v>
      </c>
      <c r="D28" s="2659">
        <v>9</v>
      </c>
      <c r="E28" s="2659">
        <v>0</v>
      </c>
      <c r="F28" s="2659">
        <v>0</v>
      </c>
      <c r="G28" s="2659">
        <v>0</v>
      </c>
      <c r="H28" s="2659">
        <v>0</v>
      </c>
      <c r="I28" s="2659">
        <v>0</v>
      </c>
      <c r="J28" s="2659">
        <v>0</v>
      </c>
      <c r="K28" s="2659">
        <v>0</v>
      </c>
      <c r="L28" s="2659">
        <v>0</v>
      </c>
      <c r="M28" s="2659">
        <v>0</v>
      </c>
      <c r="N28" s="2659">
        <v>0</v>
      </c>
      <c r="O28" s="2659">
        <v>0</v>
      </c>
      <c r="P28" s="2659">
        <v>8</v>
      </c>
      <c r="Q28" s="2659">
        <v>1</v>
      </c>
      <c r="R28" s="2659">
        <v>2</v>
      </c>
      <c r="S28" s="2659">
        <v>2</v>
      </c>
      <c r="T28" s="2659">
        <v>2</v>
      </c>
      <c r="U28" s="2659">
        <v>2</v>
      </c>
      <c r="V28" s="2659">
        <v>2</v>
      </c>
      <c r="W28" s="2659">
        <v>2</v>
      </c>
      <c r="X28" s="2659">
        <v>2</v>
      </c>
      <c r="Y28" s="2659">
        <v>3</v>
      </c>
      <c r="Z28" s="2659">
        <v>0</v>
      </c>
      <c r="AA28" s="2659">
        <v>0</v>
      </c>
      <c r="AB28" s="2659">
        <v>0</v>
      </c>
      <c r="AC28" s="2659">
        <v>0</v>
      </c>
      <c r="AD28" s="2659">
        <v>0</v>
      </c>
      <c r="AE28" s="2250"/>
      <c r="AF28" s="2250"/>
      <c r="AG28" s="2250"/>
      <c r="AH28" s="3233"/>
      <c r="AI28" s="3202">
        <v>0</v>
      </c>
      <c r="AJ28" cm="1">
        <f t="array" ref="AJ28">SUM(COUNTIFS($C28:$AG28,{"0","4","5","6","7","8","9"}))</f>
        <v>19</v>
      </c>
      <c r="AK28" cm="1">
        <f t="array" ref="AK28">SUM(COUNTIFS($C28:$AG28,{"0","4","5","6","7","8","9"},$C$4:$AG$4,"0"))</f>
        <v>12</v>
      </c>
      <c r="AL28" cm="1">
        <f t="array" ref="AL28">SUM(COUNTIFS($C28:$AG28,{"0","4","5","6","7","8","9"},$C$4:$AG$4,"1"))</f>
        <v>3</v>
      </c>
      <c r="AM28" cm="1">
        <f t="array" ref="AM28">SUM(COUNTIFS($C28:$AG28,{"0","4","5","6","7","8","9"},$C$4:$AG$4,"2"))</f>
        <v>2</v>
      </c>
      <c r="AN28" cm="1">
        <f t="array" ref="AN28">SUM(COUNTIFS($C28:$AG28,{"0","4","5","6","7","8","9"},$C$4:$AG$4,"3"))</f>
        <v>2</v>
      </c>
      <c r="AO28" cm="1">
        <f t="array" ref="AO28">SUM(COUNTIFS($C28:$AG28,{"1","2","3"}))</f>
        <v>9</v>
      </c>
      <c r="AP28" cm="1">
        <f t="array" ref="AP28">SUM(COUNTIFS($C28:$AG28,{"4","5","6"}))</f>
        <v>0</v>
      </c>
      <c r="AQ28">
        <f>AK28*'Spreadsheet Key'!$A$23 + AL28*'Spreadsheet Key'!$A$24 + AM28*'Spreadsheet Key'!$A$25 + AN28*'Spreadsheet Key'!$A$26</f>
        <v>682</v>
      </c>
      <c r="AR28">
        <f>AJ28/('FEB Statistics'!$B$29)*ABS(AI28-1)</f>
        <v>4.6116504854368932E-2</v>
      </c>
      <c r="AS28">
        <f>AI28*AT28</f>
        <v>0</v>
      </c>
      <c r="AT28">
        <f>AR28*'FEB Statistics'!$C$10</f>
        <v>46.623786407766993</v>
      </c>
      <c r="AV28">
        <f>COUNTIFS($C28:$AG28,"8",$C$4:$AG$4,"0")</f>
        <v>0</v>
      </c>
      <c r="AW28">
        <f>COUNTIFS($C28:$AG28,"9",$C$4:$AG$4,"0")</f>
        <v>0</v>
      </c>
      <c r="AX28">
        <f>COUNTIFS($C28:$AG28,"8",$C$4:$AG$4,"1")</f>
        <v>1</v>
      </c>
      <c r="AY28" cm="1">
        <f t="array" ref="AY28">COUNTIFS($C28:$AG28,"9",$C$4:$AG$4,"1")+SUM(COUNTIFS($C28:$AG28,{"8","9"},$C$4:$AG$4,"2"))+COUNTIFS($C28:$AG28,"8",$C$4:$AG$4,"3")</f>
        <v>0</v>
      </c>
      <c r="AZ28">
        <f>COUNTIFS($C28:$AG28,"9",$C$4:$AG$4,"3")</f>
        <v>1</v>
      </c>
      <c r="BA28">
        <f>SUM(AV28:AZ28)</f>
        <v>2</v>
      </c>
      <c r="BB28">
        <f>AV28*'Spreadsheet Key'!$A$27+AW28*'Spreadsheet Key'!$A$28+AX28*'Spreadsheet Key'!$A$29+AY28*'Spreadsheet Key'!$A$30+AZ28*'Spreadsheet Key'!$A$31</f>
        <v>38</v>
      </c>
      <c r="BD28">
        <f>AT28-BB28</f>
        <v>8.6237864077669926</v>
      </c>
    </row>
    <row r="29" spans="1:56">
      <c r="A29" s="2389"/>
      <c r="B29" s="2389"/>
      <c r="C29" s="779"/>
      <c r="D29" s="4475" t="s">
        <v>158</v>
      </c>
      <c r="E29" s="4475"/>
      <c r="F29" s="4475"/>
      <c r="G29" s="4475"/>
      <c r="H29" s="4475"/>
      <c r="I29" s="4475"/>
      <c r="J29" s="779"/>
      <c r="K29" s="2434"/>
      <c r="L29" s="2434"/>
      <c r="M29" s="779"/>
      <c r="N29" s="779"/>
      <c r="O29" s="779"/>
      <c r="P29" s="779"/>
      <c r="Q29" s="779"/>
      <c r="R29" s="2434" t="s">
        <v>722</v>
      </c>
      <c r="S29" s="779"/>
      <c r="T29" s="779"/>
      <c r="U29" s="779"/>
      <c r="V29" s="779"/>
      <c r="W29" s="779"/>
      <c r="X29" s="779"/>
      <c r="Y29" s="2434"/>
      <c r="Z29" s="779"/>
      <c r="AA29" s="779"/>
      <c r="AB29" s="779"/>
      <c r="AC29" s="2434" t="s">
        <v>722</v>
      </c>
      <c r="AD29" s="779"/>
      <c r="AE29" s="2459"/>
      <c r="AF29" s="2459"/>
      <c r="AG29" s="2459"/>
      <c r="AH29" s="3233"/>
      <c r="AI29" s="3202">
        <v>0</v>
      </c>
      <c r="AJ29" cm="1">
        <f t="array" ref="AJ29">SUM(COUNTIFS($C29:$AG29,{"0","4","5","6","7","8","9"}))</f>
        <v>0</v>
      </c>
      <c r="AK29" cm="1">
        <f t="array" ref="AK29">SUM(COUNTIFS($C29:$AG29,{"0","4","5","6","7","8","9"},$C$4:$AG$4,"0"))</f>
        <v>0</v>
      </c>
      <c r="AL29" cm="1">
        <f t="array" ref="AL29">SUM(COUNTIFS($C29:$AG29,{"0","4","5","6","7","8","9"},$C$4:$AG$4,"1"))</f>
        <v>0</v>
      </c>
      <c r="AM29" cm="1">
        <f t="array" ref="AM29">SUM(COUNTIFS($C29:$AG29,{"0","4","5","6","7","8","9"},$C$4:$AG$4,"2"))</f>
        <v>0</v>
      </c>
      <c r="AN29" cm="1">
        <f t="array" ref="AN29">SUM(COUNTIFS($C29:$AG29,{"0","4","5","6","7","8","9"},$C$4:$AG$4,"3"))</f>
        <v>0</v>
      </c>
      <c r="AO29" cm="1">
        <f t="array" ref="AO29">SUM(COUNTIFS($C29:$AG29,{"1","2","3"}))</f>
        <v>0</v>
      </c>
      <c r="AP29" cm="1">
        <f t="array" ref="AP29">SUM(COUNTIFS($C29:$AG29,{"4","5","6"}))</f>
        <v>0</v>
      </c>
      <c r="AQ29">
        <f>AK29*'Spreadsheet Key'!$A$23 + AL29*'Spreadsheet Key'!$A$24 + AM29*'Spreadsheet Key'!$A$25 + AN29*'Spreadsheet Key'!$A$26</f>
        <v>0</v>
      </c>
      <c r="AR29">
        <f>AJ29/('FEB Statistics'!$B$29)*ABS(AI29-1)</f>
        <v>0</v>
      </c>
      <c r="AS29">
        <f>AI29*AT29</f>
        <v>0</v>
      </c>
      <c r="AT29">
        <f>AR29*'FEB Statistics'!$C$10</f>
        <v>0</v>
      </c>
      <c r="AV29">
        <f>COUNTIFS($C29:$AG29,"8",$C$4:$AG$4,"0")</f>
        <v>0</v>
      </c>
      <c r="AW29">
        <f>COUNTIFS($C29:$AG29,"9",$C$4:$AG$4,"0")</f>
        <v>0</v>
      </c>
      <c r="AX29">
        <f>COUNTIFS($C29:$AG29,"8",$C$4:$AG$4,"1")</f>
        <v>0</v>
      </c>
      <c r="AY29" cm="1">
        <f t="array" ref="AY29">COUNTIFS($C29:$AG29,"9",$C$4:$AG$4,"1")+SUM(COUNTIFS($C29:$AG29,{"8","9"},$C$4:$AG$4,"2"))+COUNTIFS($C29:$AG29,"8",$C$4:$AG$4,"3")</f>
        <v>0</v>
      </c>
      <c r="AZ29">
        <f>COUNTIFS($C29:$AG29,"9",$C$4:$AG$4,"3")</f>
        <v>0</v>
      </c>
      <c r="BA29">
        <f>SUM(AV29:AZ29)</f>
        <v>0</v>
      </c>
      <c r="BB29">
        <f>AV29*'Spreadsheet Key'!$A$27+AW29*'Spreadsheet Key'!$A$28+AX29*'Spreadsheet Key'!$A$29+AY29*'Spreadsheet Key'!$A$30+AZ29*'Spreadsheet Key'!$A$31</f>
        <v>0</v>
      </c>
    </row>
    <row r="30" spans="1:56">
      <c r="A30" s="2389" t="s">
        <v>129</v>
      </c>
      <c r="B30" s="2389" t="s">
        <v>474</v>
      </c>
      <c r="C30" s="2659">
        <v>0</v>
      </c>
      <c r="D30" s="2659">
        <v>1</v>
      </c>
      <c r="E30" s="2659">
        <v>2</v>
      </c>
      <c r="F30" s="2659">
        <v>2</v>
      </c>
      <c r="G30" s="2659">
        <v>2</v>
      </c>
      <c r="H30" s="2659">
        <v>2</v>
      </c>
      <c r="I30" s="2659">
        <v>3</v>
      </c>
      <c r="J30" s="2659">
        <v>0</v>
      </c>
      <c r="K30" s="2659">
        <v>0</v>
      </c>
      <c r="L30" s="2659">
        <v>0</v>
      </c>
      <c r="M30" s="2659">
        <v>0</v>
      </c>
      <c r="N30" s="2659">
        <v>0</v>
      </c>
      <c r="O30" s="2659">
        <v>0</v>
      </c>
      <c r="P30" s="2659">
        <v>0</v>
      </c>
      <c r="Q30" s="2659">
        <v>0</v>
      </c>
      <c r="R30" s="2659">
        <v>9</v>
      </c>
      <c r="S30" s="2659">
        <v>0</v>
      </c>
      <c r="T30" s="2659">
        <v>0</v>
      </c>
      <c r="U30" s="2659">
        <v>0</v>
      </c>
      <c r="V30" s="2659">
        <v>0</v>
      </c>
      <c r="W30" s="2659">
        <v>0</v>
      </c>
      <c r="X30" s="2659">
        <v>0</v>
      </c>
      <c r="Y30" s="2659">
        <v>0</v>
      </c>
      <c r="Z30" s="2659">
        <v>0</v>
      </c>
      <c r="AA30" s="2659">
        <v>0</v>
      </c>
      <c r="AB30" s="2659">
        <v>0</v>
      </c>
      <c r="AC30" s="2659">
        <v>9</v>
      </c>
      <c r="AD30" s="2659">
        <v>0</v>
      </c>
      <c r="AE30" s="2250"/>
      <c r="AF30" s="2250"/>
      <c r="AG30" s="2250"/>
      <c r="AH30" s="3233"/>
      <c r="AI30" s="3202">
        <v>0</v>
      </c>
      <c r="AJ30" cm="1">
        <f t="array" ref="AJ30">SUM(COUNTIFS($C30:$AG30,{"0","4","5","6","7","8","9"}))</f>
        <v>22</v>
      </c>
      <c r="AK30" cm="1">
        <f t="array" ref="AK30">SUM(COUNTIFS($C30:$AG30,{"0","4","5","6","7","8","9"},$C$4:$AG$4,"0"))</f>
        <v>12</v>
      </c>
      <c r="AL30" cm="1">
        <f t="array" ref="AL30">SUM(COUNTIFS($C30:$AG30,{"0","4","5","6","7","8","9"},$C$4:$AG$4,"1"))</f>
        <v>3</v>
      </c>
      <c r="AM30" cm="1">
        <f t="array" ref="AM30">SUM(COUNTIFS($C30:$AG30,{"0","4","5","6","7","8","9"},$C$4:$AG$4,"2"))</f>
        <v>4</v>
      </c>
      <c r="AN30" cm="1">
        <f t="array" ref="AN30">SUM(COUNTIFS($C30:$AG30,{"0","4","5","6","7","8","9"},$C$4:$AG$4,"3"))</f>
        <v>3</v>
      </c>
      <c r="AO30" cm="1">
        <f t="array" ref="AO30">SUM(COUNTIFS($C30:$AG30,{"1","2","3"}))</f>
        <v>6</v>
      </c>
      <c r="AP30" cm="1">
        <f t="array" ref="AP30">SUM(COUNTIFS($C30:$AG30,{"4","5","6"}))</f>
        <v>0</v>
      </c>
      <c r="AQ30">
        <f>AK30*'Spreadsheet Key'!$A$23 + AL30*'Spreadsheet Key'!$A$24 + AM30*'Spreadsheet Key'!$A$25 + AN30*'Spreadsheet Key'!$A$26</f>
        <v>882</v>
      </c>
      <c r="AR30">
        <f>AJ30/('FEB Statistics'!$B$29)*ABS(AI30-1)</f>
        <v>5.3398058252427182E-2</v>
      </c>
      <c r="AS30">
        <f>AI30*AT30</f>
        <v>0</v>
      </c>
      <c r="AT30">
        <f>AR30*'FEB Statistics'!$C$10</f>
        <v>53.985436893203882</v>
      </c>
      <c r="AV30">
        <f>COUNTIFS($C30:$AG30,"8",$C$4:$AG$4,"0")</f>
        <v>0</v>
      </c>
      <c r="AW30">
        <f>COUNTIFS($C30:$AG30,"9",$C$4:$AG$4,"0")</f>
        <v>1</v>
      </c>
      <c r="AX30">
        <f>COUNTIFS($C30:$AG30,"8",$C$4:$AG$4,"1")</f>
        <v>0</v>
      </c>
      <c r="AY30" cm="1">
        <f t="array" ref="AY30">COUNTIFS($C30:$AG30,"9",$C$4:$AG$4,"1")+SUM(COUNTIFS($C30:$AG30,{"8","9"},$C$4:$AG$4,"2"))+COUNTIFS($C30:$AG30,"8",$C$4:$AG$4,"3")</f>
        <v>0</v>
      </c>
      <c r="AZ30">
        <f>COUNTIFS($C30:$AG30,"9",$C$4:$AG$4,"3")</f>
        <v>1</v>
      </c>
      <c r="BA30">
        <f>SUM(AV30:AZ30)</f>
        <v>2</v>
      </c>
      <c r="BB30">
        <f>AV30*'Spreadsheet Key'!$A$27+AW30*'Spreadsheet Key'!$A$28+AX30*'Spreadsheet Key'!$A$29+AY30*'Spreadsheet Key'!$A$30+AZ30*'Spreadsheet Key'!$A$31</f>
        <v>32</v>
      </c>
      <c r="BD30">
        <f>AT30-BB30</f>
        <v>21.985436893203882</v>
      </c>
    </row>
    <row r="31" spans="1:56">
      <c r="A31" s="2389"/>
      <c r="B31" s="2389"/>
      <c r="C31" s="2434"/>
      <c r="D31" s="779"/>
      <c r="E31" s="2434"/>
      <c r="F31" s="779"/>
      <c r="G31" s="779"/>
      <c r="H31" s="779"/>
      <c r="I31" s="2434" t="s">
        <v>722</v>
      </c>
      <c r="J31" s="779"/>
      <c r="K31" s="2434" t="s">
        <v>722</v>
      </c>
      <c r="L31" s="2434"/>
      <c r="M31" s="779"/>
      <c r="N31" s="3685"/>
      <c r="O31" s="779"/>
      <c r="P31" s="779"/>
      <c r="Q31" s="779"/>
      <c r="R31" s="779"/>
      <c r="S31" s="2434"/>
      <c r="T31" s="2434" t="s">
        <v>722</v>
      </c>
      <c r="U31" s="779"/>
      <c r="V31" s="779"/>
      <c r="W31" s="779"/>
      <c r="X31" s="779"/>
      <c r="Y31" s="779"/>
      <c r="Z31" s="2434"/>
      <c r="AA31" s="779"/>
      <c r="AB31" s="779"/>
      <c r="AC31" s="779"/>
      <c r="AD31" s="779"/>
      <c r="AE31" s="2459"/>
      <c r="AF31" s="2459"/>
      <c r="AG31" s="2677"/>
      <c r="AH31" s="3233"/>
      <c r="AI31" s="3202"/>
      <c r="AJ31" cm="1">
        <f t="array" ref="AJ31">SUM(COUNTIFS($C31:$AG31,{"0","4","5","6","7","8","9"}))</f>
        <v>0</v>
      </c>
      <c r="AK31" cm="1">
        <f t="array" ref="AK31">SUM(COUNTIFS($C31:$AG31,{"0","4","5","6","7","8","9"},$C$4:$AG$4,"0"))</f>
        <v>0</v>
      </c>
      <c r="AL31" cm="1">
        <f t="array" ref="AL31">SUM(COUNTIFS($C31:$AG31,{"0","4","5","6","7","8","9"},$C$4:$AG$4,"1"))</f>
        <v>0</v>
      </c>
      <c r="AM31" cm="1">
        <f t="array" ref="AM31">SUM(COUNTIFS($C31:$AG31,{"0","4","5","6","7","8","9"},$C$4:$AG$4,"2"))</f>
        <v>0</v>
      </c>
      <c r="AN31" cm="1">
        <f t="array" ref="AN31">SUM(COUNTIFS($C31:$AG31,{"0","4","5","6","7","8","9"},$C$4:$AG$4,"3"))</f>
        <v>0</v>
      </c>
      <c r="AO31" cm="1">
        <f t="array" ref="AO31">SUM(COUNTIFS($C31:$AG31,{"1","2","3"}))</f>
        <v>0</v>
      </c>
      <c r="AP31" cm="1">
        <f t="array" ref="AP31">SUM(COUNTIFS($C31:$AG31,{"4","5","6"}))</f>
        <v>0</v>
      </c>
      <c r="AQ31">
        <f>AK31*'Spreadsheet Key'!$A$23 + AL31*'Spreadsheet Key'!$A$24 + AM31*'Spreadsheet Key'!$A$25 + AN31*'Spreadsheet Key'!$A$26</f>
        <v>0</v>
      </c>
      <c r="AR31">
        <f>AJ31/('FEB Statistics'!$B$29)*ABS(AI31-1)</f>
        <v>0</v>
      </c>
      <c r="AS31">
        <f>AI31*AT31</f>
        <v>0</v>
      </c>
      <c r="AT31">
        <f>AR31*'FEB Statistics'!$C$10</f>
        <v>0</v>
      </c>
      <c r="AV31">
        <f>COUNTIFS($C31:$AG31,"8",$C$4:$AG$4,"0")</f>
        <v>0</v>
      </c>
      <c r="AW31">
        <f>COUNTIFS($C31:$AG31,"9",$C$4:$AG$4,"0")</f>
        <v>0</v>
      </c>
      <c r="AX31">
        <f>COUNTIFS($C31:$AG31,"8",$C$4:$AG$4,"1")</f>
        <v>0</v>
      </c>
      <c r="AY31" cm="1">
        <f t="array" ref="AY31">COUNTIFS($C31:$AG31,"9",$C$4:$AG$4,"1")+SUM(COUNTIFS($C31:$AG31,{"8","9"},$C$4:$AG$4,"2"))+COUNTIFS($C31:$AG31,"8",$C$4:$AG$4,"3")</f>
        <v>0</v>
      </c>
      <c r="AZ31">
        <f>COUNTIFS($C31:$AG31,"9",$C$4:$AG$4,"3")</f>
        <v>0</v>
      </c>
      <c r="BA31">
        <f>SUM(AV31:AZ31)</f>
        <v>0</v>
      </c>
      <c r="BB31">
        <f>AV31*'Spreadsheet Key'!$A$27+AW31*'Spreadsheet Key'!$A$28+AX31*'Spreadsheet Key'!$A$29+AY31*'Spreadsheet Key'!$A$30+AZ31*'Spreadsheet Key'!$A$31</f>
        <v>0</v>
      </c>
    </row>
    <row r="32" spans="1:56">
      <c r="A32" s="2389" t="s">
        <v>155</v>
      </c>
      <c r="B32" s="2389" t="s">
        <v>135</v>
      </c>
      <c r="C32" s="2659">
        <v>0</v>
      </c>
      <c r="D32" s="2659">
        <v>0</v>
      </c>
      <c r="E32" s="2659">
        <v>0</v>
      </c>
      <c r="F32" s="2659">
        <v>0</v>
      </c>
      <c r="G32" s="2659">
        <v>0</v>
      </c>
      <c r="H32" s="2659">
        <v>0</v>
      </c>
      <c r="I32" s="2659">
        <v>9</v>
      </c>
      <c r="J32" s="2659">
        <v>0</v>
      </c>
      <c r="K32" s="2659">
        <v>9</v>
      </c>
      <c r="L32" s="2659">
        <v>0</v>
      </c>
      <c r="M32" s="2659">
        <v>0</v>
      </c>
      <c r="N32" s="2659">
        <v>0</v>
      </c>
      <c r="O32" s="2659">
        <v>0</v>
      </c>
      <c r="P32" s="2659">
        <v>0</v>
      </c>
      <c r="Q32" s="2659">
        <v>0</v>
      </c>
      <c r="R32" s="2659">
        <v>0</v>
      </c>
      <c r="S32" s="2659">
        <v>0</v>
      </c>
      <c r="T32" s="2659">
        <v>9</v>
      </c>
      <c r="U32" s="2659">
        <v>0</v>
      </c>
      <c r="V32" s="2659">
        <v>0</v>
      </c>
      <c r="W32" s="2659">
        <v>0</v>
      </c>
      <c r="X32" s="2659">
        <v>0</v>
      </c>
      <c r="Y32" s="2659">
        <v>0</v>
      </c>
      <c r="Z32" s="2659">
        <v>0</v>
      </c>
      <c r="AA32" s="2659">
        <v>0</v>
      </c>
      <c r="AB32" s="2659">
        <v>0</v>
      </c>
      <c r="AC32" s="2659">
        <v>0</v>
      </c>
      <c r="AD32" s="2659">
        <v>0</v>
      </c>
      <c r="AE32" s="2250"/>
      <c r="AF32" s="2250"/>
      <c r="AG32" s="2250"/>
      <c r="AH32" s="3233"/>
      <c r="AI32" s="3202">
        <v>0</v>
      </c>
      <c r="AJ32" cm="1">
        <f t="array" ref="AJ32">SUM(COUNTIFS($C32:$AG32,{"0","4","5","6","7","8","9"}))</f>
        <v>28</v>
      </c>
      <c r="AK32" cm="1">
        <f t="array" ref="AK32">SUM(COUNTIFS($C32:$AG32,{"0","4","5","6","7","8","9"},$C$4:$AG$4,"0"))</f>
        <v>16</v>
      </c>
      <c r="AL32" cm="1">
        <f t="array" ref="AL32">SUM(COUNTIFS($C32:$AG32,{"0","4","5","6","7","8","9"},$C$4:$AG$4,"1"))</f>
        <v>4</v>
      </c>
      <c r="AM32" cm="1">
        <f t="array" ref="AM32">SUM(COUNTIFS($C32:$AG32,{"0","4","5","6","7","8","9"},$C$4:$AG$4,"2"))</f>
        <v>4</v>
      </c>
      <c r="AN32" cm="1">
        <f t="array" ref="AN32">SUM(COUNTIFS($C32:$AG32,{"0","4","5","6","7","8","9"},$C$4:$AG$4,"3"))</f>
        <v>4</v>
      </c>
      <c r="AO32" cm="1">
        <f t="array" ref="AO32">SUM(COUNTIFS($C32:$AG32,{"1","2","3"}))</f>
        <v>0</v>
      </c>
      <c r="AP32" cm="1">
        <f t="array" ref="AP32">SUM(COUNTIFS($C32:$AG32,{"4","5","6"}))</f>
        <v>0</v>
      </c>
      <c r="AQ32">
        <f>AK32*'Spreadsheet Key'!$A$23 + AL32*'Spreadsheet Key'!$A$24 + AM32*'Spreadsheet Key'!$A$25 + AN32*'Spreadsheet Key'!$A$26</f>
        <v>1080</v>
      </c>
      <c r="AR32">
        <f>AJ32/('FEB Statistics'!$B$29)*ABS(AI32-1)</f>
        <v>6.7961165048543687E-2</v>
      </c>
      <c r="AS32">
        <f>AI32*AT32</f>
        <v>0</v>
      </c>
      <c r="AT32">
        <f>AR32*'FEB Statistics'!$C$10</f>
        <v>68.708737864077662</v>
      </c>
      <c r="AV32">
        <f>COUNTIFS($C32:$AG32,"8",$C$4:$AG$4,"0")</f>
        <v>0</v>
      </c>
      <c r="AW32">
        <f>COUNTIFS($C32:$AG32,"9",$C$4:$AG$4,"0")</f>
        <v>1</v>
      </c>
      <c r="AX32">
        <f>COUNTIFS($C32:$AG32,"8",$C$4:$AG$4,"1")</f>
        <v>0</v>
      </c>
      <c r="AY32" cm="1">
        <f t="array" ref="AY32">COUNTIFS($C32:$AG32,"9",$C$4:$AG$4,"1")+SUM(COUNTIFS($C32:$AG32,{"8","9"},$C$4:$AG$4,"2"))+COUNTIFS($C32:$AG32,"8",$C$4:$AG$4,"3")</f>
        <v>1</v>
      </c>
      <c r="AZ32">
        <f>COUNTIFS($C32:$AG32,"9",$C$4:$AG$4,"3")</f>
        <v>1</v>
      </c>
      <c r="BA32">
        <f>SUM(AV32:AZ32)</f>
        <v>3</v>
      </c>
      <c r="BB32">
        <f>AV32*'Spreadsheet Key'!$A$27+AW32*'Spreadsheet Key'!$A$28+AX32*'Spreadsheet Key'!$A$29+AY32*'Spreadsheet Key'!$A$30+AZ32*'Spreadsheet Key'!$A$31</f>
        <v>68</v>
      </c>
      <c r="BD32">
        <f>AT32-BB32</f>
        <v>0.70873786407766204</v>
      </c>
    </row>
    <row r="33" spans="1:56">
      <c r="A33" s="2389"/>
      <c r="B33" s="2389"/>
      <c r="C33" s="779"/>
      <c r="D33" s="2434"/>
      <c r="E33" s="779"/>
      <c r="F33" s="779"/>
      <c r="G33" s="2434"/>
      <c r="H33" s="2434" t="s">
        <v>722</v>
      </c>
      <c r="I33" s="779"/>
      <c r="J33" s="779"/>
      <c r="K33" s="2434"/>
      <c r="L33" s="2434" t="s">
        <v>720</v>
      </c>
      <c r="M33" s="779"/>
      <c r="N33" s="779"/>
      <c r="O33" s="779"/>
      <c r="P33" s="2434"/>
      <c r="Q33" s="2434"/>
      <c r="R33" s="779"/>
      <c r="S33" s="779"/>
      <c r="T33" s="779"/>
      <c r="U33" s="779"/>
      <c r="V33" s="779"/>
      <c r="W33" s="779"/>
      <c r="X33" s="779"/>
      <c r="Y33" s="779"/>
      <c r="Z33" s="779"/>
      <c r="AA33" s="2434" t="s">
        <v>722</v>
      </c>
      <c r="AB33" s="779"/>
      <c r="AC33" s="779"/>
      <c r="AD33" s="779"/>
      <c r="AE33" s="2459"/>
      <c r="AF33" s="2459"/>
      <c r="AG33" s="2459"/>
      <c r="AH33" s="3233"/>
      <c r="AI33" s="3202"/>
      <c r="AJ33" cm="1">
        <f t="array" ref="AJ33">SUM(COUNTIFS($C33:$AG33,{"0","4","5","6","7","8","9"}))</f>
        <v>0</v>
      </c>
      <c r="AK33" cm="1">
        <f t="array" ref="AK33">SUM(COUNTIFS($C33:$AG33,{"0","4","5","6","7","8","9"},$C$4:$AG$4,"0"))</f>
        <v>0</v>
      </c>
      <c r="AL33" cm="1">
        <f t="array" ref="AL33">SUM(COUNTIFS($C33:$AG33,{"0","4","5","6","7","8","9"},$C$4:$AG$4,"1"))</f>
        <v>0</v>
      </c>
      <c r="AM33" cm="1">
        <f t="array" ref="AM33">SUM(COUNTIFS($C33:$AG33,{"0","4","5","6","7","8","9"},$C$4:$AG$4,"2"))</f>
        <v>0</v>
      </c>
      <c r="AN33" cm="1">
        <f t="array" ref="AN33">SUM(COUNTIFS($C33:$AG33,{"0","4","5","6","7","8","9"},$C$4:$AG$4,"3"))</f>
        <v>0</v>
      </c>
      <c r="AO33" cm="1">
        <f t="array" ref="AO33">SUM(COUNTIFS($C33:$AG33,{"1","2","3"}))</f>
        <v>0</v>
      </c>
      <c r="AP33" cm="1">
        <f t="array" ref="AP33">SUM(COUNTIFS($C33:$AG33,{"4","5","6"}))</f>
        <v>0</v>
      </c>
      <c r="AQ33">
        <f>AK33*'Spreadsheet Key'!$A$23 + AL33*'Spreadsheet Key'!$A$24 + AM33*'Spreadsheet Key'!$A$25 + AN33*'Spreadsheet Key'!$A$26</f>
        <v>0</v>
      </c>
      <c r="AR33">
        <f>AJ33/('FEB Statistics'!$B$29)*ABS(AI33-1)</f>
        <v>0</v>
      </c>
      <c r="AS33">
        <f>AI33*AT33</f>
        <v>0</v>
      </c>
      <c r="AT33">
        <f>AR33*'FEB Statistics'!$C$10</f>
        <v>0</v>
      </c>
      <c r="AV33">
        <f>COUNTIFS($C33:$AG33,"8",$C$4:$AG$4,"0")</f>
        <v>0</v>
      </c>
      <c r="AW33">
        <f>COUNTIFS($C33:$AG33,"9",$C$4:$AG$4,"0")</f>
        <v>0</v>
      </c>
      <c r="AX33">
        <f>COUNTIFS($C33:$AG33,"8",$C$4:$AG$4,"1")</f>
        <v>0</v>
      </c>
      <c r="AY33" cm="1">
        <f t="array" ref="AY33">COUNTIFS($C33:$AG33,"9",$C$4:$AG$4,"1")+SUM(COUNTIFS($C33:$AG33,{"8","9"},$C$4:$AG$4,"2"))+COUNTIFS($C33:$AG33,"8",$C$4:$AG$4,"3")</f>
        <v>0</v>
      </c>
      <c r="AZ33">
        <f>COUNTIFS($C33:$AG33,"9",$C$4:$AG$4,"3")</f>
        <v>0</v>
      </c>
      <c r="BA33">
        <f>SUM(AV33:AZ33)</f>
        <v>0</v>
      </c>
      <c r="BB33">
        <f>AV33*'Spreadsheet Key'!$A$27+AW33*'Spreadsheet Key'!$A$28+AX33*'Spreadsheet Key'!$A$29+AY33*'Spreadsheet Key'!$A$30+AZ33*'Spreadsheet Key'!$A$31</f>
        <v>0</v>
      </c>
    </row>
    <row r="34" spans="1:56">
      <c r="A34" s="2389" t="s">
        <v>1056</v>
      </c>
      <c r="B34" s="2389" t="s">
        <v>334</v>
      </c>
      <c r="C34" s="2659">
        <v>0</v>
      </c>
      <c r="D34" s="2659">
        <v>0</v>
      </c>
      <c r="E34" s="2659">
        <v>0</v>
      </c>
      <c r="F34" s="2659">
        <v>0</v>
      </c>
      <c r="G34" s="2659">
        <v>0</v>
      </c>
      <c r="H34" s="2659">
        <v>9</v>
      </c>
      <c r="I34" s="2659">
        <v>0</v>
      </c>
      <c r="J34" s="2659">
        <v>0</v>
      </c>
      <c r="K34" s="2659">
        <v>0</v>
      </c>
      <c r="L34" s="2659">
        <v>8</v>
      </c>
      <c r="M34" s="2659">
        <v>0</v>
      </c>
      <c r="N34" s="2659">
        <v>0</v>
      </c>
      <c r="O34" s="2659">
        <v>0</v>
      </c>
      <c r="P34" s="2659">
        <v>0</v>
      </c>
      <c r="Q34" s="2659">
        <v>0</v>
      </c>
      <c r="R34" s="2659">
        <v>0</v>
      </c>
      <c r="S34" s="2659">
        <v>0</v>
      </c>
      <c r="T34" s="2659">
        <v>0</v>
      </c>
      <c r="U34" s="2659">
        <v>0</v>
      </c>
      <c r="V34" s="2659">
        <v>0</v>
      </c>
      <c r="W34" s="2659">
        <v>0</v>
      </c>
      <c r="X34" s="2659">
        <v>0</v>
      </c>
      <c r="Y34" s="2659">
        <v>0</v>
      </c>
      <c r="Z34" s="2659">
        <v>0</v>
      </c>
      <c r="AA34" s="2659">
        <v>9</v>
      </c>
      <c r="AB34" s="2659">
        <v>0</v>
      </c>
      <c r="AC34" s="2659">
        <v>0</v>
      </c>
      <c r="AD34" s="2659">
        <v>0</v>
      </c>
      <c r="AE34" s="2250"/>
      <c r="AF34" s="2250"/>
      <c r="AG34" s="2250"/>
      <c r="AH34" s="3233"/>
      <c r="AI34" s="3202">
        <v>0</v>
      </c>
      <c r="AJ34" cm="1">
        <f t="array" ref="AJ34">SUM(COUNTIFS($C34:$AG34,{"0","4","5","6","7","8","9"}))</f>
        <v>28</v>
      </c>
      <c r="AK34" cm="1">
        <f t="array" ref="AK34">SUM(COUNTIFS($C34:$AG34,{"0","4","5","6","7","8","9"},$C$4:$AG$4,"0"))</f>
        <v>16</v>
      </c>
      <c r="AL34" cm="1">
        <f t="array" ref="AL34">SUM(COUNTIFS($C34:$AG34,{"0","4","5","6","7","8","9"},$C$4:$AG$4,"1"))</f>
        <v>4</v>
      </c>
      <c r="AM34" cm="1">
        <f t="array" ref="AM34">SUM(COUNTIFS($C34:$AG34,{"0","4","5","6","7","8","9"},$C$4:$AG$4,"2"))</f>
        <v>4</v>
      </c>
      <c r="AN34" cm="1">
        <f t="array" ref="AN34">SUM(COUNTIFS($C34:$AG34,{"0","4","5","6","7","8","9"},$C$4:$AG$4,"3"))</f>
        <v>4</v>
      </c>
      <c r="AO34" cm="1">
        <f t="array" ref="AO34">SUM(COUNTIFS($C34:$AG34,{"1","2","3"}))</f>
        <v>0</v>
      </c>
      <c r="AP34" cm="1">
        <f t="array" ref="AP34">SUM(COUNTIFS($C34:$AG34,{"4","5","6"}))</f>
        <v>0</v>
      </c>
      <c r="AQ34">
        <f>AK34*'Spreadsheet Key'!$A$23 + AL34*'Spreadsheet Key'!$A$24 + AM34*'Spreadsheet Key'!$A$25 + AN34*'Spreadsheet Key'!$A$26</f>
        <v>1080</v>
      </c>
      <c r="AR34">
        <f>AJ34/('FEB Statistics'!$B$29)*ABS(AI34-1)</f>
        <v>6.7961165048543687E-2</v>
      </c>
      <c r="AS34">
        <f>AI34*AT34</f>
        <v>0</v>
      </c>
      <c r="AT34">
        <f>AR34*'FEB Statistics'!$C$10</f>
        <v>68.708737864077662</v>
      </c>
      <c r="AV34">
        <f>COUNTIFS($C34:$AG34,"8",$C$4:$AG$4,"0")</f>
        <v>1</v>
      </c>
      <c r="AW34">
        <f>COUNTIFS($C34:$AG34,"9",$C$4:$AG$4,"0")</f>
        <v>2</v>
      </c>
      <c r="AX34">
        <f>COUNTIFS($C34:$AG34,"8",$C$4:$AG$4,"1")</f>
        <v>0</v>
      </c>
      <c r="AY34" cm="1">
        <f t="array" ref="AY34">COUNTIFS($C34:$AG34,"9",$C$4:$AG$4,"1")+SUM(COUNTIFS($C34:$AG34,{"8","9"},$C$4:$AG$4,"2"))+COUNTIFS($C34:$AG34,"8",$C$4:$AG$4,"3")</f>
        <v>0</v>
      </c>
      <c r="AZ34">
        <f>COUNTIFS($C34:$AG34,"9",$C$4:$AG$4,"3")</f>
        <v>0</v>
      </c>
      <c r="BA34">
        <f>SUM(AV34:AZ34)</f>
        <v>3</v>
      </c>
      <c r="BB34">
        <f>AV34*'Spreadsheet Key'!$A$27+AW34*'Spreadsheet Key'!$A$28+AX34*'Spreadsheet Key'!$A$29+AY34*'Spreadsheet Key'!$A$30+AZ34*'Spreadsheet Key'!$A$31</f>
        <v>34</v>
      </c>
      <c r="BD34">
        <f>AT34-BB34</f>
        <v>34.708737864077662</v>
      </c>
    </row>
    <row r="35" spans="1:56">
      <c r="A35" s="56"/>
      <c r="B35" s="56"/>
      <c r="C35" s="3010" t="s">
        <v>1025</v>
      </c>
      <c r="D35" s="4488" t="s">
        <v>1172</v>
      </c>
      <c r="E35" s="4489"/>
      <c r="F35" s="4489"/>
      <c r="G35" s="6215"/>
      <c r="H35" s="3010" t="s">
        <v>1025</v>
      </c>
      <c r="I35" s="3010" t="s">
        <v>1025</v>
      </c>
      <c r="J35" s="779"/>
      <c r="K35" s="3010" t="s">
        <v>1025</v>
      </c>
      <c r="L35" s="6164" t="s">
        <v>1184</v>
      </c>
      <c r="M35" s="5569"/>
      <c r="N35" s="6165"/>
      <c r="O35" s="3010" t="s">
        <v>1025</v>
      </c>
      <c r="P35" s="4333" t="s">
        <v>1203</v>
      </c>
      <c r="Q35" s="4411"/>
      <c r="R35" s="4411"/>
      <c r="S35" s="4411"/>
      <c r="T35" s="4411"/>
      <c r="U35" s="4411"/>
      <c r="V35" s="4411"/>
      <c r="W35" s="4411"/>
      <c r="X35" s="4411"/>
      <c r="Y35" s="4334"/>
      <c r="Z35" s="6164" t="s">
        <v>1204</v>
      </c>
      <c r="AA35" s="5569"/>
      <c r="AB35" s="5569"/>
      <c r="AC35" s="5569"/>
      <c r="AD35" s="6165"/>
      <c r="AE35" s="3240"/>
      <c r="AF35" s="2459"/>
      <c r="AG35" s="2459"/>
      <c r="AH35" s="3233"/>
      <c r="AI35" s="3202"/>
      <c r="AJ35" cm="1">
        <f t="array" ref="AJ35">SUM(COUNTIFS($C35:$AG35,{"0","4","5","6","7","8","9"}))</f>
        <v>0</v>
      </c>
      <c r="AK35" cm="1">
        <f t="array" ref="AK35">SUM(COUNTIFS($C35:$AG35,{"0","4","5","6","7","8","9"},$C$4:$AG$4,"0"))</f>
        <v>0</v>
      </c>
      <c r="AL35" cm="1">
        <f t="array" ref="AL35">SUM(COUNTIFS($C35:$AG35,{"0","4","5","6","7","8","9"},$C$4:$AG$4,"1"))</f>
        <v>0</v>
      </c>
      <c r="AM35" cm="1">
        <f t="array" ref="AM35">SUM(COUNTIFS($C35:$AG35,{"0","4","5","6","7","8","9"},$C$4:$AG$4,"2"))</f>
        <v>0</v>
      </c>
      <c r="AN35" cm="1">
        <f t="array" ref="AN35">SUM(COUNTIFS($C35:$AG35,{"0","4","5","6","7","8","9"},$C$4:$AG$4,"3"))</f>
        <v>0</v>
      </c>
      <c r="AO35" cm="1">
        <f t="array" ref="AO35">SUM(COUNTIFS($C35:$AG35,{"1","2","3"}))</f>
        <v>0</v>
      </c>
      <c r="AP35" cm="1">
        <f t="array" ref="AP35">SUM(COUNTIFS($C35:$AG35,{"4","5","6"}))</f>
        <v>0</v>
      </c>
      <c r="AQ35">
        <f>AK35*'Spreadsheet Key'!$A$23 + AL35*'Spreadsheet Key'!$A$24 + AM35*'Spreadsheet Key'!$A$25 + AN35*'Spreadsheet Key'!$A$26</f>
        <v>0</v>
      </c>
      <c r="AR35">
        <f>AJ35/('FEB Statistics'!$B$29)*ABS(AI35-1)</f>
        <v>0</v>
      </c>
      <c r="AS35">
        <f>AI35*AT35</f>
        <v>0</v>
      </c>
      <c r="AT35">
        <f>AR35*'FEB Statistics'!$C$10</f>
        <v>0</v>
      </c>
      <c r="AV35">
        <f>COUNTIFS($C35:$AG35,"8",$C$4:$AG$4,"0")</f>
        <v>0</v>
      </c>
      <c r="AW35">
        <f>COUNTIFS($C35:$AG35,"9",$C$4:$AG$4,"0")</f>
        <v>0</v>
      </c>
      <c r="AX35">
        <f>COUNTIFS($C35:$AG35,"8",$C$4:$AG$4,"1")</f>
        <v>0</v>
      </c>
      <c r="AY35" cm="1">
        <f t="array" ref="AY35">COUNTIFS($C35:$AG35,"9",$C$4:$AG$4,"1")+SUM(COUNTIFS($C35:$AG35,{"8","9"},$C$4:$AG$4,"2"))+COUNTIFS($C35:$AG35,"8",$C$4:$AG$4,"3")</f>
        <v>0</v>
      </c>
      <c r="AZ35">
        <f>COUNTIFS($C35:$AG35,"9",$C$4:$AG$4,"3")</f>
        <v>0</v>
      </c>
      <c r="BA35">
        <f>SUM(AV35:AZ35)</f>
        <v>0</v>
      </c>
      <c r="BB35">
        <f>AV35*'Spreadsheet Key'!$A$27+AW35*'Spreadsheet Key'!$A$28+AX35*'Spreadsheet Key'!$A$29+AY35*'Spreadsheet Key'!$A$30+AZ35*'Spreadsheet Key'!$A$31</f>
        <v>0</v>
      </c>
    </row>
    <row r="36" spans="1:56">
      <c r="A36" s="56" t="s">
        <v>95</v>
      </c>
      <c r="B36" s="56" t="s">
        <v>620</v>
      </c>
      <c r="C36" s="2659">
        <v>1</v>
      </c>
      <c r="D36" s="2659">
        <v>2</v>
      </c>
      <c r="E36" s="2659">
        <v>2</v>
      </c>
      <c r="F36" s="2659">
        <v>2</v>
      </c>
      <c r="G36" s="2659">
        <v>2</v>
      </c>
      <c r="H36" s="2659">
        <v>2</v>
      </c>
      <c r="I36" s="2659">
        <v>3</v>
      </c>
      <c r="J36" s="2659">
        <v>0</v>
      </c>
      <c r="K36" s="2659">
        <v>1</v>
      </c>
      <c r="L36" s="2659">
        <v>2</v>
      </c>
      <c r="M36" s="2659">
        <v>2</v>
      </c>
      <c r="N36" s="2659">
        <v>2</v>
      </c>
      <c r="O36" s="2659">
        <v>2</v>
      </c>
      <c r="P36" s="2659">
        <v>2</v>
      </c>
      <c r="Q36" s="2659">
        <v>2</v>
      </c>
      <c r="R36" s="2659">
        <v>2</v>
      </c>
      <c r="S36" s="2659">
        <v>2</v>
      </c>
      <c r="T36" s="2659">
        <v>2</v>
      </c>
      <c r="U36" s="2659">
        <v>2</v>
      </c>
      <c r="V36" s="2659">
        <v>2</v>
      </c>
      <c r="W36" s="2659">
        <v>2</v>
      </c>
      <c r="X36" s="2659">
        <v>2</v>
      </c>
      <c r="Y36" s="2659">
        <v>2</v>
      </c>
      <c r="Z36" s="2659">
        <v>2</v>
      </c>
      <c r="AA36" s="2659">
        <v>2</v>
      </c>
      <c r="AB36" s="2659">
        <v>2</v>
      </c>
      <c r="AC36" s="2659">
        <v>2</v>
      </c>
      <c r="AD36" s="2659">
        <v>2</v>
      </c>
      <c r="AE36" s="2250"/>
      <c r="AF36" s="2250"/>
      <c r="AG36" s="2250"/>
      <c r="AH36" s="3233"/>
      <c r="AI36" s="3202">
        <v>0</v>
      </c>
      <c r="AJ36" cm="1">
        <f t="array" ref="AJ36">SUM(COUNTIFS($C36:$AG36,{"0","4","5","6","7","8","9"}))</f>
        <v>1</v>
      </c>
      <c r="AK36" cm="1">
        <f t="array" ref="AK36">SUM(COUNTIFS($C36:$AG36,{"0","4","5","6","7","8","9"},$C$4:$AG$4,"0"))</f>
        <v>0</v>
      </c>
      <c r="AL36" cm="1">
        <f t="array" ref="AL36">SUM(COUNTIFS($C36:$AG36,{"0","4","5","6","7","8","9"},$C$4:$AG$4,"1"))</f>
        <v>0</v>
      </c>
      <c r="AM36" cm="1">
        <f t="array" ref="AM36">SUM(COUNTIFS($C36:$AG36,{"0","4","5","6","7","8","9"},$C$4:$AG$4,"2"))</f>
        <v>1</v>
      </c>
      <c r="AN36" cm="1">
        <f t="array" ref="AN36">SUM(COUNTIFS($C36:$AG36,{"0","4","5","6","7","8","9"},$C$4:$AG$4,"3"))</f>
        <v>0</v>
      </c>
      <c r="AO36" cm="1">
        <f t="array" ref="AO36">SUM(COUNTIFS($C36:$AG36,{"1","2","3"}))</f>
        <v>27</v>
      </c>
      <c r="AP36" cm="1">
        <f t="array" ref="AP36">SUM(COUNTIFS($C36:$AG36,{"4","5","6"}))</f>
        <v>0</v>
      </c>
      <c r="AQ36">
        <f>AK36*'Spreadsheet Key'!$A$23 + AL36*'Spreadsheet Key'!$A$24 + AM36*'Spreadsheet Key'!$A$25 + AN36*'Spreadsheet Key'!$A$26</f>
        <v>72</v>
      </c>
      <c r="AR36">
        <f>AJ36/('FEB Statistics'!$B$29)*ABS(AI36-1)</f>
        <v>2.4271844660194173E-3</v>
      </c>
      <c r="AS36">
        <f>AI36*AT36</f>
        <v>0</v>
      </c>
      <c r="AT36">
        <f>AR36*'FEB Statistics'!$C$10</f>
        <v>2.453883495145631</v>
      </c>
      <c r="AV36">
        <f>COUNTIFS($C36:$AG36,"8",$C$4:$AG$4,"0")</f>
        <v>0</v>
      </c>
      <c r="AW36">
        <f>COUNTIFS($C36:$AG36,"9",$C$4:$AG$4,"0")</f>
        <v>0</v>
      </c>
      <c r="AX36">
        <f>COUNTIFS($C36:$AG36,"8",$C$4:$AG$4,"1")</f>
        <v>0</v>
      </c>
      <c r="AY36" cm="1">
        <f t="array" ref="AY36">COUNTIFS($C36:$AG36,"9",$C$4:$AG$4,"1")+SUM(COUNTIFS($C36:$AG36,{"8","9"},$C$4:$AG$4,"2"))+COUNTIFS($C36:$AG36,"8",$C$4:$AG$4,"3")</f>
        <v>0</v>
      </c>
      <c r="AZ36">
        <f>COUNTIFS($C36:$AG36,"9",$C$4:$AG$4,"3")</f>
        <v>0</v>
      </c>
      <c r="BA36">
        <f>SUM(AV36:AZ36)</f>
        <v>0</v>
      </c>
      <c r="BB36">
        <f>AV36*'Spreadsheet Key'!$A$27+AW36*'Spreadsheet Key'!$A$28+AX36*'Spreadsheet Key'!$A$29+AY36*'Spreadsheet Key'!$A$30+AZ36*'Spreadsheet Key'!$A$31</f>
        <v>0</v>
      </c>
      <c r="BD36">
        <f>AT36-BB36</f>
        <v>2.453883495145631</v>
      </c>
    </row>
    <row r="37" spans="1:56" s="3232" customFormat="1">
      <c r="A37" s="56"/>
      <c r="B37" s="56"/>
      <c r="C37" s="3247" t="s">
        <v>1215</v>
      </c>
      <c r="D37" s="361"/>
      <c r="E37" s="1268"/>
      <c r="F37" s="1268"/>
      <c r="G37" s="1268"/>
      <c r="H37" s="1268"/>
      <c r="I37" s="1268"/>
      <c r="J37" s="2456"/>
      <c r="K37" s="361"/>
      <c r="L37" s="361"/>
      <c r="M37" s="3246"/>
      <c r="N37" s="361"/>
      <c r="O37" s="361"/>
      <c r="P37" s="712"/>
      <c r="Q37" s="361"/>
      <c r="R37" s="361"/>
      <c r="S37" s="361"/>
      <c r="T37" s="2456"/>
      <c r="U37" s="361"/>
      <c r="V37" s="361"/>
      <c r="W37" s="1268"/>
      <c r="X37" s="1268"/>
      <c r="Y37" s="1268"/>
      <c r="Z37" s="1268"/>
      <c r="AA37" s="1268"/>
      <c r="AB37" s="1268"/>
      <c r="AC37" s="1268"/>
      <c r="AD37" s="1268"/>
      <c r="AE37" s="3099"/>
      <c r="AF37" s="3099"/>
      <c r="AG37" s="3099"/>
      <c r="AH37" s="3233"/>
      <c r="AI37" s="3202"/>
      <c r="AJ37" cm="1">
        <f t="array" ref="AJ37">SUM(COUNTIFS($C37:$AG37,{"0","4","5","6","7","8","9"}))</f>
        <v>0</v>
      </c>
      <c r="AK37" cm="1">
        <f t="array" ref="AK37">SUM(COUNTIFS($C37:$AG37,{"0","4","5","6","7","8","9"},$C$4:$AG$4,"0"))</f>
        <v>0</v>
      </c>
      <c r="AL37" cm="1">
        <f t="array" ref="AL37">SUM(COUNTIFS($C37:$AG37,{"0","4","5","6","7","8","9"},$C$4:$AG$4,"1"))</f>
        <v>0</v>
      </c>
      <c r="AM37" cm="1">
        <f t="array" ref="AM37">SUM(COUNTIFS($C37:$AG37,{"0","4","5","6","7","8","9"},$C$4:$AG$4,"2"))</f>
        <v>0</v>
      </c>
      <c r="AN37" cm="1">
        <f t="array" ref="AN37">SUM(COUNTIFS($C37:$AG37,{"0","4","5","6","7","8","9"},$C$4:$AG$4,"3"))</f>
        <v>0</v>
      </c>
      <c r="AO37" cm="1">
        <f t="array" ref="AO37">SUM(COUNTIFS($C37:$AG37,{"1","2","3"}))</f>
        <v>0</v>
      </c>
      <c r="AP37" cm="1">
        <f t="array" ref="AP37">SUM(COUNTIFS($C37:$AG37,{"4","5","6"}))</f>
        <v>0</v>
      </c>
      <c r="AQ37">
        <f>AK37*'Spreadsheet Key'!$A$23 + AL37*'Spreadsheet Key'!$A$24 + AM37*'Spreadsheet Key'!$A$25 + AN37*'Spreadsheet Key'!$A$26</f>
        <v>0</v>
      </c>
      <c r="AR37">
        <f>AJ37/('FEB Statistics'!$B$29)*ABS(AI37-1)</f>
        <v>0</v>
      </c>
      <c r="AS37">
        <f>AI37*AT37</f>
        <v>0</v>
      </c>
      <c r="AT37">
        <f>AR37*'FEB Statistics'!$C$10</f>
        <v>0</v>
      </c>
      <c r="AU37"/>
      <c r="AV37">
        <f>COUNTIFS($C37:$AG37,"8",$C$4:$AG$4,"0")</f>
        <v>0</v>
      </c>
      <c r="AW37">
        <f>COUNTIFS($C37:$AG37,"9",$C$4:$AG$4,"0")</f>
        <v>0</v>
      </c>
      <c r="AX37">
        <f>COUNTIFS($C37:$AG37,"8",$C$4:$AG$4,"1")</f>
        <v>0</v>
      </c>
      <c r="AY37" cm="1">
        <f t="array" ref="AY37">COUNTIFS($C37:$AG37,"9",$C$4:$AG$4,"1")+SUM(COUNTIFS($C37:$AG37,{"8","9"},$C$4:$AG$4,"2"))+COUNTIFS($C37:$AG37,"8",$C$4:$AG$4,"3")</f>
        <v>0</v>
      </c>
      <c r="AZ37">
        <f>COUNTIFS($C37:$AG37,"9",$C$4:$AG$4,"3")</f>
        <v>0</v>
      </c>
      <c r="BA37">
        <f>SUM(AV37:AZ37)</f>
        <v>0</v>
      </c>
      <c r="BB37">
        <f>AV37*'Spreadsheet Key'!$A$27+AW37*'Spreadsheet Key'!$A$28+AX37*'Spreadsheet Key'!$A$29+AY37*'Spreadsheet Key'!$A$30+AZ37*'Spreadsheet Key'!$A$31</f>
        <v>0</v>
      </c>
      <c r="BC37"/>
      <c r="BD37"/>
    </row>
    <row r="38" spans="1:56" s="3232" customFormat="1">
      <c r="A38" s="56" t="s">
        <v>95</v>
      </c>
      <c r="B38" s="56" t="s">
        <v>1037</v>
      </c>
      <c r="C38" s="2659">
        <v>2</v>
      </c>
      <c r="D38" s="2659">
        <v>2</v>
      </c>
      <c r="E38" s="2659">
        <v>2</v>
      </c>
      <c r="F38" s="2659">
        <v>2</v>
      </c>
      <c r="G38" s="2659">
        <v>2</v>
      </c>
      <c r="H38" s="2659">
        <v>2</v>
      </c>
      <c r="I38" s="2659">
        <v>2</v>
      </c>
      <c r="J38" s="2659">
        <v>2</v>
      </c>
      <c r="K38" s="2659">
        <v>2</v>
      </c>
      <c r="L38" s="2659">
        <v>2</v>
      </c>
      <c r="M38" s="2659">
        <v>2</v>
      </c>
      <c r="N38" s="2659">
        <v>2</v>
      </c>
      <c r="O38" s="2659">
        <v>2</v>
      </c>
      <c r="P38" s="2659">
        <v>2</v>
      </c>
      <c r="Q38" s="2659">
        <v>2</v>
      </c>
      <c r="R38" s="2659">
        <v>2</v>
      </c>
      <c r="S38" s="2659">
        <v>2</v>
      </c>
      <c r="T38" s="2659">
        <v>2</v>
      </c>
      <c r="U38" s="2659">
        <v>2</v>
      </c>
      <c r="V38" s="2659">
        <v>2</v>
      </c>
      <c r="W38" s="2659">
        <v>2</v>
      </c>
      <c r="X38" s="2659">
        <v>2</v>
      </c>
      <c r="Y38" s="2659">
        <v>2</v>
      </c>
      <c r="Z38" s="2659">
        <v>2</v>
      </c>
      <c r="AA38" s="2659">
        <v>2</v>
      </c>
      <c r="AB38" s="2659">
        <v>2</v>
      </c>
      <c r="AC38" s="2659">
        <v>2</v>
      </c>
      <c r="AD38" s="2659">
        <v>2</v>
      </c>
      <c r="AE38" s="2250"/>
      <c r="AF38" s="2250"/>
      <c r="AG38" s="2250"/>
      <c r="AH38" s="3233"/>
      <c r="AI38" s="3202">
        <v>0</v>
      </c>
      <c r="AJ38" cm="1">
        <f t="array" ref="AJ38">SUM(COUNTIFS($C38:$AG38,{"0","4","5","6","7","8","9"}))</f>
        <v>0</v>
      </c>
      <c r="AK38" cm="1">
        <f t="array" ref="AK38">SUM(COUNTIFS($C38:$AG38,{"0","4","5","6","7","8","9"},$C$4:$AG$4,"0"))</f>
        <v>0</v>
      </c>
      <c r="AL38" cm="1">
        <f t="array" ref="AL38">SUM(COUNTIFS($C38:$AG38,{"0","4","5","6","7","8","9"},$C$4:$AG$4,"1"))</f>
        <v>0</v>
      </c>
      <c r="AM38" cm="1">
        <f t="array" ref="AM38">SUM(COUNTIFS($C38:$AG38,{"0","4","5","6","7","8","9"},$C$4:$AG$4,"2"))</f>
        <v>0</v>
      </c>
      <c r="AN38" cm="1">
        <f t="array" ref="AN38">SUM(COUNTIFS($C38:$AG38,{"0","4","5","6","7","8","9"},$C$4:$AG$4,"3"))</f>
        <v>0</v>
      </c>
      <c r="AO38" cm="1">
        <f t="array" ref="AO38">SUM(COUNTIFS($C38:$AG38,{"1","2","3"}))</f>
        <v>28</v>
      </c>
      <c r="AP38" cm="1">
        <f t="array" ref="AP38">SUM(COUNTIFS($C38:$AG38,{"4","5","6"}))</f>
        <v>0</v>
      </c>
      <c r="AQ38">
        <f>AK38*'Spreadsheet Key'!$A$23 + AL38*'Spreadsheet Key'!$A$24 + AM38*'Spreadsheet Key'!$A$25 + AN38*'Spreadsheet Key'!$A$26</f>
        <v>0</v>
      </c>
      <c r="AR38">
        <f>AJ38/('FEB Statistics'!$B$29)*ABS(AI38-1)</f>
        <v>0</v>
      </c>
      <c r="AS38">
        <f>AI38*AT38</f>
        <v>0</v>
      </c>
      <c r="AT38">
        <f>AR38*'FEB Statistics'!$C$10</f>
        <v>0</v>
      </c>
      <c r="AU38"/>
      <c r="AV38">
        <f>COUNTIFS($C38:$AG38,"8",$C$4:$AG$4,"0")</f>
        <v>0</v>
      </c>
      <c r="AW38">
        <f>COUNTIFS($C38:$AG38,"9",$C$4:$AG$4,"0")</f>
        <v>0</v>
      </c>
      <c r="AX38">
        <f>COUNTIFS($C38:$AG38,"8",$C$4:$AG$4,"1")</f>
        <v>0</v>
      </c>
      <c r="AY38" cm="1">
        <f t="array" ref="AY38">COUNTIFS($C38:$AG38,"9",$C$4:$AG$4,"1")+SUM(COUNTIFS($C38:$AG38,{"8","9"},$C$4:$AG$4,"2"))+COUNTIFS($C38:$AG38,"8",$C$4:$AG$4,"3")</f>
        <v>0</v>
      </c>
      <c r="AZ38">
        <f>COUNTIFS($C38:$AG38,"9",$C$4:$AG$4,"3")</f>
        <v>0</v>
      </c>
      <c r="BA38">
        <f>SUM(AV38:AZ38)</f>
        <v>0</v>
      </c>
      <c r="BB38">
        <f>AV38*'Spreadsheet Key'!$A$27+AW38*'Spreadsheet Key'!$A$28+AX38*'Spreadsheet Key'!$A$29+AY38*'Spreadsheet Key'!$A$30+AZ38*'Spreadsheet Key'!$A$31</f>
        <v>0</v>
      </c>
      <c r="BC38"/>
      <c r="BD38">
        <f>AT38-BB38</f>
        <v>0</v>
      </c>
    </row>
    <row r="39" spans="1:56" s="3232" customFormat="1">
      <c r="A39" s="56"/>
      <c r="B39" s="56"/>
      <c r="C39" s="3248" t="s">
        <v>1215</v>
      </c>
      <c r="D39" s="675"/>
      <c r="E39" s="880"/>
      <c r="F39" s="880"/>
      <c r="G39" s="880"/>
      <c r="H39" s="880"/>
      <c r="I39" s="880"/>
      <c r="J39" s="2639"/>
      <c r="K39" s="675"/>
      <c r="L39" s="675"/>
      <c r="M39" s="3249"/>
      <c r="N39" s="675"/>
      <c r="O39" s="675"/>
      <c r="P39" s="3250"/>
      <c r="Q39" s="675"/>
      <c r="R39" s="675"/>
      <c r="S39" s="675"/>
      <c r="T39" s="2639"/>
      <c r="U39" s="675"/>
      <c r="V39" s="675"/>
      <c r="W39" s="880"/>
      <c r="X39" s="880"/>
      <c r="Y39" s="880"/>
      <c r="Z39" s="880"/>
      <c r="AA39" s="880"/>
      <c r="AB39" s="880"/>
      <c r="AC39" s="880"/>
      <c r="AD39" s="880"/>
      <c r="AE39" s="2677"/>
      <c r="AF39" s="2677"/>
      <c r="AG39" s="2677"/>
      <c r="AH39" s="3233"/>
      <c r="AI39" s="3202"/>
      <c r="AJ39" cm="1">
        <f t="array" ref="AJ39">SUM(COUNTIFS($C39:$AG39,{"0","4","5","6","7","8","9"}))</f>
        <v>0</v>
      </c>
      <c r="AK39" cm="1">
        <f t="array" ref="AK39">SUM(COUNTIFS($C39:$AG39,{"0","4","5","6","7","8","9"},$C$4:$AG$4,"0"))</f>
        <v>0</v>
      </c>
      <c r="AL39" cm="1">
        <f t="array" ref="AL39">SUM(COUNTIFS($C39:$AG39,{"0","4","5","6","7","8","9"},$C$4:$AG$4,"1"))</f>
        <v>0</v>
      </c>
      <c r="AM39" cm="1">
        <f t="array" ref="AM39">SUM(COUNTIFS($C39:$AG39,{"0","4","5","6","7","8","9"},$C$4:$AG$4,"2"))</f>
        <v>0</v>
      </c>
      <c r="AN39" cm="1">
        <f t="array" ref="AN39">SUM(COUNTIFS($C39:$AG39,{"0","4","5","6","7","8","9"},$C$4:$AG$4,"3"))</f>
        <v>0</v>
      </c>
      <c r="AO39" cm="1">
        <f t="array" ref="AO39">SUM(COUNTIFS($C39:$AG39,{"1","2","3"}))</f>
        <v>0</v>
      </c>
      <c r="AP39" cm="1">
        <f t="array" ref="AP39">SUM(COUNTIFS($C39:$AG39,{"4","5","6"}))</f>
        <v>0</v>
      </c>
      <c r="AQ39">
        <f>AK39*'Spreadsheet Key'!$A$23 + AL39*'Spreadsheet Key'!$A$24 + AM39*'Spreadsheet Key'!$A$25 + AN39*'Spreadsheet Key'!$A$26</f>
        <v>0</v>
      </c>
      <c r="AR39">
        <f>AJ39/('FEB Statistics'!$B$29)*ABS(AI39-1)</f>
        <v>0</v>
      </c>
      <c r="AS39">
        <f>AI39*AT39</f>
        <v>0</v>
      </c>
      <c r="AT39">
        <f>AR39*'FEB Statistics'!$C$10</f>
        <v>0</v>
      </c>
      <c r="AU39"/>
      <c r="AV39">
        <f>COUNTIFS($C39:$AG39,"8",$C$4:$AG$4,"0")</f>
        <v>0</v>
      </c>
      <c r="AW39">
        <f>COUNTIFS($C39:$AG39,"9",$C$4:$AG$4,"0")</f>
        <v>0</v>
      </c>
      <c r="AX39">
        <f>COUNTIFS($C39:$AG39,"8",$C$4:$AG$4,"1")</f>
        <v>0</v>
      </c>
      <c r="AY39" cm="1">
        <f t="array" ref="AY39">COUNTIFS($C39:$AG39,"9",$C$4:$AG$4,"1")+SUM(COUNTIFS($C39:$AG39,{"8","9"},$C$4:$AG$4,"2"))+COUNTIFS($C39:$AG39,"8",$C$4:$AG$4,"3")</f>
        <v>0</v>
      </c>
      <c r="AZ39">
        <f>COUNTIFS($C39:$AG39,"9",$C$4:$AG$4,"3")</f>
        <v>0</v>
      </c>
      <c r="BA39">
        <f>SUM(AV39:AZ39)</f>
        <v>0</v>
      </c>
      <c r="BB39">
        <f>AV39*'Spreadsheet Key'!$A$27+AW39*'Spreadsheet Key'!$A$28+AX39*'Spreadsheet Key'!$A$29+AY39*'Spreadsheet Key'!$A$30+AZ39*'Spreadsheet Key'!$A$31</f>
        <v>0</v>
      </c>
      <c r="BC39"/>
      <c r="BD39"/>
    </row>
    <row r="40" spans="1:56" s="3232" customFormat="1">
      <c r="A40" s="56" t="s">
        <v>95</v>
      </c>
      <c r="B40" s="56" t="s">
        <v>1058</v>
      </c>
      <c r="C40" s="2659">
        <v>2</v>
      </c>
      <c r="D40" s="2659">
        <v>2</v>
      </c>
      <c r="E40" s="2659">
        <v>2</v>
      </c>
      <c r="F40" s="2659">
        <v>2</v>
      </c>
      <c r="G40" s="2659">
        <v>2</v>
      </c>
      <c r="H40" s="2659">
        <v>2</v>
      </c>
      <c r="I40" s="2659">
        <v>2</v>
      </c>
      <c r="J40" s="2659">
        <v>2</v>
      </c>
      <c r="K40" s="2659">
        <v>2</v>
      </c>
      <c r="L40" s="2659">
        <v>2</v>
      </c>
      <c r="M40" s="2659">
        <v>2</v>
      </c>
      <c r="N40" s="2659">
        <v>2</v>
      </c>
      <c r="O40" s="2659">
        <v>2</v>
      </c>
      <c r="P40" s="2659">
        <v>2</v>
      </c>
      <c r="Q40" s="2659">
        <v>2</v>
      </c>
      <c r="R40" s="2659">
        <v>2</v>
      </c>
      <c r="S40" s="2659">
        <v>2</v>
      </c>
      <c r="T40" s="2659">
        <v>2</v>
      </c>
      <c r="U40" s="2659">
        <v>2</v>
      </c>
      <c r="V40" s="2659">
        <v>2</v>
      </c>
      <c r="W40" s="2659">
        <v>2</v>
      </c>
      <c r="X40" s="2659">
        <v>2</v>
      </c>
      <c r="Y40" s="2659">
        <v>2</v>
      </c>
      <c r="Z40" s="2659">
        <v>2</v>
      </c>
      <c r="AA40" s="2659">
        <v>2</v>
      </c>
      <c r="AB40" s="2659">
        <v>2</v>
      </c>
      <c r="AC40" s="2659">
        <v>2</v>
      </c>
      <c r="AD40" s="2659">
        <v>2</v>
      </c>
      <c r="AE40" s="2250"/>
      <c r="AF40" s="2250"/>
      <c r="AG40" s="2250"/>
      <c r="AH40" s="3233"/>
      <c r="AI40" s="3202">
        <v>0</v>
      </c>
      <c r="AJ40" cm="1">
        <f t="array" ref="AJ40">SUM(COUNTIFS($C40:$AG40,{"0","4","5","6","7","8","9"}))</f>
        <v>0</v>
      </c>
      <c r="AK40" cm="1">
        <f t="array" ref="AK40">SUM(COUNTIFS($C40:$AG40,{"0","4","5","6","7","8","9"},$C$4:$AG$4,"0"))</f>
        <v>0</v>
      </c>
      <c r="AL40" cm="1">
        <f t="array" ref="AL40">SUM(COUNTIFS($C40:$AG40,{"0","4","5","6","7","8","9"},$C$4:$AG$4,"1"))</f>
        <v>0</v>
      </c>
      <c r="AM40" cm="1">
        <f t="array" ref="AM40">SUM(COUNTIFS($C40:$AG40,{"0","4","5","6","7","8","9"},$C$4:$AG$4,"2"))</f>
        <v>0</v>
      </c>
      <c r="AN40" cm="1">
        <f t="array" ref="AN40">SUM(COUNTIFS($C40:$AG40,{"0","4","5","6","7","8","9"},$C$4:$AG$4,"3"))</f>
        <v>0</v>
      </c>
      <c r="AO40" cm="1">
        <f t="array" ref="AO40">SUM(COUNTIFS($C40:$AG40,{"1","2","3"}))</f>
        <v>28</v>
      </c>
      <c r="AP40" cm="1">
        <f t="array" ref="AP40">SUM(COUNTIFS($C40:$AG40,{"4","5","6"}))</f>
        <v>0</v>
      </c>
      <c r="AQ40">
        <f>AK40*'Spreadsheet Key'!$A$23 + AL40*'Spreadsheet Key'!$A$24 + AM40*'Spreadsheet Key'!$A$25 + AN40*'Spreadsheet Key'!$A$26</f>
        <v>0</v>
      </c>
      <c r="AR40">
        <f>AJ40/('FEB Statistics'!$B$29)*ABS(AI40-1)</f>
        <v>0</v>
      </c>
      <c r="AS40">
        <f>AI40*AT40</f>
        <v>0</v>
      </c>
      <c r="AT40">
        <f>AR40*'FEB Statistics'!$C$10</f>
        <v>0</v>
      </c>
      <c r="AU40"/>
      <c r="AV40">
        <f>COUNTIFS($C40:$AG40,"8",$C$4:$AG$4,"0")</f>
        <v>0</v>
      </c>
      <c r="AW40">
        <f>COUNTIFS($C40:$AG40,"9",$C$4:$AG$4,"0")</f>
        <v>0</v>
      </c>
      <c r="AX40">
        <f>COUNTIFS($C40:$AG40,"8",$C$4:$AG$4,"1")</f>
        <v>0</v>
      </c>
      <c r="AY40" cm="1">
        <f t="array" ref="AY40">COUNTIFS($C40:$AG40,"9",$C$4:$AG$4,"1")+SUM(COUNTIFS($C40:$AG40,{"8","9"},$C$4:$AG$4,"2"))+COUNTIFS($C40:$AG40,"8",$C$4:$AG$4,"3")</f>
        <v>0</v>
      </c>
      <c r="AZ40">
        <f>COUNTIFS($C40:$AG40,"9",$C$4:$AG$4,"3")</f>
        <v>0</v>
      </c>
      <c r="BA40">
        <f>SUM(AV40:AZ40)</f>
        <v>0</v>
      </c>
      <c r="BB40">
        <f>AV40*'Spreadsheet Key'!$A$27+AW40*'Spreadsheet Key'!$A$28+AX40*'Spreadsheet Key'!$A$29+AY40*'Spreadsheet Key'!$A$30+AZ40*'Spreadsheet Key'!$A$31</f>
        <v>0</v>
      </c>
      <c r="BC40"/>
      <c r="BD40">
        <f>AT40-BB40</f>
        <v>0</v>
      </c>
    </row>
    <row r="41" spans="1:56">
      <c r="A41" s="56"/>
      <c r="B41" s="56"/>
      <c r="C41" s="3010" t="s">
        <v>1025</v>
      </c>
      <c r="D41" s="2287"/>
      <c r="E41" s="2287"/>
      <c r="F41" s="2434"/>
      <c r="G41" s="2432" t="s">
        <v>720</v>
      </c>
      <c r="H41" s="2432"/>
      <c r="I41" s="3010" t="s">
        <v>1025</v>
      </c>
      <c r="J41" s="4396" t="s">
        <v>1186</v>
      </c>
      <c r="K41" s="4467"/>
      <c r="L41" s="3010" t="s">
        <v>1025</v>
      </c>
      <c r="M41" s="6164" t="s">
        <v>1184</v>
      </c>
      <c r="N41" s="5569"/>
      <c r="O41" s="5569"/>
      <c r="P41" s="6165"/>
      <c r="Q41" s="3010" t="s">
        <v>1025</v>
      </c>
      <c r="R41" s="779"/>
      <c r="S41" s="779"/>
      <c r="T41" s="779"/>
      <c r="U41" s="2434" t="s">
        <v>722</v>
      </c>
      <c r="V41" s="779"/>
      <c r="W41" s="779"/>
      <c r="X41" s="779"/>
      <c r="Y41" s="2432" t="s">
        <v>720</v>
      </c>
      <c r="Z41" s="779"/>
      <c r="AA41" s="779"/>
      <c r="AB41" s="779"/>
      <c r="AC41" s="779"/>
      <c r="AD41" s="779"/>
      <c r="AE41" s="3242"/>
      <c r="AF41" s="3242"/>
      <c r="AG41" s="3241"/>
      <c r="AH41" s="3233"/>
      <c r="AI41" s="3202"/>
      <c r="AJ41" cm="1">
        <f t="array" ref="AJ41">SUM(COUNTIFS($C41:$AG41,{"0","4","5","6","7","8","9"}))</f>
        <v>0</v>
      </c>
      <c r="AK41" cm="1">
        <f t="array" ref="AK41">SUM(COUNTIFS($C41:$AG41,{"0","4","5","6","7","8","9"},$C$4:$AG$4,"0"))</f>
        <v>0</v>
      </c>
      <c r="AL41" cm="1">
        <f t="array" ref="AL41">SUM(COUNTIFS($C41:$AG41,{"0","4","5","6","7","8","9"},$C$4:$AG$4,"1"))</f>
        <v>0</v>
      </c>
      <c r="AM41" cm="1">
        <f t="array" ref="AM41">SUM(COUNTIFS($C41:$AG41,{"0","4","5","6","7","8","9"},$C$4:$AG$4,"2"))</f>
        <v>0</v>
      </c>
      <c r="AN41" cm="1">
        <f t="array" ref="AN41">SUM(COUNTIFS($C41:$AG41,{"0","4","5","6","7","8","9"},$C$4:$AG$4,"3"))</f>
        <v>0</v>
      </c>
      <c r="AO41" cm="1">
        <f t="array" ref="AO41">SUM(COUNTIFS($C41:$AG41,{"1","2","3"}))</f>
        <v>0</v>
      </c>
      <c r="AP41" cm="1">
        <f t="array" ref="AP41">SUM(COUNTIFS($C41:$AG41,{"4","5","6"}))</f>
        <v>0</v>
      </c>
      <c r="AQ41">
        <f>AK41*'Spreadsheet Key'!$A$23 + AL41*'Spreadsheet Key'!$A$24 + AM41*'Spreadsheet Key'!$A$25 + AN41*'Spreadsheet Key'!$A$26</f>
        <v>0</v>
      </c>
      <c r="AR41">
        <f>AJ41/('FEB Statistics'!$B$29)*ABS(AI41-1)</f>
        <v>0</v>
      </c>
      <c r="AS41">
        <f>AI41*AT41</f>
        <v>0</v>
      </c>
      <c r="AT41">
        <f>AR41*'FEB Statistics'!$C$10</f>
        <v>0</v>
      </c>
      <c r="AV41">
        <f>COUNTIFS($C41:$AG41,"8",$C$4:$AG$4,"0")</f>
        <v>0</v>
      </c>
      <c r="AW41">
        <f>COUNTIFS($C41:$AG41,"9",$C$4:$AG$4,"0")</f>
        <v>0</v>
      </c>
      <c r="AX41">
        <f>COUNTIFS($C41:$AG41,"8",$C$4:$AG$4,"1")</f>
        <v>0</v>
      </c>
      <c r="AY41" cm="1">
        <f t="array" ref="AY41">COUNTIFS($C41:$AG41,"9",$C$4:$AG$4,"1")+SUM(COUNTIFS($C41:$AG41,{"8","9"},$C$4:$AG$4,"2"))+COUNTIFS($C41:$AG41,"8",$C$4:$AG$4,"3")</f>
        <v>0</v>
      </c>
      <c r="AZ41">
        <f>COUNTIFS($C41:$AG41,"9",$C$4:$AG$4,"3")</f>
        <v>0</v>
      </c>
      <c r="BA41">
        <f>SUM(AV41:AZ41)</f>
        <v>0</v>
      </c>
      <c r="BB41">
        <f>AV41*'Spreadsheet Key'!$A$27+AW41*'Spreadsheet Key'!$A$28+AX41*'Spreadsheet Key'!$A$29+AY41*'Spreadsheet Key'!$A$30+AZ41*'Spreadsheet Key'!$A$31</f>
        <v>0</v>
      </c>
    </row>
    <row r="42" spans="1:56">
      <c r="A42" s="56" t="s">
        <v>739</v>
      </c>
      <c r="B42" s="56" t="s">
        <v>740</v>
      </c>
      <c r="C42" s="2659">
        <v>3</v>
      </c>
      <c r="D42" s="2659">
        <v>0</v>
      </c>
      <c r="E42" s="2659">
        <v>0</v>
      </c>
      <c r="F42" s="2659">
        <v>0</v>
      </c>
      <c r="G42" s="2659">
        <v>8</v>
      </c>
      <c r="H42" s="2659">
        <v>0</v>
      </c>
      <c r="I42" s="2659">
        <v>1</v>
      </c>
      <c r="J42" s="2659">
        <v>2</v>
      </c>
      <c r="K42" s="2659">
        <v>2</v>
      </c>
      <c r="L42" s="2659">
        <v>2</v>
      </c>
      <c r="M42" s="2659">
        <v>2</v>
      </c>
      <c r="N42" s="2659">
        <v>2</v>
      </c>
      <c r="O42" s="2659">
        <v>2</v>
      </c>
      <c r="P42" s="2659">
        <v>2</v>
      </c>
      <c r="Q42" s="2659">
        <v>3</v>
      </c>
      <c r="R42" s="2659">
        <v>0</v>
      </c>
      <c r="S42" s="2659">
        <v>0</v>
      </c>
      <c r="T42" s="2659">
        <v>0</v>
      </c>
      <c r="U42" s="2659">
        <v>9</v>
      </c>
      <c r="V42" s="2659">
        <v>0</v>
      </c>
      <c r="W42" s="2659">
        <v>0</v>
      </c>
      <c r="X42" s="2659">
        <v>0</v>
      </c>
      <c r="Y42" s="2659">
        <v>8</v>
      </c>
      <c r="Z42" s="2659">
        <v>0</v>
      </c>
      <c r="AA42" s="2659">
        <v>0</v>
      </c>
      <c r="AB42" s="2659">
        <v>0</v>
      </c>
      <c r="AC42" s="2659">
        <v>0</v>
      </c>
      <c r="AD42" s="2659">
        <v>0</v>
      </c>
      <c r="AE42" s="2250"/>
      <c r="AF42" s="2250"/>
      <c r="AG42" s="2250"/>
      <c r="AH42" s="3233"/>
      <c r="AI42" s="3202">
        <v>0</v>
      </c>
      <c r="AJ42" cm="1">
        <f t="array" ref="AJ42">SUM(COUNTIFS($C42:$AG42,{"0","4","5","6","7","8","9"}))</f>
        <v>18</v>
      </c>
      <c r="AK42" cm="1">
        <f t="array" ref="AK42">SUM(COUNTIFS($C42:$AG42,{"0","4","5","6","7","8","9"},$C$4:$AG$4,"0"))</f>
        <v>12</v>
      </c>
      <c r="AL42" cm="1">
        <f t="array" ref="AL42">SUM(COUNTIFS($C42:$AG42,{"0","4","5","6","7","8","9"},$C$4:$AG$4,"1"))</f>
        <v>2</v>
      </c>
      <c r="AM42" cm="1">
        <f t="array" ref="AM42">SUM(COUNTIFS($C42:$AG42,{"0","4","5","6","7","8","9"},$C$4:$AG$4,"2"))</f>
        <v>1</v>
      </c>
      <c r="AN42" cm="1">
        <f t="array" ref="AN42">SUM(COUNTIFS($C42:$AG42,{"0","4","5","6","7","8","9"},$C$4:$AG$4,"3"))</f>
        <v>3</v>
      </c>
      <c r="AO42" cm="1">
        <f t="array" ref="AO42">SUM(COUNTIFS($C42:$AG42,{"1","2","3"}))</f>
        <v>10</v>
      </c>
      <c r="AP42" cm="1">
        <f t="array" ref="AP42">SUM(COUNTIFS($C42:$AG42,{"4","5","6"}))</f>
        <v>0</v>
      </c>
      <c r="AQ42">
        <f>AK42*'Spreadsheet Key'!$A$23 + AL42*'Spreadsheet Key'!$A$24 + AM42*'Spreadsheet Key'!$A$25 + AN42*'Spreadsheet Key'!$A$26</f>
        <v>612</v>
      </c>
      <c r="AR42">
        <f>AJ42/('FEB Statistics'!$B$29)*ABS(AI42-1)</f>
        <v>4.3689320388349516E-2</v>
      </c>
      <c r="AS42">
        <f>AI42*AT42</f>
        <v>0</v>
      </c>
      <c r="AT42">
        <f>AR42*'FEB Statistics'!$C$10</f>
        <v>44.16990291262136</v>
      </c>
      <c r="AV42">
        <f>COUNTIFS($C42:$AG42,"8",$C$4:$AG$4,"0")</f>
        <v>1</v>
      </c>
      <c r="AW42">
        <f>COUNTIFS($C42:$AG42,"9",$C$4:$AG$4,"0")</f>
        <v>1</v>
      </c>
      <c r="AX42">
        <f>COUNTIFS($C42:$AG42,"8",$C$4:$AG$4,"1")</f>
        <v>0</v>
      </c>
      <c r="AY42" cm="1">
        <f t="array" ref="AY42">COUNTIFS($C42:$AG42,"9",$C$4:$AG$4,"1")+SUM(COUNTIFS($C42:$AG42,{"8","9"},$C$4:$AG$4,"2"))+COUNTIFS($C42:$AG42,"8",$C$4:$AG$4,"3")</f>
        <v>1</v>
      </c>
      <c r="AZ42">
        <f>COUNTIFS($C42:$AG42,"9",$C$4:$AG$4,"3")</f>
        <v>0</v>
      </c>
      <c r="BA42">
        <f>SUM(AV42:AZ42)</f>
        <v>3</v>
      </c>
      <c r="BB42">
        <f>AV42*'Spreadsheet Key'!$A$27+AW42*'Spreadsheet Key'!$A$28+AX42*'Spreadsheet Key'!$A$29+AY42*'Spreadsheet Key'!$A$30+AZ42*'Spreadsheet Key'!$A$31</f>
        <v>58</v>
      </c>
      <c r="BD42">
        <f>AT42-BB42</f>
        <v>-13.83009708737864</v>
      </c>
    </row>
    <row r="43" spans="1:56">
      <c r="A43" s="56"/>
      <c r="B43" s="56"/>
      <c r="C43" s="675"/>
      <c r="D43" s="2639"/>
      <c r="E43" s="2639" t="s">
        <v>722</v>
      </c>
      <c r="F43" s="48"/>
      <c r="G43" s="2434"/>
      <c r="H43" s="48"/>
      <c r="I43" s="668"/>
      <c r="J43" s="2639" t="s">
        <v>720</v>
      </c>
      <c r="K43" s="779"/>
      <c r="L43" s="48"/>
      <c r="M43" s="48"/>
      <c r="N43" s="48"/>
      <c r="O43" s="668"/>
      <c r="P43" s="675"/>
      <c r="Q43" s="4463" t="s">
        <v>684</v>
      </c>
      <c r="R43" s="4413"/>
      <c r="S43" s="4413"/>
      <c r="T43" s="4413"/>
      <c r="U43" s="4413"/>
      <c r="V43" s="4413"/>
      <c r="W43" s="4413"/>
      <c r="X43" s="4413"/>
      <c r="Y43" s="4413"/>
      <c r="Z43" s="4413"/>
      <c r="AA43" s="4413"/>
      <c r="AB43" s="4413"/>
      <c r="AC43" s="4413"/>
      <c r="AD43" s="4414"/>
      <c r="AE43" s="2459"/>
      <c r="AF43" s="2459"/>
      <c r="AG43" s="2677"/>
      <c r="AH43" s="3233"/>
      <c r="AI43" s="3202"/>
      <c r="AJ43" cm="1">
        <f t="array" ref="AJ43">SUM(COUNTIFS($C43:$AG43,{"0","4","5","6","7","8","9"}))</f>
        <v>0</v>
      </c>
      <c r="AK43" cm="1">
        <f t="array" ref="AK43">SUM(COUNTIFS($C43:$AG43,{"0","4","5","6","7","8","9"},$C$4:$AG$4,"0"))</f>
        <v>0</v>
      </c>
      <c r="AL43" cm="1">
        <f t="array" ref="AL43">SUM(COUNTIFS($C43:$AG43,{"0","4","5","6","7","8","9"},$C$4:$AG$4,"1"))</f>
        <v>0</v>
      </c>
      <c r="AM43" cm="1">
        <f t="array" ref="AM43">SUM(COUNTIFS($C43:$AG43,{"0","4","5","6","7","8","9"},$C$4:$AG$4,"2"))</f>
        <v>0</v>
      </c>
      <c r="AN43" cm="1">
        <f t="array" ref="AN43">SUM(COUNTIFS($C43:$AG43,{"0","4","5","6","7","8","9"},$C$4:$AG$4,"3"))</f>
        <v>0</v>
      </c>
      <c r="AO43" cm="1">
        <f t="array" ref="AO43">SUM(COUNTIFS($C43:$AG43,{"1","2","3"}))</f>
        <v>0</v>
      </c>
      <c r="AP43" cm="1">
        <f t="array" ref="AP43">SUM(COUNTIFS($C43:$AG43,{"4","5","6"}))</f>
        <v>0</v>
      </c>
      <c r="AQ43">
        <f>AK43*'Spreadsheet Key'!$A$23 + AL43*'Spreadsheet Key'!$A$24 + AM43*'Spreadsheet Key'!$A$25 + AN43*'Spreadsheet Key'!$A$26</f>
        <v>0</v>
      </c>
      <c r="AR43">
        <f>AJ43/('FEB Statistics'!$B$29)*ABS(AI43-1)</f>
        <v>0</v>
      </c>
      <c r="AS43">
        <f>AI43*AT43</f>
        <v>0</v>
      </c>
      <c r="AT43">
        <f>AR43*'FEB Statistics'!$C$10</f>
        <v>0</v>
      </c>
      <c r="AV43">
        <f>COUNTIFS($C43:$AG43,"8",$C$4:$AG$4,"0")</f>
        <v>0</v>
      </c>
      <c r="AW43">
        <f>COUNTIFS($C43:$AG43,"9",$C$4:$AG$4,"0")</f>
        <v>0</v>
      </c>
      <c r="AX43">
        <f>COUNTIFS($C43:$AG43,"8",$C$4:$AG$4,"1")</f>
        <v>0</v>
      </c>
      <c r="AY43" cm="1">
        <f t="array" ref="AY43">COUNTIFS($C43:$AG43,"9",$C$4:$AG$4,"1")+SUM(COUNTIFS($C43:$AG43,{"8","9"},$C$4:$AG$4,"2"))+COUNTIFS($C43:$AG43,"8",$C$4:$AG$4,"3")</f>
        <v>0</v>
      </c>
      <c r="AZ43">
        <f>COUNTIFS($C43:$AG43,"9",$C$4:$AG$4,"3")</f>
        <v>0</v>
      </c>
      <c r="BA43">
        <f>SUM(AV43:AZ43)</f>
        <v>0</v>
      </c>
      <c r="BB43">
        <f>AV43*'Spreadsheet Key'!$A$27+AW43*'Spreadsheet Key'!$A$28+AX43*'Spreadsheet Key'!$A$29+AY43*'Spreadsheet Key'!$A$30+AZ43*'Spreadsheet Key'!$A$31</f>
        <v>0</v>
      </c>
    </row>
    <row r="44" spans="1:56">
      <c r="A44" s="56" t="s">
        <v>145</v>
      </c>
      <c r="B44" s="56" t="s">
        <v>148</v>
      </c>
      <c r="C44" s="2659">
        <v>0</v>
      </c>
      <c r="D44" s="2659">
        <v>0</v>
      </c>
      <c r="E44" s="2659">
        <v>9</v>
      </c>
      <c r="F44" s="2659">
        <v>0</v>
      </c>
      <c r="G44" s="2659">
        <v>0</v>
      </c>
      <c r="H44" s="2659">
        <v>0</v>
      </c>
      <c r="I44" s="2659">
        <v>0</v>
      </c>
      <c r="J44" s="2659">
        <v>8</v>
      </c>
      <c r="K44" s="2659">
        <v>0</v>
      </c>
      <c r="L44" s="2659">
        <v>0</v>
      </c>
      <c r="M44" s="2659">
        <v>0</v>
      </c>
      <c r="N44" s="2659">
        <v>0</v>
      </c>
      <c r="O44" s="2659">
        <v>0</v>
      </c>
      <c r="P44" s="2659">
        <v>0</v>
      </c>
      <c r="Q44" s="2659">
        <v>1</v>
      </c>
      <c r="R44" s="2659">
        <v>2</v>
      </c>
      <c r="S44" s="2659">
        <v>2</v>
      </c>
      <c r="T44" s="2659">
        <v>2</v>
      </c>
      <c r="U44" s="2659">
        <v>2</v>
      </c>
      <c r="V44" s="2659">
        <v>2</v>
      </c>
      <c r="W44" s="2659">
        <v>2</v>
      </c>
      <c r="X44" s="2659">
        <v>2</v>
      </c>
      <c r="Y44" s="2659">
        <v>2</v>
      </c>
      <c r="Z44" s="2659">
        <v>2</v>
      </c>
      <c r="AA44" s="2659">
        <v>2</v>
      </c>
      <c r="AB44" s="2659">
        <v>2</v>
      </c>
      <c r="AC44" s="2659">
        <v>2</v>
      </c>
      <c r="AD44" s="2659">
        <v>3</v>
      </c>
      <c r="AE44" s="2250"/>
      <c r="AF44" s="2250"/>
      <c r="AG44" s="2250"/>
      <c r="AH44" s="3233"/>
      <c r="AI44" s="3202">
        <v>0</v>
      </c>
      <c r="AJ44" cm="1">
        <f t="array" ref="AJ44">SUM(COUNTIFS($C44:$AG44,{"0","4","5","6","7","8","9"}))</f>
        <v>14</v>
      </c>
      <c r="AK44" cm="1">
        <f t="array" ref="AK44">SUM(COUNTIFS($C44:$AG44,{"0","4","5","6","7","8","9"},$C$4:$AG$4,"0"))</f>
        <v>8</v>
      </c>
      <c r="AL44" cm="1">
        <f t="array" ref="AL44">SUM(COUNTIFS($C44:$AG44,{"0","4","5","6","7","8","9"},$C$4:$AG$4,"1"))</f>
        <v>2</v>
      </c>
      <c r="AM44" cm="1">
        <f t="array" ref="AM44">SUM(COUNTIFS($C44:$AG44,{"0","4","5","6","7","8","9"},$C$4:$AG$4,"2"))</f>
        <v>2</v>
      </c>
      <c r="AN44" cm="1">
        <f t="array" ref="AN44">SUM(COUNTIFS($C44:$AG44,{"0","4","5","6","7","8","9"},$C$4:$AG$4,"3"))</f>
        <v>2</v>
      </c>
      <c r="AO44" cm="1">
        <f t="array" ref="AO44">SUM(COUNTIFS($C44:$AG44,{"1","2","3"}))</f>
        <v>14</v>
      </c>
      <c r="AP44" cm="1">
        <f t="array" ref="AP44">SUM(COUNTIFS($C44:$AG44,{"4","5","6"}))</f>
        <v>0</v>
      </c>
      <c r="AQ44">
        <f>AK44*'Spreadsheet Key'!$A$23 + AL44*'Spreadsheet Key'!$A$24 + AM44*'Spreadsheet Key'!$A$25 + AN44*'Spreadsheet Key'!$A$26</f>
        <v>540</v>
      </c>
      <c r="AR44">
        <f>AJ44/('FEB Statistics'!$B$29)*ABS(AI44-1)</f>
        <v>3.3980582524271843E-2</v>
      </c>
      <c r="AS44">
        <f>AI44*AT44</f>
        <v>0</v>
      </c>
      <c r="AT44">
        <f>AR44*'FEB Statistics'!$C$10</f>
        <v>34.354368932038831</v>
      </c>
      <c r="AV44">
        <f>COUNTIFS($C44:$AG44,"8",$C$4:$AG$4,"0")</f>
        <v>0</v>
      </c>
      <c r="AW44">
        <f>COUNTIFS($C44:$AG44,"9",$C$4:$AG$4,"0")</f>
        <v>1</v>
      </c>
      <c r="AX44">
        <f>COUNTIFS($C44:$AG44,"8",$C$4:$AG$4,"1")</f>
        <v>0</v>
      </c>
      <c r="AY44" cm="1">
        <f t="array" ref="AY44">COUNTIFS($C44:$AG44,"9",$C$4:$AG$4,"1")+SUM(COUNTIFS($C44:$AG44,{"8","9"},$C$4:$AG$4,"2"))+COUNTIFS($C44:$AG44,"8",$C$4:$AG$4,"3")</f>
        <v>1</v>
      </c>
      <c r="AZ44">
        <f>COUNTIFS($C44:$AG44,"9",$C$4:$AG$4,"3")</f>
        <v>0</v>
      </c>
      <c r="BA44">
        <f>SUM(AV44:AZ44)</f>
        <v>2</v>
      </c>
      <c r="BB44">
        <f>AV44*'Spreadsheet Key'!$A$27+AW44*'Spreadsheet Key'!$A$28+AX44*'Spreadsheet Key'!$A$29+AY44*'Spreadsheet Key'!$A$30+AZ44*'Spreadsheet Key'!$A$31</f>
        <v>48</v>
      </c>
      <c r="BD44">
        <f>AT44-BB44</f>
        <v>-13.645631067961169</v>
      </c>
    </row>
    <row r="45" spans="1:56">
      <c r="A45" s="266"/>
      <c r="B45" s="266"/>
      <c r="C45" s="5271" t="s">
        <v>684</v>
      </c>
      <c r="D45" s="5271"/>
      <c r="E45" s="5271"/>
      <c r="F45" s="5271"/>
      <c r="G45" s="5271"/>
      <c r="H45" s="5271"/>
      <c r="I45" s="5271"/>
      <c r="J45" s="5271"/>
      <c r="K45" s="5271"/>
      <c r="L45" s="778"/>
      <c r="M45" s="778"/>
      <c r="N45" s="778"/>
      <c r="O45" s="778"/>
      <c r="P45" s="2437" t="s">
        <v>30</v>
      </c>
      <c r="Q45" s="2437" t="s">
        <v>720</v>
      </c>
      <c r="R45" s="778"/>
      <c r="S45" s="778"/>
      <c r="T45" s="778"/>
      <c r="U45" s="778"/>
      <c r="V45" s="2770"/>
      <c r="W45" s="778"/>
      <c r="X45" s="778"/>
      <c r="Y45" s="778"/>
      <c r="Z45" s="778"/>
      <c r="AA45" s="2437"/>
      <c r="AB45" s="2437" t="s">
        <v>722</v>
      </c>
      <c r="AC45" s="778"/>
      <c r="AD45" s="778"/>
      <c r="AE45" s="2459"/>
      <c r="AF45" s="2459"/>
      <c r="AG45" s="3240"/>
      <c r="AH45" s="3233"/>
      <c r="AI45" s="3202"/>
      <c r="AJ45" cm="1">
        <f t="array" ref="AJ45">SUM(COUNTIFS($C45:$AG45,{"0","4","5","6","7","8","9"}))</f>
        <v>0</v>
      </c>
      <c r="AK45" cm="1">
        <f t="array" ref="AK45">SUM(COUNTIFS($C45:$AG45,{"0","4","5","6","7","8","9"},$C$4:$AG$4,"0"))</f>
        <v>0</v>
      </c>
      <c r="AL45" cm="1">
        <f t="array" ref="AL45">SUM(COUNTIFS($C45:$AG45,{"0","4","5","6","7","8","9"},$C$4:$AG$4,"1"))</f>
        <v>0</v>
      </c>
      <c r="AM45" cm="1">
        <f t="array" ref="AM45">SUM(COUNTIFS($C45:$AG45,{"0","4","5","6","7","8","9"},$C$4:$AG$4,"2"))</f>
        <v>0</v>
      </c>
      <c r="AN45" cm="1">
        <f t="array" ref="AN45">SUM(COUNTIFS($C45:$AG45,{"0","4","5","6","7","8","9"},$C$4:$AG$4,"3"))</f>
        <v>0</v>
      </c>
      <c r="AO45" cm="1">
        <f t="array" ref="AO45">SUM(COUNTIFS($C45:$AG45,{"1","2","3"}))</f>
        <v>0</v>
      </c>
      <c r="AP45" cm="1">
        <f t="array" ref="AP45">SUM(COUNTIFS($C45:$AG45,{"4","5","6"}))</f>
        <v>0</v>
      </c>
      <c r="AQ45">
        <f>AK45*'Spreadsheet Key'!$A$23 + AL45*'Spreadsheet Key'!$A$24 + AM45*'Spreadsheet Key'!$A$25 + AN45*'Spreadsheet Key'!$A$26</f>
        <v>0</v>
      </c>
      <c r="AR45">
        <f>AJ45/('FEB Statistics'!$B$29)*ABS(AI45-1)</f>
        <v>0</v>
      </c>
      <c r="AS45">
        <f>AI45*AT45</f>
        <v>0</v>
      </c>
      <c r="AT45">
        <f>AR45*'FEB Statistics'!$C$10</f>
        <v>0</v>
      </c>
      <c r="AV45">
        <f>COUNTIFS($C45:$AG45,"8",$C$4:$AG$4,"0")</f>
        <v>0</v>
      </c>
      <c r="AW45">
        <f>COUNTIFS($C45:$AG45,"9",$C$4:$AG$4,"0")</f>
        <v>0</v>
      </c>
      <c r="AX45">
        <f>COUNTIFS($C45:$AG45,"8",$C$4:$AG$4,"1")</f>
        <v>0</v>
      </c>
      <c r="AY45" cm="1">
        <f t="array" ref="AY45">COUNTIFS($C45:$AG45,"9",$C$4:$AG$4,"1")+SUM(COUNTIFS($C45:$AG45,{"8","9"},$C$4:$AG$4,"2"))+COUNTIFS($C45:$AG45,"8",$C$4:$AG$4,"3")</f>
        <v>0</v>
      </c>
      <c r="AZ45">
        <f>COUNTIFS($C45:$AG45,"9",$C$4:$AG$4,"3")</f>
        <v>0</v>
      </c>
      <c r="BA45">
        <f>SUM(AV45:AZ45)</f>
        <v>0</v>
      </c>
      <c r="BB45">
        <f>AV45*'Spreadsheet Key'!$A$27+AW45*'Spreadsheet Key'!$A$28+AX45*'Spreadsheet Key'!$A$29+AY45*'Spreadsheet Key'!$A$30+AZ45*'Spreadsheet Key'!$A$31</f>
        <v>0</v>
      </c>
    </row>
    <row r="46" spans="1:56">
      <c r="A46" s="56" t="s">
        <v>1038</v>
      </c>
      <c r="B46" s="56" t="s">
        <v>618</v>
      </c>
      <c r="C46" s="2659">
        <v>2</v>
      </c>
      <c r="D46" s="2659">
        <v>2</v>
      </c>
      <c r="E46" s="2659">
        <v>2</v>
      </c>
      <c r="F46" s="2659">
        <v>2</v>
      </c>
      <c r="G46" s="2659">
        <v>2</v>
      </c>
      <c r="H46" s="2659">
        <v>2</v>
      </c>
      <c r="I46" s="2659">
        <v>2</v>
      </c>
      <c r="J46" s="2659">
        <v>2</v>
      </c>
      <c r="K46" s="2659">
        <v>3</v>
      </c>
      <c r="L46" s="2659">
        <v>0</v>
      </c>
      <c r="M46" s="2659">
        <v>0</v>
      </c>
      <c r="N46" s="2659">
        <v>0</v>
      </c>
      <c r="O46" s="2659">
        <v>0</v>
      </c>
      <c r="P46" s="2659">
        <v>0</v>
      </c>
      <c r="Q46" s="2659">
        <v>8</v>
      </c>
      <c r="R46" s="2659">
        <v>0</v>
      </c>
      <c r="S46" s="2659">
        <v>0</v>
      </c>
      <c r="T46" s="2659">
        <v>0</v>
      </c>
      <c r="U46" s="2659">
        <v>0</v>
      </c>
      <c r="V46" s="2659">
        <v>0</v>
      </c>
      <c r="W46" s="2659">
        <v>0</v>
      </c>
      <c r="X46" s="2659">
        <v>0</v>
      </c>
      <c r="Y46" s="2659">
        <v>0</v>
      </c>
      <c r="Z46" s="2659">
        <v>0</v>
      </c>
      <c r="AA46" s="2659">
        <v>0</v>
      </c>
      <c r="AB46" s="2659">
        <v>9</v>
      </c>
      <c r="AC46" s="2659">
        <v>0</v>
      </c>
      <c r="AD46" s="2659">
        <v>0</v>
      </c>
      <c r="AE46" s="2250"/>
      <c r="AF46" s="2250"/>
      <c r="AG46" s="2250"/>
      <c r="AH46" s="3233"/>
      <c r="AI46" s="3202">
        <v>0</v>
      </c>
      <c r="AJ46" cm="1">
        <f t="array" ref="AJ46">SUM(COUNTIFS($C46:$AG46,{"0","4","5","6","7","8","9"}))</f>
        <v>19</v>
      </c>
      <c r="AK46" cm="1">
        <f t="array" ref="AK46">SUM(COUNTIFS($C46:$AG46,{"0","4","5","6","7","8","9"},$C$4:$AG$4,"0"))</f>
        <v>12</v>
      </c>
      <c r="AL46" cm="1">
        <f t="array" ref="AL46">SUM(COUNTIFS($C46:$AG46,{"0","4","5","6","7","8","9"},$C$4:$AG$4,"1"))</f>
        <v>3</v>
      </c>
      <c r="AM46" cm="1">
        <f t="array" ref="AM46">SUM(COUNTIFS($C46:$AG46,{"0","4","5","6","7","8","9"},$C$4:$AG$4,"2"))</f>
        <v>2</v>
      </c>
      <c r="AN46" cm="1">
        <f t="array" ref="AN46">SUM(COUNTIFS($C46:$AG46,{"0","4","5","6","7","8","9"},$C$4:$AG$4,"3"))</f>
        <v>2</v>
      </c>
      <c r="AO46" cm="1">
        <f t="array" ref="AO46">SUM(COUNTIFS($C46:$AG46,{"1","2","3"}))</f>
        <v>9</v>
      </c>
      <c r="AP46" cm="1">
        <f t="array" ref="AP46">SUM(COUNTIFS($C46:$AG46,{"4","5","6"}))</f>
        <v>0</v>
      </c>
      <c r="AQ46">
        <f>AK46*'Spreadsheet Key'!$A$23 + AL46*'Spreadsheet Key'!$A$24 + AM46*'Spreadsheet Key'!$A$25 + AN46*'Spreadsheet Key'!$A$26</f>
        <v>682</v>
      </c>
      <c r="AR46">
        <f>AJ46/('FEB Statistics'!$B$29)*ABS(AI46-1)</f>
        <v>4.6116504854368932E-2</v>
      </c>
      <c r="AS46">
        <f>AI46*AT46</f>
        <v>0</v>
      </c>
      <c r="AT46">
        <f>AR46*'FEB Statistics'!$C$10</f>
        <v>46.623786407766993</v>
      </c>
      <c r="AV46">
        <f>COUNTIFS($C46:$AG46,"8",$C$4:$AG$4,"0")</f>
        <v>0</v>
      </c>
      <c r="AW46">
        <f>COUNTIFS($C46:$AG46,"9",$C$4:$AG$4,"0")</f>
        <v>1</v>
      </c>
      <c r="AX46">
        <f>COUNTIFS($C46:$AG46,"8",$C$4:$AG$4,"1")</f>
        <v>0</v>
      </c>
      <c r="AY46" cm="1">
        <f t="array" ref="AY46">COUNTIFS($C46:$AG46,"9",$C$4:$AG$4,"1")+SUM(COUNTIFS($C46:$AG46,{"8","9"},$C$4:$AG$4,"2"))+COUNTIFS($C46:$AG46,"8",$C$4:$AG$4,"3")</f>
        <v>1</v>
      </c>
      <c r="AZ46">
        <f>COUNTIFS($C46:$AG46,"9",$C$4:$AG$4,"3")</f>
        <v>0</v>
      </c>
      <c r="BA46">
        <f>SUM(AV46:AZ46)</f>
        <v>2</v>
      </c>
      <c r="BB46">
        <f>AV46*'Spreadsheet Key'!$A$27+AW46*'Spreadsheet Key'!$A$28+AX46*'Spreadsheet Key'!$A$29+AY46*'Spreadsheet Key'!$A$30+AZ46*'Spreadsheet Key'!$A$31</f>
        <v>48</v>
      </c>
      <c r="BD46">
        <f>AT46-BB46</f>
        <v>-1.3762135922330074</v>
      </c>
    </row>
    <row r="47" spans="1:56">
      <c r="A47" s="56"/>
      <c r="B47" s="56"/>
      <c r="C47" s="779"/>
      <c r="D47" s="2434" t="s">
        <v>720</v>
      </c>
      <c r="E47" s="779"/>
      <c r="F47" s="779"/>
      <c r="G47" s="2434" t="s">
        <v>722</v>
      </c>
      <c r="H47" s="779"/>
      <c r="I47" s="3010" t="s">
        <v>1025</v>
      </c>
      <c r="J47" s="4310" t="s">
        <v>1186</v>
      </c>
      <c r="K47" s="4310"/>
      <c r="L47" s="3010" t="s">
        <v>1025</v>
      </c>
      <c r="M47" s="779"/>
      <c r="N47" s="2434" t="s">
        <v>720</v>
      </c>
      <c r="O47" s="779"/>
      <c r="P47" s="2434"/>
      <c r="Q47" s="779"/>
      <c r="R47" s="779"/>
      <c r="S47" s="779"/>
      <c r="T47" s="2434"/>
      <c r="U47" s="779"/>
      <c r="V47" s="779"/>
      <c r="W47" s="779"/>
      <c r="X47" s="2434"/>
      <c r="Y47" s="2434"/>
      <c r="Z47" s="2434" t="s">
        <v>722</v>
      </c>
      <c r="AA47" s="668"/>
      <c r="AB47" s="668"/>
      <c r="AC47" s="668"/>
      <c r="AD47" s="668"/>
      <c r="AE47" s="2459"/>
      <c r="AF47" s="3240"/>
      <c r="AG47" s="2459"/>
      <c r="AH47" s="3233"/>
      <c r="AI47" s="3202"/>
      <c r="AJ47" cm="1">
        <f t="array" ref="AJ47">SUM(COUNTIFS($C47:$AG47,{"0","4","5","6","7","8","9"}))</f>
        <v>0</v>
      </c>
      <c r="AK47" cm="1">
        <f t="array" ref="AK47">SUM(COUNTIFS($C47:$AG47,{"0","4","5","6","7","8","9"},$C$4:$AG$4,"0"))</f>
        <v>0</v>
      </c>
      <c r="AL47" cm="1">
        <f t="array" ref="AL47">SUM(COUNTIFS($C47:$AG47,{"0","4","5","6","7","8","9"},$C$4:$AG$4,"1"))</f>
        <v>0</v>
      </c>
      <c r="AM47" cm="1">
        <f t="array" ref="AM47">SUM(COUNTIFS($C47:$AG47,{"0","4","5","6","7","8","9"},$C$4:$AG$4,"2"))</f>
        <v>0</v>
      </c>
      <c r="AN47" cm="1">
        <f t="array" ref="AN47">SUM(COUNTIFS($C47:$AG47,{"0","4","5","6","7","8","9"},$C$4:$AG$4,"3"))</f>
        <v>0</v>
      </c>
      <c r="AO47" cm="1">
        <f t="array" ref="AO47">SUM(COUNTIFS($C47:$AG47,{"1","2","3"}))</f>
        <v>0</v>
      </c>
      <c r="AP47" cm="1">
        <f t="array" ref="AP47">SUM(COUNTIFS($C47:$AG47,{"4","5","6"}))</f>
        <v>0</v>
      </c>
      <c r="AQ47">
        <f>AK47*'Spreadsheet Key'!$A$23 + AL47*'Spreadsheet Key'!$A$24 + AM47*'Spreadsheet Key'!$A$25 + AN47*'Spreadsheet Key'!$A$26</f>
        <v>0</v>
      </c>
      <c r="AR47">
        <f>AJ47/('FEB Statistics'!$B$29)*ABS(AI47-1)</f>
        <v>0</v>
      </c>
      <c r="AS47">
        <f>AI47*AT47</f>
        <v>0</v>
      </c>
      <c r="AT47">
        <f>AR47*'FEB Statistics'!$C$10</f>
        <v>0</v>
      </c>
      <c r="AV47">
        <f>COUNTIFS($C47:$AG47,"8",$C$4:$AG$4,"0")</f>
        <v>0</v>
      </c>
      <c r="AW47">
        <f>COUNTIFS($C47:$AG47,"9",$C$4:$AG$4,"0")</f>
        <v>0</v>
      </c>
      <c r="AX47">
        <f>COUNTIFS($C47:$AG47,"8",$C$4:$AG$4,"1")</f>
        <v>0</v>
      </c>
      <c r="AY47" cm="1">
        <f t="array" ref="AY47">COUNTIFS($C47:$AG47,"9",$C$4:$AG$4,"1")+SUM(COUNTIFS($C47:$AG47,{"8","9"},$C$4:$AG$4,"2"))+COUNTIFS($C47:$AG47,"8",$C$4:$AG$4,"3")</f>
        <v>0</v>
      </c>
      <c r="AZ47">
        <f>COUNTIFS($C47:$AG47,"9",$C$4:$AG$4,"3")</f>
        <v>0</v>
      </c>
      <c r="BA47">
        <f>SUM(AV47:AZ47)</f>
        <v>0</v>
      </c>
      <c r="BB47">
        <f>AV47*'Spreadsheet Key'!$A$27+AW47*'Spreadsheet Key'!$A$28+AX47*'Spreadsheet Key'!$A$29+AY47*'Spreadsheet Key'!$A$30+AZ47*'Spreadsheet Key'!$A$31</f>
        <v>0</v>
      </c>
    </row>
    <row r="48" spans="1:56">
      <c r="A48" s="56" t="s">
        <v>149</v>
      </c>
      <c r="B48" s="56" t="s">
        <v>151</v>
      </c>
      <c r="C48" s="2659">
        <v>0</v>
      </c>
      <c r="D48" s="2659">
        <v>8</v>
      </c>
      <c r="E48" s="2659">
        <v>0</v>
      </c>
      <c r="F48" s="2659">
        <v>0</v>
      </c>
      <c r="G48" s="2659">
        <v>9</v>
      </c>
      <c r="H48" s="2659">
        <v>0</v>
      </c>
      <c r="I48" s="2659">
        <v>1</v>
      </c>
      <c r="J48" s="2659">
        <v>2</v>
      </c>
      <c r="K48" s="2659">
        <v>2</v>
      </c>
      <c r="L48" s="2659">
        <v>3</v>
      </c>
      <c r="M48" s="2659">
        <v>0</v>
      </c>
      <c r="N48" s="2659">
        <v>8</v>
      </c>
      <c r="O48" s="2659">
        <v>0</v>
      </c>
      <c r="P48" s="2659">
        <v>0</v>
      </c>
      <c r="Q48" s="2659">
        <v>0</v>
      </c>
      <c r="R48" s="2659">
        <v>0</v>
      </c>
      <c r="S48" s="2659">
        <v>0</v>
      </c>
      <c r="T48" s="2659">
        <v>0</v>
      </c>
      <c r="U48" s="2659">
        <v>0</v>
      </c>
      <c r="V48" s="2659">
        <v>0</v>
      </c>
      <c r="W48" s="2659">
        <v>0</v>
      </c>
      <c r="X48" s="2659">
        <v>0</v>
      </c>
      <c r="Y48" s="2659">
        <v>0</v>
      </c>
      <c r="Z48" s="2659">
        <v>9</v>
      </c>
      <c r="AA48" s="2659">
        <v>0</v>
      </c>
      <c r="AB48" s="2659">
        <v>0</v>
      </c>
      <c r="AC48" s="2659">
        <v>0</v>
      </c>
      <c r="AD48" s="2659">
        <v>0</v>
      </c>
      <c r="AE48" s="2250"/>
      <c r="AF48" s="2250"/>
      <c r="AG48" s="2250"/>
      <c r="AH48" s="3233"/>
      <c r="AI48" s="3202">
        <v>0</v>
      </c>
      <c r="AJ48" cm="1">
        <f t="array" ref="AJ48">SUM(COUNTIFS($C48:$AG48,{"0","4","5","6","7","8","9"}))</f>
        <v>24</v>
      </c>
      <c r="AK48" cm="1">
        <f t="array" ref="AK48">SUM(COUNTIFS($C48:$AG48,{"0","4","5","6","7","8","9"},$C$4:$AG$4,"0"))</f>
        <v>15</v>
      </c>
      <c r="AL48" cm="1">
        <f t="array" ref="AL48">SUM(COUNTIFS($C48:$AG48,{"0","4","5","6","7","8","9"},$C$4:$AG$4,"1"))</f>
        <v>3</v>
      </c>
      <c r="AM48" cm="1">
        <f t="array" ref="AM48">SUM(COUNTIFS($C48:$AG48,{"0","4","5","6","7","8","9"},$C$4:$AG$4,"2"))</f>
        <v>3</v>
      </c>
      <c r="AN48" cm="1">
        <f t="array" ref="AN48">SUM(COUNTIFS($C48:$AG48,{"0","4","5","6","7","8","9"},$C$4:$AG$4,"3"))</f>
        <v>3</v>
      </c>
      <c r="AO48" cm="1">
        <f t="array" ref="AO48">SUM(COUNTIFS($C48:$AG48,{"1","2","3"}))</f>
        <v>4</v>
      </c>
      <c r="AP48" cm="1">
        <f t="array" ref="AP48">SUM(COUNTIFS($C48:$AG48,{"4","5","6"}))</f>
        <v>0</v>
      </c>
      <c r="AQ48">
        <f>AK48*'Spreadsheet Key'!$A$23 + AL48*'Spreadsheet Key'!$A$24 + AM48*'Spreadsheet Key'!$A$25 + AN48*'Spreadsheet Key'!$A$26</f>
        <v>876</v>
      </c>
      <c r="AR48">
        <f>AJ48/('FEB Statistics'!$B$29)*ABS(AI48-1)</f>
        <v>5.8252427184466021E-2</v>
      </c>
      <c r="AS48">
        <f>AI48*AT48</f>
        <v>0</v>
      </c>
      <c r="AT48">
        <f>AR48*'FEB Statistics'!$C$10</f>
        <v>58.893203883495147</v>
      </c>
      <c r="AV48">
        <f>COUNTIFS($C48:$AG48,"8",$C$4:$AG$4,"0")</f>
        <v>1</v>
      </c>
      <c r="AW48">
        <f>COUNTIFS($C48:$AG48,"9",$C$4:$AG$4,"0")</f>
        <v>2</v>
      </c>
      <c r="AX48">
        <f>COUNTIFS($C48:$AG48,"8",$C$4:$AG$4,"1")</f>
        <v>0</v>
      </c>
      <c r="AY48" cm="1">
        <f t="array" ref="AY48">COUNTIFS($C48:$AG48,"9",$C$4:$AG$4,"1")+SUM(COUNTIFS($C48:$AG48,{"8","9"},$C$4:$AG$4,"2"))+COUNTIFS($C48:$AG48,"8",$C$4:$AG$4,"3")</f>
        <v>1</v>
      </c>
      <c r="AZ48">
        <f>COUNTIFS($C48:$AG48,"9",$C$4:$AG$4,"3")</f>
        <v>0</v>
      </c>
      <c r="BA48">
        <f>SUM(AV48:AZ48)</f>
        <v>4</v>
      </c>
      <c r="BB48">
        <f>AV48*'Spreadsheet Key'!$A$27+AW48*'Spreadsheet Key'!$A$28+AX48*'Spreadsheet Key'!$A$29+AY48*'Spreadsheet Key'!$A$30+AZ48*'Spreadsheet Key'!$A$31</f>
        <v>70</v>
      </c>
      <c r="BD48">
        <f>AT48-BB48</f>
        <v>-11.106796116504853</v>
      </c>
    </row>
    <row r="49" spans="1:56">
      <c r="A49" s="2795"/>
      <c r="B49" s="2"/>
      <c r="C49" s="2"/>
      <c r="D49" s="779"/>
      <c r="E49" s="779"/>
      <c r="F49" s="779"/>
      <c r="G49" s="2434"/>
      <c r="H49" s="2434" t="s">
        <v>720</v>
      </c>
      <c r="I49" s="779"/>
      <c r="J49" s="779"/>
      <c r="K49" s="779"/>
      <c r="L49" s="779"/>
      <c r="M49" s="2434" t="s">
        <v>722</v>
      </c>
      <c r="N49" s="779"/>
      <c r="O49" s="779"/>
      <c r="P49" s="5270" t="s">
        <v>1209</v>
      </c>
      <c r="Q49" s="5270"/>
      <c r="R49" s="5270"/>
      <c r="S49" s="5270"/>
      <c r="T49" s="779"/>
      <c r="U49" s="779"/>
      <c r="V49" s="779"/>
      <c r="W49" s="2434"/>
      <c r="X49" s="779"/>
      <c r="Y49" s="2434" t="s">
        <v>722</v>
      </c>
      <c r="Z49" s="779"/>
      <c r="AA49" s="779"/>
      <c r="AB49" s="779"/>
      <c r="AC49" s="779"/>
      <c r="AD49" s="779"/>
      <c r="AE49" s="2459"/>
      <c r="AF49" s="3240"/>
      <c r="AG49" s="2459"/>
      <c r="AH49" s="3233"/>
      <c r="AI49" s="3202"/>
      <c r="AJ49" cm="1">
        <f t="array" ref="AJ49">SUM(COUNTIFS($C49:$AG49,{"0","4","5","6","7","8","9"}))</f>
        <v>0</v>
      </c>
      <c r="AK49" cm="1">
        <f t="array" ref="AK49">SUM(COUNTIFS($C49:$AG49,{"0","4","5","6","7","8","9"},$C$4:$AG$4,"0"))</f>
        <v>0</v>
      </c>
      <c r="AL49" cm="1">
        <f t="array" ref="AL49">SUM(COUNTIFS($C49:$AG49,{"0","4","5","6","7","8","9"},$C$4:$AG$4,"1"))</f>
        <v>0</v>
      </c>
      <c r="AM49" cm="1">
        <f t="array" ref="AM49">SUM(COUNTIFS($C49:$AG49,{"0","4","5","6","7","8","9"},$C$4:$AG$4,"2"))</f>
        <v>0</v>
      </c>
      <c r="AN49" cm="1">
        <f t="array" ref="AN49">SUM(COUNTIFS($C49:$AG49,{"0","4","5","6","7","8","9"},$C$4:$AG$4,"3"))</f>
        <v>0</v>
      </c>
      <c r="AO49" cm="1">
        <f t="array" ref="AO49">SUM(COUNTIFS($C49:$AG49,{"1","2","3"}))</f>
        <v>0</v>
      </c>
      <c r="AP49" cm="1">
        <f t="array" ref="AP49">SUM(COUNTIFS($C49:$AG49,{"4","5","6"}))</f>
        <v>0</v>
      </c>
      <c r="AQ49">
        <f>AK49*'Spreadsheet Key'!$A$23 + AL49*'Spreadsheet Key'!$A$24 + AM49*'Spreadsheet Key'!$A$25 + AN49*'Spreadsheet Key'!$A$26</f>
        <v>0</v>
      </c>
      <c r="AR49">
        <f>AJ49/('FEB Statistics'!$B$29)*ABS(AI49-1)</f>
        <v>0</v>
      </c>
      <c r="AS49">
        <f>AI49*AT49</f>
        <v>0</v>
      </c>
      <c r="AT49">
        <f>AR49*'FEB Statistics'!$C$10</f>
        <v>0</v>
      </c>
      <c r="AV49">
        <f>COUNTIFS($C49:$AG49,"8",$C$4:$AG$4,"0")</f>
        <v>0</v>
      </c>
      <c r="AW49">
        <f>COUNTIFS($C49:$AG49,"9",$C$4:$AG$4,"0")</f>
        <v>0</v>
      </c>
      <c r="AX49">
        <f>COUNTIFS($C49:$AG49,"8",$C$4:$AG$4,"1")</f>
        <v>0</v>
      </c>
      <c r="AY49" cm="1">
        <f t="array" ref="AY49">COUNTIFS($C49:$AG49,"9",$C$4:$AG$4,"1")+SUM(COUNTIFS($C49:$AG49,{"8","9"},$C$4:$AG$4,"2"))+COUNTIFS($C49:$AG49,"8",$C$4:$AG$4,"3")</f>
        <v>0</v>
      </c>
      <c r="AZ49">
        <f>COUNTIFS($C49:$AG49,"9",$C$4:$AG$4,"3")</f>
        <v>0</v>
      </c>
      <c r="BA49">
        <f>SUM(AV49:AZ49)</f>
        <v>0</v>
      </c>
      <c r="BB49">
        <f>AV49*'Spreadsheet Key'!$A$27+AW49*'Spreadsheet Key'!$A$28+AX49*'Spreadsheet Key'!$A$29+AY49*'Spreadsheet Key'!$A$30+AZ49*'Spreadsheet Key'!$A$31</f>
        <v>0</v>
      </c>
    </row>
    <row r="50" spans="1:56">
      <c r="A50" s="2795" t="s">
        <v>602</v>
      </c>
      <c r="B50" s="2" t="s">
        <v>660</v>
      </c>
      <c r="C50" s="2659">
        <v>0</v>
      </c>
      <c r="D50" s="2659">
        <v>0</v>
      </c>
      <c r="E50" s="2659">
        <v>0</v>
      </c>
      <c r="F50" s="2659">
        <v>0</v>
      </c>
      <c r="G50" s="2659">
        <v>0</v>
      </c>
      <c r="H50" s="2659">
        <v>8</v>
      </c>
      <c r="I50" s="2659">
        <v>0</v>
      </c>
      <c r="J50" s="2659">
        <v>0</v>
      </c>
      <c r="K50" s="2659">
        <v>0</v>
      </c>
      <c r="L50" s="2659">
        <v>0</v>
      </c>
      <c r="M50" s="2659">
        <v>9</v>
      </c>
      <c r="N50" s="2659">
        <v>0</v>
      </c>
      <c r="O50" s="2659">
        <v>0</v>
      </c>
      <c r="P50" s="2659">
        <v>4</v>
      </c>
      <c r="Q50" s="2659">
        <v>5</v>
      </c>
      <c r="R50" s="2659">
        <v>5</v>
      </c>
      <c r="S50" s="2659">
        <v>6</v>
      </c>
      <c r="T50" s="2659">
        <v>0</v>
      </c>
      <c r="U50" s="2659">
        <v>0</v>
      </c>
      <c r="V50" s="2659">
        <v>0</v>
      </c>
      <c r="W50" s="2659">
        <v>0</v>
      </c>
      <c r="X50" s="2659">
        <v>0</v>
      </c>
      <c r="Y50" s="2659">
        <v>9</v>
      </c>
      <c r="Z50" s="2659">
        <v>0</v>
      </c>
      <c r="AA50" s="2659">
        <v>0</v>
      </c>
      <c r="AB50" s="2659">
        <v>0</v>
      </c>
      <c r="AC50" s="2659">
        <v>0</v>
      </c>
      <c r="AD50" s="2659">
        <v>0</v>
      </c>
      <c r="AE50" s="2250"/>
      <c r="AF50" s="2250"/>
      <c r="AG50" s="2250"/>
      <c r="AH50" s="3233"/>
      <c r="AI50" s="3202">
        <v>0</v>
      </c>
      <c r="AJ50" cm="1">
        <f t="array" ref="AJ50">SUM(COUNTIFS($C50:$AG50,{"0","4","5","6","7","8","9"}))</f>
        <v>28</v>
      </c>
      <c r="AK50" cm="1">
        <f t="array" ref="AK50">SUM(COUNTIFS($C50:$AG50,{"0","4","5","6","7","8","9"},$C$4:$AG$4,"0"))</f>
        <v>16</v>
      </c>
      <c r="AL50" cm="1">
        <f t="array" ref="AL50">SUM(COUNTIFS($C50:$AG50,{"0","4","5","6","7","8","9"},$C$4:$AG$4,"1"))</f>
        <v>4</v>
      </c>
      <c r="AM50" cm="1">
        <f t="array" ref="AM50">SUM(COUNTIFS($C50:$AG50,{"0","4","5","6","7","8","9"},$C$4:$AG$4,"2"))</f>
        <v>4</v>
      </c>
      <c r="AN50" cm="1">
        <f t="array" ref="AN50">SUM(COUNTIFS($C50:$AG50,{"0","4","5","6","7","8","9"},$C$4:$AG$4,"3"))</f>
        <v>4</v>
      </c>
      <c r="AO50" cm="1">
        <f t="array" ref="AO50">SUM(COUNTIFS($C50:$AG50,{"1","2","3"}))</f>
        <v>0</v>
      </c>
      <c r="AP50" cm="1">
        <f t="array" ref="AP50">SUM(COUNTIFS($C50:$AG50,{"4","5","6"}))</f>
        <v>4</v>
      </c>
      <c r="AQ50">
        <f>AK50*'Spreadsheet Key'!$A$23 + AL50*'Spreadsheet Key'!$A$24 + AM50*'Spreadsheet Key'!$A$25 + AN50*'Spreadsheet Key'!$A$26</f>
        <v>1080</v>
      </c>
      <c r="AR50">
        <f>AJ50/('FEB Statistics'!$B$29)*ABS(AI50-1)</f>
        <v>6.7961165048543687E-2</v>
      </c>
      <c r="AS50">
        <f>AI50*AT50</f>
        <v>0</v>
      </c>
      <c r="AT50">
        <f>AR50*'FEB Statistics'!$C$10</f>
        <v>68.708737864077662</v>
      </c>
      <c r="AV50">
        <f>COUNTIFS($C50:$AG50,"8",$C$4:$AG$4,"0")</f>
        <v>1</v>
      </c>
      <c r="AW50">
        <f>COUNTIFS($C50:$AG50,"9",$C$4:$AG$4,"0")</f>
        <v>1</v>
      </c>
      <c r="AX50">
        <f>COUNTIFS($C50:$AG50,"8",$C$4:$AG$4,"1")</f>
        <v>0</v>
      </c>
      <c r="AY50" cm="1">
        <f t="array" ref="AY50">COUNTIFS($C50:$AG50,"9",$C$4:$AG$4,"1")+SUM(COUNTIFS($C50:$AG50,{"8","9"},$C$4:$AG$4,"2"))+COUNTIFS($C50:$AG50,"8",$C$4:$AG$4,"3")</f>
        <v>0</v>
      </c>
      <c r="AZ50">
        <f>COUNTIFS($C50:$AG50,"9",$C$4:$AG$4,"3")</f>
        <v>1</v>
      </c>
      <c r="BA50">
        <f>SUM(AV50:AZ50)</f>
        <v>3</v>
      </c>
      <c r="BB50">
        <f>AV50*'Spreadsheet Key'!$A$27+AW50*'Spreadsheet Key'!$A$28+AX50*'Spreadsheet Key'!$A$29+AY50*'Spreadsheet Key'!$A$30+AZ50*'Spreadsheet Key'!$A$31</f>
        <v>42</v>
      </c>
      <c r="BD50">
        <f>AT50-BB50</f>
        <v>26.708737864077662</v>
      </c>
    </row>
    <row r="51" spans="1:56" ht="15" customHeight="1">
      <c r="B51" s="56"/>
      <c r="C51" s="779"/>
      <c r="D51" s="779"/>
      <c r="E51" s="3010" t="s">
        <v>1025</v>
      </c>
      <c r="F51" s="4306" t="s">
        <v>1178</v>
      </c>
      <c r="G51" s="4306"/>
      <c r="H51" s="3010" t="s">
        <v>1025</v>
      </c>
      <c r="I51" s="779"/>
      <c r="J51" s="779"/>
      <c r="K51" s="3010" t="s">
        <v>1025</v>
      </c>
      <c r="L51" s="3010" t="s">
        <v>1025</v>
      </c>
      <c r="M51" s="4313" t="s">
        <v>1181</v>
      </c>
      <c r="N51" s="4313"/>
      <c r="O51" s="3010" t="s">
        <v>1025</v>
      </c>
      <c r="P51" s="3010" t="s">
        <v>1025</v>
      </c>
      <c r="Q51" s="2894"/>
      <c r="R51" s="2894"/>
      <c r="S51" s="2432" t="s">
        <v>722</v>
      </c>
      <c r="T51" s="779"/>
      <c r="U51" s="2434"/>
      <c r="V51" s="779"/>
      <c r="W51" s="779"/>
      <c r="X51" s="2434" t="s">
        <v>720</v>
      </c>
      <c r="Y51" s="779"/>
      <c r="Z51" s="3010" t="s">
        <v>1025</v>
      </c>
      <c r="AA51" s="6162" t="s">
        <v>1210</v>
      </c>
      <c r="AB51" s="6162"/>
      <c r="AC51" s="6162"/>
      <c r="AD51" s="3010" t="s">
        <v>1025</v>
      </c>
      <c r="AE51" s="3240"/>
      <c r="AF51" s="3240"/>
      <c r="AG51" s="2677"/>
      <c r="AH51" s="3233"/>
      <c r="AI51" s="3202"/>
      <c r="AJ51" cm="1">
        <f t="array" ref="AJ51">SUM(COUNTIFS($C51:$AG51,{"0","4","5","6","7","8","9"}))</f>
        <v>0</v>
      </c>
      <c r="AK51" cm="1">
        <f t="array" ref="AK51">SUM(COUNTIFS($C51:$AG51,{"0","4","5","6","7","8","9"},$C$4:$AG$4,"0"))</f>
        <v>0</v>
      </c>
      <c r="AL51" cm="1">
        <f t="array" ref="AL51">SUM(COUNTIFS($C51:$AG51,{"0","4","5","6","7","8","9"},$C$4:$AG$4,"1"))</f>
        <v>0</v>
      </c>
      <c r="AM51" cm="1">
        <f t="array" ref="AM51">SUM(COUNTIFS($C51:$AG51,{"0","4","5","6","7","8","9"},$C$4:$AG$4,"2"))</f>
        <v>0</v>
      </c>
      <c r="AN51" cm="1">
        <f t="array" ref="AN51">SUM(COUNTIFS($C51:$AG51,{"0","4","5","6","7","8","9"},$C$4:$AG$4,"3"))</f>
        <v>0</v>
      </c>
      <c r="AO51" cm="1">
        <f t="array" ref="AO51">SUM(COUNTIFS($C51:$AG51,{"1","2","3"}))</f>
        <v>0</v>
      </c>
      <c r="AP51" cm="1">
        <f t="array" ref="AP51">SUM(COUNTIFS($C51:$AG51,{"4","5","6"}))</f>
        <v>0</v>
      </c>
      <c r="AQ51">
        <f>AK51*'Spreadsheet Key'!$A$23 + AL51*'Spreadsheet Key'!$A$24 + AM51*'Spreadsheet Key'!$A$25 + AN51*'Spreadsheet Key'!$A$26</f>
        <v>0</v>
      </c>
      <c r="AR51">
        <f>AJ51/('FEB Statistics'!$B$29)*ABS(AI51-1)</f>
        <v>0</v>
      </c>
      <c r="AS51">
        <f>AI51*AT51</f>
        <v>0</v>
      </c>
      <c r="AT51">
        <f>AR51*'FEB Statistics'!$C$10</f>
        <v>0</v>
      </c>
      <c r="AV51">
        <f>COUNTIFS($C51:$AG51,"8",$C$4:$AG$4,"0")</f>
        <v>0</v>
      </c>
      <c r="AW51">
        <f>COUNTIFS($C51:$AG51,"9",$C$4:$AG$4,"0")</f>
        <v>0</v>
      </c>
      <c r="AX51">
        <f>COUNTIFS($C51:$AG51,"8",$C$4:$AG$4,"1")</f>
        <v>0</v>
      </c>
      <c r="AY51" cm="1">
        <f t="array" ref="AY51">COUNTIFS($C51:$AG51,"9",$C$4:$AG$4,"1")+SUM(COUNTIFS($C51:$AG51,{"8","9"},$C$4:$AG$4,"2"))+COUNTIFS($C51:$AG51,"8",$C$4:$AG$4,"3")</f>
        <v>0</v>
      </c>
      <c r="AZ51">
        <f>COUNTIFS($C51:$AG51,"9",$C$4:$AG$4,"3")</f>
        <v>0</v>
      </c>
      <c r="BA51">
        <f>SUM(AV51:AZ51)</f>
        <v>0</v>
      </c>
      <c r="BB51">
        <f>AV51*'Spreadsheet Key'!$A$27+AW51*'Spreadsheet Key'!$A$28+AX51*'Spreadsheet Key'!$A$29+AY51*'Spreadsheet Key'!$A$30+AZ51*'Spreadsheet Key'!$A$31</f>
        <v>0</v>
      </c>
    </row>
    <row r="52" spans="1:56">
      <c r="A52" s="56" t="s">
        <v>561</v>
      </c>
      <c r="B52" s="56" t="s">
        <v>396</v>
      </c>
      <c r="C52" s="2659">
        <v>0</v>
      </c>
      <c r="D52" s="2659">
        <v>0</v>
      </c>
      <c r="E52" s="2659">
        <v>1</v>
      </c>
      <c r="F52" s="2659">
        <v>2</v>
      </c>
      <c r="G52" s="2659">
        <v>2</v>
      </c>
      <c r="H52" s="2659">
        <v>3</v>
      </c>
      <c r="I52" s="2659">
        <v>0</v>
      </c>
      <c r="J52" s="2659">
        <v>0</v>
      </c>
      <c r="K52" s="2659">
        <v>1</v>
      </c>
      <c r="L52" s="2659">
        <v>2</v>
      </c>
      <c r="M52" s="2659">
        <v>2</v>
      </c>
      <c r="N52" s="2659">
        <v>2</v>
      </c>
      <c r="O52" s="2659">
        <v>2</v>
      </c>
      <c r="P52" s="2659">
        <v>3</v>
      </c>
      <c r="Q52" s="2659">
        <v>0</v>
      </c>
      <c r="R52" s="2659">
        <v>0</v>
      </c>
      <c r="S52" s="2659">
        <v>9</v>
      </c>
      <c r="T52" s="2659">
        <v>0</v>
      </c>
      <c r="U52" s="2659">
        <v>0</v>
      </c>
      <c r="V52" s="2659">
        <v>0</v>
      </c>
      <c r="W52" s="2659">
        <v>0</v>
      </c>
      <c r="X52" s="2659">
        <v>8</v>
      </c>
      <c r="Y52" s="2659">
        <v>0</v>
      </c>
      <c r="Z52" s="2659">
        <v>1</v>
      </c>
      <c r="AA52" s="2659">
        <v>2</v>
      </c>
      <c r="AB52" s="2659">
        <v>2</v>
      </c>
      <c r="AC52" s="2659">
        <v>2</v>
      </c>
      <c r="AD52" s="2659">
        <v>3</v>
      </c>
      <c r="AE52" s="2250"/>
      <c r="AF52" s="2250"/>
      <c r="AG52" s="2250"/>
      <c r="AH52" s="3233"/>
      <c r="AI52" s="3202">
        <v>0</v>
      </c>
      <c r="AJ52" cm="1">
        <f t="array" ref="AJ52">SUM(COUNTIFS($C52:$AG52,{"0","4","5","6","7","8","9"}))</f>
        <v>13</v>
      </c>
      <c r="AK52" cm="1">
        <f t="array" ref="AK52">SUM(COUNTIFS($C52:$AG52,{"0","4","5","6","7","8","9"},$C$4:$AG$4,"0"))</f>
        <v>4</v>
      </c>
      <c r="AL52" cm="1">
        <f t="array" ref="AL52">SUM(COUNTIFS($C52:$AG52,{"0","4","5","6","7","8","9"},$C$4:$AG$4,"1"))</f>
        <v>2</v>
      </c>
      <c r="AM52" cm="1">
        <f t="array" ref="AM52">SUM(COUNTIFS($C52:$AG52,{"0","4","5","6","7","8","9"},$C$4:$AG$4,"2"))</f>
        <v>4</v>
      </c>
      <c r="AN52" cm="1">
        <f t="array" ref="AN52">SUM(COUNTIFS($C52:$AG52,{"0","4","5","6","7","8","9"},$C$4:$AG$4,"3"))</f>
        <v>3</v>
      </c>
      <c r="AO52" cm="1">
        <f t="array" ref="AO52">SUM(COUNTIFS($C52:$AG52,{"1","2","3"}))</f>
        <v>15</v>
      </c>
      <c r="AP52" cm="1">
        <f t="array" ref="AP52">SUM(COUNTIFS($C52:$AG52,{"4","5","6"}))</f>
        <v>0</v>
      </c>
      <c r="AQ52">
        <f>AK52*'Spreadsheet Key'!$A$23 + AL52*'Spreadsheet Key'!$A$24 + AM52*'Spreadsheet Key'!$A$25 + AN52*'Spreadsheet Key'!$A$26</f>
        <v>652</v>
      </c>
      <c r="AR52">
        <f>AJ52/('FEB Statistics'!$B$29)*ABS(AI52-1)</f>
        <v>3.1553398058252427E-2</v>
      </c>
      <c r="AS52">
        <f>AI52*AT52</f>
        <v>0</v>
      </c>
      <c r="AT52">
        <f>AR52*'FEB Statistics'!$C$10</f>
        <v>31.900485436893202</v>
      </c>
      <c r="AV52">
        <f>COUNTIFS($C52:$AG52,"8",$C$4:$AG$4,"0")</f>
        <v>0</v>
      </c>
      <c r="AW52">
        <f>COUNTIFS($C52:$AG52,"9",$C$4:$AG$4,"0")</f>
        <v>1</v>
      </c>
      <c r="AX52">
        <f>COUNTIFS($C52:$AG52,"8",$C$4:$AG$4,"1")</f>
        <v>0</v>
      </c>
      <c r="AY52" cm="1">
        <f t="array" ref="AY52">COUNTIFS($C52:$AG52,"9",$C$4:$AG$4,"1")+SUM(COUNTIFS($C52:$AG52,{"8","9"},$C$4:$AG$4,"2"))+COUNTIFS($C52:$AG52,"8",$C$4:$AG$4,"3")</f>
        <v>1</v>
      </c>
      <c r="AZ52">
        <f>COUNTIFS($C52:$AG52,"9",$C$4:$AG$4,"3")</f>
        <v>0</v>
      </c>
      <c r="BA52">
        <f>SUM(AV52:AZ52)</f>
        <v>2</v>
      </c>
      <c r="BB52">
        <f>AV52*'Spreadsheet Key'!$A$27+AW52*'Spreadsheet Key'!$A$28+AX52*'Spreadsheet Key'!$A$29+AY52*'Spreadsheet Key'!$A$30+AZ52*'Spreadsheet Key'!$A$31</f>
        <v>48</v>
      </c>
      <c r="BD52">
        <f>AT52-BB52</f>
        <v>-16.099514563106798</v>
      </c>
    </row>
    <row r="53" spans="1:56">
      <c r="A53" s="56"/>
      <c r="B53" s="56"/>
      <c r="C53" s="779"/>
      <c r="D53" s="779"/>
      <c r="E53" s="779"/>
      <c r="F53" s="779"/>
      <c r="G53" s="779"/>
      <c r="H53" s="779"/>
      <c r="I53" s="779"/>
      <c r="J53" s="779"/>
      <c r="K53" s="2434"/>
      <c r="L53" s="2434" t="s">
        <v>722</v>
      </c>
      <c r="M53" s="779"/>
      <c r="N53" s="779"/>
      <c r="O53" s="779"/>
      <c r="P53" s="2434" t="s">
        <v>722</v>
      </c>
      <c r="Q53" s="779"/>
      <c r="R53" s="779"/>
      <c r="S53" s="779"/>
      <c r="T53" s="2434" t="s">
        <v>720</v>
      </c>
      <c r="U53" s="779"/>
      <c r="V53" s="779"/>
      <c r="W53" s="779"/>
      <c r="X53" s="779"/>
      <c r="Y53" s="779"/>
      <c r="Z53" s="779"/>
      <c r="AA53" s="2434"/>
      <c r="AB53" s="2434"/>
      <c r="AC53" s="779"/>
      <c r="AD53" s="779"/>
      <c r="AE53" s="2459"/>
      <c r="AF53" s="2459"/>
      <c r="AG53" s="2459"/>
      <c r="AH53" s="3233"/>
      <c r="AI53" s="3202"/>
      <c r="AJ53" cm="1">
        <f t="array" ref="AJ53">SUM(COUNTIFS($C53:$AG53,{"0","4","5","6","7","8","9"}))</f>
        <v>0</v>
      </c>
      <c r="AK53" cm="1">
        <f t="array" ref="AK53">SUM(COUNTIFS($C53:$AG53,{"0","4","5","6","7","8","9"},$C$4:$AG$4,"0"))</f>
        <v>0</v>
      </c>
      <c r="AL53" cm="1">
        <f t="array" ref="AL53">SUM(COUNTIFS($C53:$AG53,{"0","4","5","6","7","8","9"},$C$4:$AG$4,"1"))</f>
        <v>0</v>
      </c>
      <c r="AM53" cm="1">
        <f t="array" ref="AM53">SUM(COUNTIFS($C53:$AG53,{"0","4","5","6","7","8","9"},$C$4:$AG$4,"2"))</f>
        <v>0</v>
      </c>
      <c r="AN53" cm="1">
        <f t="array" ref="AN53">SUM(COUNTIFS($C53:$AG53,{"0","4","5","6","7","8","9"},$C$4:$AG$4,"3"))</f>
        <v>0</v>
      </c>
      <c r="AO53" cm="1">
        <f t="array" ref="AO53">SUM(COUNTIFS($C53:$AG53,{"1","2","3"}))</f>
        <v>0</v>
      </c>
      <c r="AP53" cm="1">
        <f t="array" ref="AP53">SUM(COUNTIFS($C53:$AG53,{"4","5","6"}))</f>
        <v>0</v>
      </c>
      <c r="AQ53">
        <f>AK53*'Spreadsheet Key'!$A$23 + AL53*'Spreadsheet Key'!$A$24 + AM53*'Spreadsheet Key'!$A$25 + AN53*'Spreadsheet Key'!$A$26</f>
        <v>0</v>
      </c>
      <c r="AR53">
        <f>AJ53/('FEB Statistics'!$B$29)*ABS(AI53-1)</f>
        <v>0</v>
      </c>
      <c r="AS53">
        <f>AI53*AT53</f>
        <v>0</v>
      </c>
      <c r="AT53">
        <f>AR53*'FEB Statistics'!$C$10</f>
        <v>0</v>
      </c>
      <c r="AV53">
        <f>COUNTIFS($C53:$AG53,"8",$C$4:$AG$4,"0")</f>
        <v>0</v>
      </c>
      <c r="AW53">
        <f>COUNTIFS($C53:$AG53,"9",$C$4:$AG$4,"0")</f>
        <v>0</v>
      </c>
      <c r="AX53">
        <f>COUNTIFS($C53:$AG53,"8",$C$4:$AG$4,"1")</f>
        <v>0</v>
      </c>
      <c r="AY53" cm="1">
        <f t="array" ref="AY53">COUNTIFS($C53:$AG53,"9",$C$4:$AG$4,"1")+SUM(COUNTIFS($C53:$AG53,{"8","9"},$C$4:$AG$4,"2"))+COUNTIFS($C53:$AG53,"8",$C$4:$AG$4,"3")</f>
        <v>0</v>
      </c>
      <c r="AZ53">
        <f>COUNTIFS($C53:$AG53,"9",$C$4:$AG$4,"3")</f>
        <v>0</v>
      </c>
      <c r="BA53">
        <f>SUM(AV53:AZ53)</f>
        <v>0</v>
      </c>
      <c r="BB53">
        <f>AV53*'Spreadsheet Key'!$A$27+AW53*'Spreadsheet Key'!$A$28+AX53*'Spreadsheet Key'!$A$29+AY53*'Spreadsheet Key'!$A$30+AZ53*'Spreadsheet Key'!$A$31</f>
        <v>0</v>
      </c>
    </row>
    <row r="54" spans="1:56">
      <c r="A54" s="56" t="s">
        <v>95</v>
      </c>
      <c r="B54" s="56" t="s">
        <v>303</v>
      </c>
      <c r="C54" s="2659">
        <v>0</v>
      </c>
      <c r="D54" s="2659">
        <v>0</v>
      </c>
      <c r="E54" s="2659">
        <v>0</v>
      </c>
      <c r="F54" s="2659">
        <v>0</v>
      </c>
      <c r="G54" s="2659">
        <v>0</v>
      </c>
      <c r="H54" s="2659">
        <v>0</v>
      </c>
      <c r="I54" s="2659">
        <v>0</v>
      </c>
      <c r="J54" s="2659">
        <v>0</v>
      </c>
      <c r="K54" s="2659">
        <v>0</v>
      </c>
      <c r="L54" s="2659">
        <v>9</v>
      </c>
      <c r="M54" s="2659">
        <v>0</v>
      </c>
      <c r="N54" s="2659">
        <v>0</v>
      </c>
      <c r="O54" s="2659">
        <v>0</v>
      </c>
      <c r="P54" s="2659">
        <v>9</v>
      </c>
      <c r="Q54" s="2659">
        <v>0</v>
      </c>
      <c r="R54" s="2659">
        <v>0</v>
      </c>
      <c r="S54" s="2659">
        <v>0</v>
      </c>
      <c r="T54" s="2659">
        <v>8</v>
      </c>
      <c r="U54" s="2659">
        <v>0</v>
      </c>
      <c r="V54" s="2659">
        <v>0</v>
      </c>
      <c r="W54" s="2659">
        <v>0</v>
      </c>
      <c r="X54" s="2659">
        <v>0</v>
      </c>
      <c r="Y54" s="2659">
        <v>0</v>
      </c>
      <c r="Z54" s="2659">
        <v>0</v>
      </c>
      <c r="AA54" s="2659">
        <v>0</v>
      </c>
      <c r="AB54" s="2659">
        <v>0</v>
      </c>
      <c r="AC54" s="2659">
        <v>0</v>
      </c>
      <c r="AD54" s="2659">
        <v>0</v>
      </c>
      <c r="AE54" s="2250"/>
      <c r="AF54" s="2250"/>
      <c r="AG54" s="2250"/>
      <c r="AH54" s="3233"/>
      <c r="AI54" s="3202">
        <v>0</v>
      </c>
      <c r="AJ54" cm="1">
        <f t="array" ref="AJ54">SUM(COUNTIFS($C54:$AG54,{"0","4","5","6","7","8","9"}))</f>
        <v>28</v>
      </c>
      <c r="AK54" cm="1">
        <f t="array" ref="AK54">SUM(COUNTIFS($C54:$AG54,{"0","4","5","6","7","8","9"},$C$4:$AG$4,"0"))</f>
        <v>16</v>
      </c>
      <c r="AL54" cm="1">
        <f t="array" ref="AL54">SUM(COUNTIFS($C54:$AG54,{"0","4","5","6","7","8","9"},$C$4:$AG$4,"1"))</f>
        <v>4</v>
      </c>
      <c r="AM54" cm="1">
        <f t="array" ref="AM54">SUM(COUNTIFS($C54:$AG54,{"0","4","5","6","7","8","9"},$C$4:$AG$4,"2"))</f>
        <v>4</v>
      </c>
      <c r="AN54" cm="1">
        <f t="array" ref="AN54">SUM(COUNTIFS($C54:$AG54,{"0","4","5","6","7","8","9"},$C$4:$AG$4,"3"))</f>
        <v>4</v>
      </c>
      <c r="AO54" cm="1">
        <f t="array" ref="AO54">SUM(COUNTIFS($C54:$AG54,{"1","2","3"}))</f>
        <v>0</v>
      </c>
      <c r="AP54" cm="1">
        <f t="array" ref="AP54">SUM(COUNTIFS($C54:$AG54,{"4","5","6"}))</f>
        <v>0</v>
      </c>
      <c r="AQ54">
        <f>AK54*'Spreadsheet Key'!$A$23 + AL54*'Spreadsheet Key'!$A$24 + AM54*'Spreadsheet Key'!$A$25 + AN54*'Spreadsheet Key'!$A$26</f>
        <v>1080</v>
      </c>
      <c r="AR54">
        <f>AJ54/('FEB Statistics'!$B$29)*ABS(AI54-1)</f>
        <v>6.7961165048543687E-2</v>
      </c>
      <c r="AS54">
        <f>AI54*AT54</f>
        <v>0</v>
      </c>
      <c r="AT54">
        <f>AR54*'FEB Statistics'!$C$10</f>
        <v>68.708737864077662</v>
      </c>
      <c r="AV54">
        <f>COUNTIFS($C54:$AG54,"8",$C$4:$AG$4,"0")</f>
        <v>1</v>
      </c>
      <c r="AW54">
        <f>COUNTIFS($C54:$AG54,"9",$C$4:$AG$4,"0")</f>
        <v>1</v>
      </c>
      <c r="AX54">
        <f>COUNTIFS($C54:$AG54,"8",$C$4:$AG$4,"1")</f>
        <v>0</v>
      </c>
      <c r="AY54" cm="1">
        <f t="array" ref="AY54">COUNTIFS($C54:$AG54,"9",$C$4:$AG$4,"1")+SUM(COUNTIFS($C54:$AG54,{"8","9"},$C$4:$AG$4,"2"))+COUNTIFS($C54:$AG54,"8",$C$4:$AG$4,"3")</f>
        <v>1</v>
      </c>
      <c r="AZ54">
        <f>COUNTIFS($C54:$AG54,"9",$C$4:$AG$4,"3")</f>
        <v>0</v>
      </c>
      <c r="BA54">
        <f>SUM(AV54:AZ54)</f>
        <v>3</v>
      </c>
      <c r="BB54">
        <f>AV54*'Spreadsheet Key'!$A$27+AW54*'Spreadsheet Key'!$A$28+AX54*'Spreadsheet Key'!$A$29+AY54*'Spreadsheet Key'!$A$30+AZ54*'Spreadsheet Key'!$A$31</f>
        <v>58</v>
      </c>
      <c r="BD54">
        <f>AT54-BB54</f>
        <v>10.708737864077662</v>
      </c>
    </row>
    <row r="55" spans="1:56">
      <c r="A55" s="56"/>
      <c r="B55" s="2389"/>
      <c r="C55" s="2434" t="s">
        <v>722</v>
      </c>
      <c r="D55" s="779"/>
      <c r="E55" s="779"/>
      <c r="F55" s="779"/>
      <c r="G55" s="3010" t="s">
        <v>1025</v>
      </c>
      <c r="H55" s="6214" t="s">
        <v>754</v>
      </c>
      <c r="I55" s="6214"/>
      <c r="J55" s="6214"/>
      <c r="K55" s="6214"/>
      <c r="L55" s="6214"/>
      <c r="M55" s="6214"/>
      <c r="N55" s="3010" t="s">
        <v>1025</v>
      </c>
      <c r="O55" s="779"/>
      <c r="P55" s="2434"/>
      <c r="Q55" s="2434" t="s">
        <v>722</v>
      </c>
      <c r="R55" s="779"/>
      <c r="S55" s="779"/>
      <c r="T55" s="2434"/>
      <c r="U55" s="779"/>
      <c r="V55" s="779"/>
      <c r="W55" s="779"/>
      <c r="X55" s="2434"/>
      <c r="Y55" s="779"/>
      <c r="Z55" s="3685"/>
      <c r="AA55" s="779"/>
      <c r="AB55" s="2434"/>
      <c r="AC55" s="779"/>
      <c r="AD55" s="779"/>
      <c r="AE55" s="2459"/>
      <c r="AF55" s="3240"/>
      <c r="AG55" s="2459"/>
      <c r="AH55" s="3233"/>
      <c r="AI55" s="3202"/>
      <c r="AJ55" cm="1">
        <f t="array" ref="AJ55">SUM(COUNTIFS($C55:$AG55,{"0","4","5","6","7","8","9"}))</f>
        <v>0</v>
      </c>
      <c r="AK55" cm="1">
        <f t="array" ref="AK55">SUM(COUNTIFS($C55:$AG55,{"0","4","5","6","7","8","9"},$C$4:$AG$4,"0"))</f>
        <v>0</v>
      </c>
      <c r="AL55" cm="1">
        <f t="array" ref="AL55">SUM(COUNTIFS($C55:$AG55,{"0","4","5","6","7","8","9"},$C$4:$AG$4,"1"))</f>
        <v>0</v>
      </c>
      <c r="AM55" cm="1">
        <f t="array" ref="AM55">SUM(COUNTIFS($C55:$AG55,{"0","4","5","6","7","8","9"},$C$4:$AG$4,"2"))</f>
        <v>0</v>
      </c>
      <c r="AN55" cm="1">
        <f t="array" ref="AN55">SUM(COUNTIFS($C55:$AG55,{"0","4","5","6","7","8","9"},$C$4:$AG$4,"3"))</f>
        <v>0</v>
      </c>
      <c r="AO55" cm="1">
        <f t="array" ref="AO55">SUM(COUNTIFS($C55:$AG55,{"1","2","3"}))</f>
        <v>0</v>
      </c>
      <c r="AP55" cm="1">
        <f t="array" ref="AP55">SUM(COUNTIFS($C55:$AG55,{"4","5","6"}))</f>
        <v>0</v>
      </c>
      <c r="AQ55">
        <f>AK55*'Spreadsheet Key'!$A$23 + AL55*'Spreadsheet Key'!$A$24 + AM55*'Spreadsheet Key'!$A$25 + AN55*'Spreadsheet Key'!$A$26</f>
        <v>0</v>
      </c>
      <c r="AR55">
        <f>AJ55/('FEB Statistics'!$B$29)*ABS(AI55-1)</f>
        <v>0</v>
      </c>
      <c r="AS55">
        <f>AI55*AT55</f>
        <v>0</v>
      </c>
      <c r="AT55">
        <f>AR55*'FEB Statistics'!$C$10</f>
        <v>0</v>
      </c>
      <c r="AV55">
        <f>COUNTIFS($C55:$AG55,"8",$C$4:$AG$4,"0")</f>
        <v>0</v>
      </c>
      <c r="AW55">
        <f>COUNTIFS($C55:$AG55,"9",$C$4:$AG$4,"0")</f>
        <v>0</v>
      </c>
      <c r="AX55">
        <f>COUNTIFS($C55:$AG55,"8",$C$4:$AG$4,"1")</f>
        <v>0</v>
      </c>
      <c r="AY55" cm="1">
        <f t="array" ref="AY55">COUNTIFS($C55:$AG55,"9",$C$4:$AG$4,"1")+SUM(COUNTIFS($C55:$AG55,{"8","9"},$C$4:$AG$4,"2"))+COUNTIFS($C55:$AG55,"8",$C$4:$AG$4,"3")</f>
        <v>0</v>
      </c>
      <c r="AZ55">
        <f>COUNTIFS($C55:$AG55,"9",$C$4:$AG$4,"3")</f>
        <v>0</v>
      </c>
      <c r="BA55">
        <f>SUM(AV55:AZ55)</f>
        <v>0</v>
      </c>
      <c r="BB55">
        <f>AV55*'Spreadsheet Key'!$A$27+AW55*'Spreadsheet Key'!$A$28+AX55*'Spreadsheet Key'!$A$29+AY55*'Spreadsheet Key'!$A$30+AZ55*'Spreadsheet Key'!$A$31</f>
        <v>0</v>
      </c>
    </row>
    <row r="56" spans="1:56">
      <c r="A56" s="56" t="s">
        <v>155</v>
      </c>
      <c r="B56" s="2389" t="s">
        <v>532</v>
      </c>
      <c r="C56" s="2659">
        <v>9</v>
      </c>
      <c r="D56" s="2659">
        <v>0</v>
      </c>
      <c r="E56" s="2659">
        <v>0</v>
      </c>
      <c r="F56" s="2659">
        <v>0</v>
      </c>
      <c r="G56" s="2659">
        <v>1</v>
      </c>
      <c r="H56" s="2659">
        <v>2</v>
      </c>
      <c r="I56" s="2659">
        <v>2</v>
      </c>
      <c r="J56" s="2659">
        <v>2</v>
      </c>
      <c r="K56" s="2659">
        <v>2</v>
      </c>
      <c r="L56" s="2659">
        <v>2</v>
      </c>
      <c r="M56" s="2659">
        <v>2</v>
      </c>
      <c r="N56" s="2659">
        <v>3</v>
      </c>
      <c r="O56" s="2659">
        <v>0</v>
      </c>
      <c r="P56" s="2659">
        <v>0</v>
      </c>
      <c r="Q56" s="2659">
        <v>9</v>
      </c>
      <c r="R56" s="2659">
        <v>0</v>
      </c>
      <c r="S56" s="2659">
        <v>0</v>
      </c>
      <c r="T56" s="2659">
        <v>0</v>
      </c>
      <c r="U56" s="2659">
        <v>0</v>
      </c>
      <c r="V56" s="2659">
        <v>0</v>
      </c>
      <c r="W56" s="2659">
        <v>0</v>
      </c>
      <c r="X56" s="2659">
        <v>0</v>
      </c>
      <c r="Y56" s="2659">
        <v>0</v>
      </c>
      <c r="Z56" s="2659">
        <v>0</v>
      </c>
      <c r="AA56" s="2659">
        <v>0</v>
      </c>
      <c r="AB56" s="2659">
        <v>0</v>
      </c>
      <c r="AC56" s="2659">
        <v>0</v>
      </c>
      <c r="AD56" s="2659">
        <v>0</v>
      </c>
      <c r="AE56" s="2250"/>
      <c r="AF56" s="2250"/>
      <c r="AG56" s="2250"/>
      <c r="AH56" s="3233"/>
      <c r="AI56" s="3202">
        <v>0</v>
      </c>
      <c r="AJ56" cm="1">
        <f t="array" ref="AJ56">SUM(COUNTIFS($C56:$AG56,{"0","4","5","6","7","8","9"}))</f>
        <v>20</v>
      </c>
      <c r="AK56" cm="1">
        <f t="array" ref="AK56">SUM(COUNTIFS($C56:$AG56,{"0","4","5","6","7","8","9"},$C$4:$AG$4,"0"))</f>
        <v>11</v>
      </c>
      <c r="AL56" cm="1">
        <f t="array" ref="AL56">SUM(COUNTIFS($C56:$AG56,{"0","4","5","6","7","8","9"},$C$4:$AG$4,"1"))</f>
        <v>3</v>
      </c>
      <c r="AM56" cm="1">
        <f t="array" ref="AM56">SUM(COUNTIFS($C56:$AG56,{"0","4","5","6","7","8","9"},$C$4:$AG$4,"2"))</f>
        <v>3</v>
      </c>
      <c r="AN56" cm="1">
        <f t="array" ref="AN56">SUM(COUNTIFS($C56:$AG56,{"0","4","5","6","7","8","9"},$C$4:$AG$4,"3"))</f>
        <v>3</v>
      </c>
      <c r="AO56" cm="1">
        <f t="array" ref="AO56">SUM(COUNTIFS($C56:$AG56,{"1","2","3"}))</f>
        <v>8</v>
      </c>
      <c r="AP56" cm="1">
        <f t="array" ref="AP56">SUM(COUNTIFS($C56:$AG56,{"4","5","6"}))</f>
        <v>0</v>
      </c>
      <c r="AQ56">
        <f>AK56*'Spreadsheet Key'!$A$23 + AL56*'Spreadsheet Key'!$A$24 + AM56*'Spreadsheet Key'!$A$25 + AN56*'Spreadsheet Key'!$A$26</f>
        <v>788</v>
      </c>
      <c r="AR56">
        <f>AJ56/('FEB Statistics'!$B$29)*ABS(AI56-1)</f>
        <v>4.8543689320388349E-2</v>
      </c>
      <c r="AS56">
        <f>AI56*AT56</f>
        <v>0</v>
      </c>
      <c r="AT56">
        <f>AR56*'FEB Statistics'!$C$10</f>
        <v>49.077669902912618</v>
      </c>
      <c r="AV56">
        <f>COUNTIFS($C56:$AG56,"8",$C$4:$AG$4,"0")</f>
        <v>0</v>
      </c>
      <c r="AW56">
        <f>COUNTIFS($C56:$AG56,"9",$C$4:$AG$4,"0")</f>
        <v>0</v>
      </c>
      <c r="AX56">
        <f>COUNTIFS($C56:$AG56,"8",$C$4:$AG$4,"1")</f>
        <v>0</v>
      </c>
      <c r="AY56" cm="1">
        <f t="array" ref="AY56">COUNTIFS($C56:$AG56,"9",$C$4:$AG$4,"1")+SUM(COUNTIFS($C56:$AG56,{"8","9"},$C$4:$AG$4,"2"))+COUNTIFS($C56:$AG56,"8",$C$4:$AG$4,"3")</f>
        <v>2</v>
      </c>
      <c r="AZ56">
        <f>COUNTIFS($C56:$AG56,"9",$C$4:$AG$4,"3")</f>
        <v>0</v>
      </c>
      <c r="BA56">
        <f>SUM(AV56:AZ56)</f>
        <v>2</v>
      </c>
      <c r="BB56">
        <f>AV56*'Spreadsheet Key'!$A$27+AW56*'Spreadsheet Key'!$A$28+AX56*'Spreadsheet Key'!$A$29+AY56*'Spreadsheet Key'!$A$30+AZ56*'Spreadsheet Key'!$A$31</f>
        <v>72</v>
      </c>
      <c r="BD56">
        <f>AT56-BB56</f>
        <v>-22.922330097087382</v>
      </c>
    </row>
    <row r="57" spans="1:56">
      <c r="A57" s="56"/>
      <c r="B57" s="56"/>
      <c r="C57" s="779"/>
      <c r="D57" s="779"/>
      <c r="E57" s="779"/>
      <c r="F57" s="779"/>
      <c r="G57" s="779"/>
      <c r="H57" s="779"/>
      <c r="I57" s="3010" t="s">
        <v>1025</v>
      </c>
      <c r="J57" s="4310" t="s">
        <v>1186</v>
      </c>
      <c r="K57" s="4310"/>
      <c r="L57" s="3010" t="s">
        <v>1025</v>
      </c>
      <c r="M57" s="6190" t="s">
        <v>1184</v>
      </c>
      <c r="N57" s="6190"/>
      <c r="O57" s="6190"/>
      <c r="P57" s="6190"/>
      <c r="Q57" s="3010" t="s">
        <v>1025</v>
      </c>
      <c r="R57" s="779"/>
      <c r="S57" s="779"/>
      <c r="T57" s="779"/>
      <c r="U57" s="779"/>
      <c r="V57" s="779"/>
      <c r="W57" s="779"/>
      <c r="X57" s="779"/>
      <c r="Y57" s="779"/>
      <c r="Z57" s="779"/>
      <c r="AA57" s="779"/>
      <c r="AB57" s="779"/>
      <c r="AC57" s="779"/>
      <c r="AD57" s="779"/>
      <c r="AE57" s="2459"/>
      <c r="AF57" s="2459"/>
      <c r="AG57" s="3239"/>
      <c r="AH57" s="3233"/>
      <c r="AI57" s="3202"/>
      <c r="AJ57" cm="1">
        <f t="array" ref="AJ57">SUM(COUNTIFS($C57:$AG57,{"0","4","5","6","7","8","9"}))</f>
        <v>0</v>
      </c>
      <c r="AK57" cm="1">
        <f t="array" ref="AK57">SUM(COUNTIFS($C57:$AG57,{"0","4","5","6","7","8","9"},$C$4:$AG$4,"0"))</f>
        <v>0</v>
      </c>
      <c r="AL57" cm="1">
        <f t="array" ref="AL57">SUM(COUNTIFS($C57:$AG57,{"0","4","5","6","7","8","9"},$C$4:$AG$4,"1"))</f>
        <v>0</v>
      </c>
      <c r="AM57" cm="1">
        <f t="array" ref="AM57">SUM(COUNTIFS($C57:$AG57,{"0","4","5","6","7","8","9"},$C$4:$AG$4,"2"))</f>
        <v>0</v>
      </c>
      <c r="AN57" cm="1">
        <f t="array" ref="AN57">SUM(COUNTIFS($C57:$AG57,{"0","4","5","6","7","8","9"},$C$4:$AG$4,"3"))</f>
        <v>0</v>
      </c>
      <c r="AO57" cm="1">
        <f t="array" ref="AO57">SUM(COUNTIFS($C57:$AG57,{"1","2","3"}))</f>
        <v>0</v>
      </c>
      <c r="AP57" cm="1">
        <f t="array" ref="AP57">SUM(COUNTIFS($C57:$AG57,{"4","5","6"}))</f>
        <v>0</v>
      </c>
      <c r="AQ57">
        <f>AK57*'Spreadsheet Key'!$A$23 + AL57*'Spreadsheet Key'!$A$24 + AM57*'Spreadsheet Key'!$A$25 + AN57*'Spreadsheet Key'!$A$26</f>
        <v>0</v>
      </c>
      <c r="AR57">
        <f>AJ57/('FEB Statistics'!$B$29)*ABS(AI57-1)</f>
        <v>0</v>
      </c>
      <c r="AS57">
        <f>AI57*AT57</f>
        <v>0</v>
      </c>
      <c r="AV57">
        <f>COUNTIFS($C57:$AG57,"8",$C$4:$AG$4,"0")</f>
        <v>0</v>
      </c>
      <c r="AW57">
        <f>COUNTIFS($C57:$AG57,"9",$C$4:$AG$4,"0")</f>
        <v>0</v>
      </c>
      <c r="AX57">
        <f>COUNTIFS($C57:$AG57,"8",$C$4:$AG$4,"1")</f>
        <v>0</v>
      </c>
      <c r="AY57" cm="1">
        <f t="array" ref="AY57">COUNTIFS($C57:$AG57,"9",$C$4:$AG$4,"1")+SUM(COUNTIFS($C57:$AG57,{"8","9"},$C$4:$AG$4,"2"))+COUNTIFS($C57:$AG57,"8",$C$4:$AG$4,"3")</f>
        <v>0</v>
      </c>
      <c r="AZ57">
        <f>COUNTIFS($C57:$AG57,"9",$C$4:$AG$4,"3")</f>
        <v>0</v>
      </c>
      <c r="BA57">
        <f>SUM(AV57:AZ57)</f>
        <v>0</v>
      </c>
      <c r="BB57">
        <f>AV57*'Spreadsheet Key'!$A$27+AW57*'Spreadsheet Key'!$A$28+AX57*'Spreadsheet Key'!$A$29+AY57*'Spreadsheet Key'!$A$30+AZ57*'Spreadsheet Key'!$A$31</f>
        <v>0</v>
      </c>
    </row>
    <row r="58" spans="1:56">
      <c r="A58" s="56" t="s">
        <v>100</v>
      </c>
      <c r="B58" s="56" t="s">
        <v>725</v>
      </c>
      <c r="C58" s="2659">
        <v>2</v>
      </c>
      <c r="D58" s="2659">
        <v>2</v>
      </c>
      <c r="E58" s="2659">
        <v>2</v>
      </c>
      <c r="F58" s="2659">
        <v>2</v>
      </c>
      <c r="G58" s="2659">
        <v>2</v>
      </c>
      <c r="H58" s="2659">
        <v>2</v>
      </c>
      <c r="I58" s="2659">
        <v>2</v>
      </c>
      <c r="J58" s="2659">
        <v>2</v>
      </c>
      <c r="K58" s="2659">
        <v>2</v>
      </c>
      <c r="L58" s="2659">
        <v>2</v>
      </c>
      <c r="M58" s="2659">
        <v>2</v>
      </c>
      <c r="N58" s="2659">
        <v>2</v>
      </c>
      <c r="O58" s="2659">
        <v>2</v>
      </c>
      <c r="P58" s="2659">
        <v>2</v>
      </c>
      <c r="Q58" s="2659">
        <v>2</v>
      </c>
      <c r="R58" s="2659">
        <v>2</v>
      </c>
      <c r="S58" s="2659">
        <v>2</v>
      </c>
      <c r="T58" s="2659">
        <v>2</v>
      </c>
      <c r="U58" s="2659">
        <v>2</v>
      </c>
      <c r="V58" s="2659">
        <v>2</v>
      </c>
      <c r="W58" s="2659">
        <v>2</v>
      </c>
      <c r="X58" s="2659">
        <v>2</v>
      </c>
      <c r="Y58" s="2659">
        <v>2</v>
      </c>
      <c r="Z58" s="2659">
        <v>2</v>
      </c>
      <c r="AA58" s="2659">
        <v>2</v>
      </c>
      <c r="AB58" s="2659">
        <v>2</v>
      </c>
      <c r="AC58" s="2659">
        <v>2</v>
      </c>
      <c r="AD58" s="2659">
        <v>2</v>
      </c>
      <c r="AE58" s="2250"/>
      <c r="AF58" s="2250"/>
      <c r="AG58" s="2250"/>
      <c r="AH58" s="3233"/>
      <c r="AI58" s="3202">
        <v>1</v>
      </c>
      <c r="AJ58" cm="1">
        <f t="array" ref="AJ58">SUM(COUNTIFS($C58:$AG58,{"0","4","5","6","7","8","9"}))</f>
        <v>0</v>
      </c>
      <c r="AK58" cm="1">
        <f t="array" ref="AK58">SUM(COUNTIFS($C58:$AG58,{"0","4","5","6","7","8","9"},$C$4:$AG$4,"0"))</f>
        <v>0</v>
      </c>
      <c r="AL58" cm="1">
        <f t="array" ref="AL58">SUM(COUNTIFS($C58:$AG58,{"0","4","5","6","7","8","9"},$C$4:$AG$4,"1"))</f>
        <v>0</v>
      </c>
      <c r="AM58" cm="1">
        <f t="array" ref="AM58">SUM(COUNTIFS($C58:$AG58,{"0","4","5","6","7","8","9"},$C$4:$AG$4,"2"))</f>
        <v>0</v>
      </c>
      <c r="AN58" cm="1">
        <f t="array" ref="AN58">SUM(COUNTIFS($C58:$AG58,{"0","4","5","6","7","8","9"},$C$4:$AG$4,"3"))</f>
        <v>0</v>
      </c>
      <c r="AO58" cm="1">
        <f t="array" ref="AO58">SUM(COUNTIFS($C58:$AG58,{"1","2","3"}))</f>
        <v>28</v>
      </c>
      <c r="AP58" cm="1">
        <f t="array" ref="AP58">SUM(COUNTIFS($C58:$AG58,{"4","5","6"}))</f>
        <v>0</v>
      </c>
      <c r="AQ58">
        <f>AK58*'Spreadsheet Key'!$A$23 + AL58*'Spreadsheet Key'!$A$24 + AM58*'Spreadsheet Key'!$A$25 + AN58*'Spreadsheet Key'!$A$26</f>
        <v>0</v>
      </c>
      <c r="AR58">
        <f>AJ58/('FEB Statistics'!$B$29)*ABS(AI58-1)</f>
        <v>0</v>
      </c>
      <c r="AS58">
        <f>AI58*AT58</f>
        <v>0</v>
      </c>
      <c r="AT58">
        <f>(AJ58/'FEB Statistics'!$B$6)*'Spreadsheet Key'!$A$32</f>
        <v>0</v>
      </c>
      <c r="AV58">
        <f>COUNTIFS($C58:$AG58,"8",$C$4:$AG$4,"0")</f>
        <v>0</v>
      </c>
      <c r="AW58">
        <f>COUNTIFS($C58:$AG58,"9",$C$4:$AG$4,"0")</f>
        <v>0</v>
      </c>
      <c r="AX58">
        <f>COUNTIFS($C58:$AG58,"8",$C$4:$AG$4,"1")</f>
        <v>0</v>
      </c>
      <c r="AY58" cm="1">
        <f t="array" ref="AY58">COUNTIFS($C58:$AG58,"9",$C$4:$AG$4,"1")+SUM(COUNTIFS($C58:$AG58,{"8","9"},$C$4:$AG$4,"2"))+COUNTIFS($C58:$AG58,"8",$C$4:$AG$4,"3")</f>
        <v>0</v>
      </c>
      <c r="AZ58">
        <f>COUNTIFS($C58:$AG58,"9",$C$4:$AG$4,"3")</f>
        <v>0</v>
      </c>
      <c r="BA58">
        <f>SUM(AV58:AZ58)</f>
        <v>0</v>
      </c>
      <c r="BB58">
        <f>AV58*'Spreadsheet Key'!$A$27+AW58*'Spreadsheet Key'!$A$28+AX58*'Spreadsheet Key'!$A$29+AY58*'Spreadsheet Key'!$A$30+AZ58*'Spreadsheet Key'!$A$31</f>
        <v>0</v>
      </c>
      <c r="BD58">
        <f>AT58-BB58</f>
        <v>0</v>
      </c>
    </row>
    <row r="59" spans="1:56">
      <c r="A59" s="2389"/>
      <c r="B59" s="2389"/>
      <c r="C59" s="779"/>
      <c r="D59" s="779"/>
      <c r="E59" s="2434" t="s">
        <v>720</v>
      </c>
      <c r="F59" s="779"/>
      <c r="G59" s="779"/>
      <c r="H59" s="779"/>
      <c r="I59" s="779"/>
      <c r="J59" s="779"/>
      <c r="K59" s="779"/>
      <c r="L59" s="779"/>
      <c r="M59" s="2434" t="s">
        <v>720</v>
      </c>
      <c r="N59" s="779"/>
      <c r="O59" s="779"/>
      <c r="P59" s="779"/>
      <c r="Q59" s="779"/>
      <c r="R59" s="779"/>
      <c r="S59" s="779"/>
      <c r="T59" s="779"/>
      <c r="U59" s="779"/>
      <c r="V59" s="779"/>
      <c r="W59" s="2434" t="s">
        <v>720</v>
      </c>
      <c r="X59" s="779"/>
      <c r="Y59" s="779"/>
      <c r="Z59" s="779"/>
      <c r="AA59" s="779"/>
      <c r="AB59" s="779"/>
      <c r="AC59" s="779"/>
      <c r="AD59" s="779"/>
      <c r="AE59" s="2677"/>
      <c r="AF59" s="2677"/>
      <c r="AG59" s="2459"/>
      <c r="AH59" s="3233"/>
      <c r="AI59" s="3202"/>
      <c r="AJ59" cm="1">
        <f t="array" ref="AJ59">SUM(COUNTIFS($C59:$AG59,{"0","4","5","6","7","8","9"}))</f>
        <v>0</v>
      </c>
      <c r="AK59" cm="1">
        <f t="array" ref="AK59">SUM(COUNTIFS($C59:$AG59,{"0","4","5","6","7","8","9"},$C$4:$AG$4,"0"))</f>
        <v>0</v>
      </c>
      <c r="AL59" cm="1">
        <f t="array" ref="AL59">SUM(COUNTIFS($C59:$AG59,{"0","4","5","6","7","8","9"},$C$4:$AG$4,"1"))</f>
        <v>0</v>
      </c>
      <c r="AM59" cm="1">
        <f t="array" ref="AM59">SUM(COUNTIFS($C59:$AG59,{"0","4","5","6","7","8","9"},$C$4:$AG$4,"2"))</f>
        <v>0</v>
      </c>
      <c r="AN59" cm="1">
        <f t="array" ref="AN59">SUM(COUNTIFS($C59:$AG59,{"0","4","5","6","7","8","9"},$C$4:$AG$4,"3"))</f>
        <v>0</v>
      </c>
      <c r="AO59" cm="1">
        <f t="array" ref="AO59">SUM(COUNTIFS($C59:$AG59,{"1","2","3"}))</f>
        <v>0</v>
      </c>
      <c r="AP59" cm="1">
        <f t="array" ref="AP59">SUM(COUNTIFS($C59:$AG59,{"4","5","6"}))</f>
        <v>0</v>
      </c>
      <c r="AQ59">
        <f>AK59*'Spreadsheet Key'!$A$23 + AL59*'Spreadsheet Key'!$A$24 + AM59*'Spreadsheet Key'!$A$25 + AN59*'Spreadsheet Key'!$A$26</f>
        <v>0</v>
      </c>
      <c r="AR59">
        <f>AJ59/('FEB Statistics'!$B$29)*ABS(AI59-1)</f>
        <v>0</v>
      </c>
      <c r="AS59">
        <f>AI59*AT59</f>
        <v>0</v>
      </c>
      <c r="AT59">
        <f>(AJ59/'FEB Statistics'!$B$6)*'Spreadsheet Key'!$A$32</f>
        <v>0</v>
      </c>
      <c r="AV59">
        <f>COUNTIFS($C59:$AG59,"8",$C$4:$AG$4,"0")</f>
        <v>0</v>
      </c>
      <c r="AW59">
        <f>COUNTIFS($C59:$AG59,"9",$C$4:$AG$4,"0")</f>
        <v>0</v>
      </c>
      <c r="AX59">
        <f>COUNTIFS($C59:$AG59,"8",$C$4:$AG$4,"1")</f>
        <v>0</v>
      </c>
      <c r="AY59" cm="1">
        <f t="array" ref="AY59">COUNTIFS($C59:$AG59,"9",$C$4:$AG$4,"1")+SUM(COUNTIFS($C59:$AG59,{"8","9"},$C$4:$AG$4,"2"))+COUNTIFS($C59:$AG59,"8",$C$4:$AG$4,"3")</f>
        <v>0</v>
      </c>
      <c r="AZ59">
        <f>COUNTIFS($C59:$AG59,"9",$C$4:$AG$4,"3")</f>
        <v>0</v>
      </c>
      <c r="BA59">
        <f>SUM(AV59:AZ59)</f>
        <v>0</v>
      </c>
      <c r="BB59">
        <f>AV59*'Spreadsheet Key'!$A$27+AW59*'Spreadsheet Key'!$A$28+AX59*'Spreadsheet Key'!$A$29+AY59*'Spreadsheet Key'!$A$30+AZ59*'Spreadsheet Key'!$A$31</f>
        <v>0</v>
      </c>
    </row>
    <row r="60" spans="1:56">
      <c r="A60" s="2389" t="s">
        <v>283</v>
      </c>
      <c r="B60" s="2389" t="s">
        <v>201</v>
      </c>
      <c r="C60" s="2659">
        <v>0</v>
      </c>
      <c r="D60" s="2659">
        <v>0</v>
      </c>
      <c r="E60" s="2659">
        <v>8</v>
      </c>
      <c r="F60" s="2659">
        <v>0</v>
      </c>
      <c r="G60" s="2659">
        <v>0</v>
      </c>
      <c r="H60" s="2659">
        <v>0</v>
      </c>
      <c r="I60" s="2659">
        <v>0</v>
      </c>
      <c r="J60" s="2659">
        <v>0</v>
      </c>
      <c r="K60" s="2659">
        <v>0</v>
      </c>
      <c r="L60" s="2659">
        <v>0</v>
      </c>
      <c r="M60" s="2659">
        <v>8</v>
      </c>
      <c r="N60" s="2659">
        <v>0</v>
      </c>
      <c r="O60" s="2659">
        <v>0</v>
      </c>
      <c r="P60" s="2659">
        <v>0</v>
      </c>
      <c r="Q60" s="2659">
        <v>0</v>
      </c>
      <c r="R60" s="2659">
        <v>0</v>
      </c>
      <c r="S60" s="2659">
        <v>0</v>
      </c>
      <c r="T60" s="2659">
        <v>0</v>
      </c>
      <c r="U60" s="2659">
        <v>0</v>
      </c>
      <c r="V60" s="2659">
        <v>0</v>
      </c>
      <c r="W60" s="2659">
        <v>8</v>
      </c>
      <c r="X60" s="2659">
        <v>0</v>
      </c>
      <c r="Y60" s="2659">
        <v>0</v>
      </c>
      <c r="Z60" s="2659">
        <v>0</v>
      </c>
      <c r="AA60" s="2659">
        <v>0</v>
      </c>
      <c r="AB60" s="2659">
        <v>0</v>
      </c>
      <c r="AC60" s="2659">
        <v>0</v>
      </c>
      <c r="AD60" s="2659">
        <v>0</v>
      </c>
      <c r="AE60" s="2250"/>
      <c r="AF60" s="2250"/>
      <c r="AG60" s="2250"/>
      <c r="AH60" s="3233"/>
      <c r="AI60" s="3202">
        <v>1</v>
      </c>
      <c r="AJ60" cm="1">
        <f t="array" ref="AJ60">SUM(COUNTIFS($C60:$AG60,{"0","4","5","6","7","8","9"}))</f>
        <v>28</v>
      </c>
      <c r="AK60" cm="1">
        <f t="array" ref="AK60">SUM(COUNTIFS($C60:$AG60,{"0","4","5","6","7","8","9"},$C$4:$AG$4,"0"))</f>
        <v>16</v>
      </c>
      <c r="AL60" cm="1">
        <f t="array" ref="AL60">SUM(COUNTIFS($C60:$AG60,{"0","4","5","6","7","8","9"},$C$4:$AG$4,"1"))</f>
        <v>4</v>
      </c>
      <c r="AM60" cm="1">
        <f t="array" ref="AM60">SUM(COUNTIFS($C60:$AG60,{"0","4","5","6","7","8","9"},$C$4:$AG$4,"2"))</f>
        <v>4</v>
      </c>
      <c r="AN60" cm="1">
        <f t="array" ref="AN60">SUM(COUNTIFS($C60:$AG60,{"0","4","5","6","7","8","9"},$C$4:$AG$4,"3"))</f>
        <v>4</v>
      </c>
      <c r="AO60" cm="1">
        <f t="array" ref="AO60">SUM(COUNTIFS($C60:$AG60,{"1","2","3"}))</f>
        <v>0</v>
      </c>
      <c r="AP60" cm="1">
        <f t="array" ref="AP60">SUM(COUNTIFS($C60:$AG60,{"4","5","6"}))</f>
        <v>0</v>
      </c>
      <c r="AQ60">
        <f>AK60*'Spreadsheet Key'!$A$23 + AL60*'Spreadsheet Key'!$A$24 + AM60*'Spreadsheet Key'!$A$25 + AN60*'Spreadsheet Key'!$A$26</f>
        <v>1080</v>
      </c>
      <c r="AR60">
        <f>AJ60/('FEB Statistics'!$B$29)*ABS(AI60-1)</f>
        <v>0</v>
      </c>
      <c r="AS60">
        <f>AI60*AT60</f>
        <v>28</v>
      </c>
      <c r="AT60">
        <f>(AJ60/'FEB Statistics'!$B$6)*'Spreadsheet Key'!$A$32</f>
        <v>28</v>
      </c>
      <c r="AV60">
        <f>COUNTIFS($C60:$AG60,"8",$C$4:$AG$4,"0")</f>
        <v>2</v>
      </c>
      <c r="AW60">
        <f>COUNTIFS($C60:$AG60,"9",$C$4:$AG$4,"0")</f>
        <v>0</v>
      </c>
      <c r="AX60">
        <f>COUNTIFS($C60:$AG60,"8",$C$4:$AG$4,"1")</f>
        <v>1</v>
      </c>
      <c r="AY60" cm="1">
        <f t="array" ref="AY60">COUNTIFS($C60:$AG60,"9",$C$4:$AG$4,"1")+SUM(COUNTIFS($C60:$AG60,{"8","9"},$C$4:$AG$4,"2"))+COUNTIFS($C60:$AG60,"8",$C$4:$AG$4,"3")</f>
        <v>0</v>
      </c>
      <c r="AZ60">
        <f>COUNTIFS($C60:$AG60,"9",$C$4:$AG$4,"3")</f>
        <v>0</v>
      </c>
      <c r="BA60">
        <f>SUM(AV60:AZ60)</f>
        <v>3</v>
      </c>
      <c r="BB60">
        <f>AV60*'Spreadsheet Key'!$A$27+AW60*'Spreadsheet Key'!$A$28+AX60*'Spreadsheet Key'!$A$29+AY60*'Spreadsheet Key'!$A$30+AZ60*'Spreadsheet Key'!$A$31</f>
        <v>38</v>
      </c>
      <c r="BD60">
        <f>AT60-BB60</f>
        <v>-10</v>
      </c>
    </row>
    <row r="61" spans="1:56">
      <c r="A61" s="56"/>
      <c r="B61" s="56"/>
      <c r="C61" s="3248" t="s">
        <v>1215</v>
      </c>
      <c r="D61" s="937"/>
      <c r="E61" s="2433" t="s">
        <v>717</v>
      </c>
      <c r="F61" s="937"/>
      <c r="G61" s="937"/>
      <c r="H61" s="937" t="s">
        <v>1218</v>
      </c>
      <c r="I61" s="937"/>
      <c r="J61" s="937"/>
      <c r="K61" s="3678" t="s">
        <v>1025</v>
      </c>
      <c r="L61" s="3678" t="s">
        <v>1025</v>
      </c>
      <c r="M61" s="6164" t="s">
        <v>1184</v>
      </c>
      <c r="N61" s="5569"/>
      <c r="O61" s="5569"/>
      <c r="P61" s="6165"/>
      <c r="Q61" s="3678" t="s">
        <v>1025</v>
      </c>
      <c r="R61" s="3678" t="s">
        <v>1025</v>
      </c>
      <c r="S61" s="2433"/>
      <c r="T61" s="937"/>
      <c r="U61" s="937"/>
      <c r="V61" s="1671" t="s">
        <v>720</v>
      </c>
      <c r="W61" s="2405" t="s">
        <v>1219</v>
      </c>
      <c r="X61" s="937"/>
      <c r="Y61" s="937"/>
      <c r="Z61" s="2433"/>
      <c r="AA61" s="937"/>
      <c r="AB61" s="937"/>
      <c r="AC61" s="937"/>
      <c r="AD61" s="937"/>
      <c r="AE61" s="3241"/>
      <c r="AF61" s="3243"/>
      <c r="AG61" s="3244"/>
      <c r="AH61" s="3233"/>
      <c r="AI61" s="3202"/>
      <c r="AJ61" cm="1">
        <f t="array" ref="AJ61">SUM(COUNTIFS($C61:$AG61,{"0","4","5","6","7","8","9"}))</f>
        <v>0</v>
      </c>
      <c r="AK61" cm="1">
        <f t="array" ref="AK61">SUM(COUNTIFS($C61:$AG61,{"0","4","5","6","7","8","9"},$C$4:$AG$4,"0"))</f>
        <v>0</v>
      </c>
      <c r="AL61" cm="1">
        <f t="array" ref="AL61">SUM(COUNTIFS($C61:$AG61,{"0","4","5","6","7","8","9"},$C$4:$AG$4,"1"))</f>
        <v>0</v>
      </c>
      <c r="AM61" cm="1">
        <f t="array" ref="AM61">SUM(COUNTIFS($C61:$AG61,{"0","4","5","6","7","8","9"},$C$4:$AG$4,"2"))</f>
        <v>0</v>
      </c>
      <c r="AN61" cm="1">
        <f t="array" ref="AN61">SUM(COUNTIFS($C61:$AG61,{"0","4","5","6","7","8","9"},$C$4:$AG$4,"3"))</f>
        <v>0</v>
      </c>
      <c r="AO61" cm="1">
        <f t="array" ref="AO61">SUM(COUNTIFS($C61:$AG61,{"1","2","3"}))</f>
        <v>0</v>
      </c>
      <c r="AP61" cm="1">
        <f t="array" ref="AP61">SUM(COUNTIFS($C61:$AG61,{"4","5","6"}))</f>
        <v>0</v>
      </c>
      <c r="AQ61">
        <f>AK61*'Spreadsheet Key'!$A$23 + AL61*'Spreadsheet Key'!$A$24 + AM61*'Spreadsheet Key'!$A$25 + AN61*'Spreadsheet Key'!$A$26</f>
        <v>0</v>
      </c>
      <c r="AR61">
        <f>AJ61/('FEB Statistics'!$B$29)*ABS(AI61-1)</f>
        <v>0</v>
      </c>
      <c r="AS61">
        <f>AI61*AT61</f>
        <v>0</v>
      </c>
      <c r="AT61">
        <f>(AJ61/'FEB Statistics'!$B$6)*'Spreadsheet Key'!$A$32</f>
        <v>0</v>
      </c>
      <c r="AV61">
        <f>COUNTIFS($C61:$AG61,"8",$C$4:$AG$4,"0")</f>
        <v>0</v>
      </c>
      <c r="AW61">
        <f>COUNTIFS($C61:$AG61,"9",$C$4:$AG$4,"0")</f>
        <v>0</v>
      </c>
      <c r="AX61">
        <f>COUNTIFS($C61:$AG61,"8",$C$4:$AG$4,"1")</f>
        <v>0</v>
      </c>
      <c r="AY61" cm="1">
        <f t="array" ref="AY61">COUNTIFS($C61:$AG61,"9",$C$4:$AG$4,"1")+SUM(COUNTIFS($C61:$AG61,{"8","9"},$C$4:$AG$4,"2"))+COUNTIFS($C61:$AG61,"8",$C$4:$AG$4,"3")</f>
        <v>0</v>
      </c>
      <c r="AZ61">
        <f>COUNTIFS($C61:$AG61,"9",$C$4:$AG$4,"3")</f>
        <v>0</v>
      </c>
      <c r="BA61">
        <f>SUM(AV61:AZ61)</f>
        <v>0</v>
      </c>
      <c r="BB61">
        <f>AV61*'Spreadsheet Key'!$A$27+AW61*'Spreadsheet Key'!$A$28+AX61*'Spreadsheet Key'!$A$29+AY61*'Spreadsheet Key'!$A$30+AZ61*'Spreadsheet Key'!$A$31</f>
        <v>0</v>
      </c>
    </row>
    <row r="62" spans="1:56" s="3232" customFormat="1">
      <c r="A62" s="56" t="s">
        <v>283</v>
      </c>
      <c r="B62" s="56" t="s">
        <v>1036</v>
      </c>
      <c r="C62" s="2659">
        <v>2</v>
      </c>
      <c r="D62" s="2659">
        <v>2</v>
      </c>
      <c r="E62" s="2659">
        <v>2</v>
      </c>
      <c r="F62" s="2659">
        <v>2</v>
      </c>
      <c r="G62" s="2659">
        <v>2</v>
      </c>
      <c r="H62" s="2659">
        <v>0</v>
      </c>
      <c r="I62" s="2659">
        <v>0</v>
      </c>
      <c r="J62" s="2659">
        <v>0</v>
      </c>
      <c r="K62" s="2659">
        <v>1</v>
      </c>
      <c r="L62" s="2659">
        <v>2</v>
      </c>
      <c r="M62" s="2659">
        <v>2</v>
      </c>
      <c r="N62" s="2659">
        <v>2</v>
      </c>
      <c r="O62" s="2659">
        <v>2</v>
      </c>
      <c r="P62" s="2659">
        <v>2</v>
      </c>
      <c r="Q62" s="2659">
        <v>2</v>
      </c>
      <c r="R62" s="2659">
        <v>3</v>
      </c>
      <c r="S62" s="2659">
        <v>0</v>
      </c>
      <c r="T62" s="2659">
        <v>0</v>
      </c>
      <c r="U62" s="2659">
        <v>0</v>
      </c>
      <c r="V62" s="2659">
        <v>8</v>
      </c>
      <c r="W62" s="2659">
        <v>7</v>
      </c>
      <c r="X62" s="2659">
        <v>0</v>
      </c>
      <c r="Y62" s="2659">
        <v>0</v>
      </c>
      <c r="Z62" s="2659">
        <v>0</v>
      </c>
      <c r="AA62" s="2659">
        <v>0</v>
      </c>
      <c r="AB62" s="2659">
        <v>0</v>
      </c>
      <c r="AC62" s="2659">
        <v>0</v>
      </c>
      <c r="AD62" s="2659">
        <v>0</v>
      </c>
      <c r="AE62" s="2250"/>
      <c r="AF62" s="2250"/>
      <c r="AG62" s="2250"/>
      <c r="AH62" s="3233"/>
      <c r="AI62" s="3202">
        <v>1</v>
      </c>
      <c r="AJ62" cm="1">
        <f t="array" ref="AJ62">SUM(COUNTIFS($C62:$AG62,{"0","4","5","6","7","8","9"}))</f>
        <v>15</v>
      </c>
      <c r="AK62" cm="1">
        <f t="array" ref="AK62">SUM(COUNTIFS($C62:$AG62,{"0","4","5","6","7","8","9"},$C$4:$AG$4,"0"))</f>
        <v>9</v>
      </c>
      <c r="AL62" cm="1">
        <f t="array" ref="AL62">SUM(COUNTIFS($C62:$AG62,{"0","4","5","6","7","8","9"},$C$4:$AG$4,"1"))</f>
        <v>3</v>
      </c>
      <c r="AM62" cm="1">
        <f t="array" ref="AM62">SUM(COUNTIFS($C62:$AG62,{"0","4","5","6","7","8","9"},$C$4:$AG$4,"2"))</f>
        <v>2</v>
      </c>
      <c r="AN62" cm="1">
        <f t="array" ref="AN62">SUM(COUNTIFS($C62:$AG62,{"0","4","5","6","7","8","9"},$C$4:$AG$4,"3"))</f>
        <v>1</v>
      </c>
      <c r="AO62" cm="1">
        <f t="array" ref="AO62">SUM(COUNTIFS($C62:$AG62,{"1","2","3"}))</f>
        <v>13</v>
      </c>
      <c r="AP62" cm="1">
        <f t="array" ref="AP62">SUM(COUNTIFS($C62:$AG62,{"4","5","6"}))</f>
        <v>0</v>
      </c>
      <c r="AQ62">
        <f>AK62*'Spreadsheet Key'!$A$23 + AL62*'Spreadsheet Key'!$A$24 + AM62*'Spreadsheet Key'!$A$25 + AN62*'Spreadsheet Key'!$A$26</f>
        <v>560</v>
      </c>
      <c r="AR62">
        <f>AJ62/('FEB Statistics'!$B$29)*ABS(AI62-1)</f>
        <v>0</v>
      </c>
      <c r="AS62">
        <f>AI62*AT62</f>
        <v>15</v>
      </c>
      <c r="AT62">
        <f>(AJ62/'FEB Statistics'!$B$6)*'Spreadsheet Key'!$A$32</f>
        <v>15</v>
      </c>
      <c r="AU62"/>
      <c r="AV62">
        <f>COUNTIFS($C62:$AG62,"8",$C$4:$AG$4,"0")</f>
        <v>1</v>
      </c>
      <c r="AW62">
        <f>COUNTIFS($C62:$AG62,"9",$C$4:$AG$4,"0")</f>
        <v>0</v>
      </c>
      <c r="AX62">
        <f>COUNTIFS($C62:$AG62,"8",$C$4:$AG$4,"1")</f>
        <v>0</v>
      </c>
      <c r="AY62" cm="1">
        <f t="array" ref="AY62">COUNTIFS($C62:$AG62,"9",$C$4:$AG$4,"1")+SUM(COUNTIFS($C62:$AG62,{"8","9"},$C$4:$AG$4,"2"))+COUNTIFS($C62:$AG62,"8",$C$4:$AG$4,"3")</f>
        <v>0</v>
      </c>
      <c r="AZ62">
        <f>COUNTIFS($C62:$AG62,"9",$C$4:$AG$4,"3")</f>
        <v>0</v>
      </c>
      <c r="BA62">
        <f>SUM(AV62:AZ62)</f>
        <v>1</v>
      </c>
      <c r="BB62">
        <f>AV62*'Spreadsheet Key'!$A$27+AW62*'Spreadsheet Key'!$A$28+AX62*'Spreadsheet Key'!$A$29+AY62*'Spreadsheet Key'!$A$30+AZ62*'Spreadsheet Key'!$A$31</f>
        <v>10</v>
      </c>
      <c r="BC62"/>
      <c r="BD62">
        <f>AT62-BB62</f>
        <v>5</v>
      </c>
    </row>
    <row r="63" spans="1:56" s="3232" customFormat="1" ht="15.75">
      <c r="A63" s="56"/>
      <c r="B63" s="56"/>
      <c r="C63" s="3248" t="s">
        <v>1215</v>
      </c>
      <c r="D63" s="675"/>
      <c r="E63" s="3152" t="s">
        <v>1025</v>
      </c>
      <c r="F63" s="4593" t="s">
        <v>1178</v>
      </c>
      <c r="G63" s="4593"/>
      <c r="H63" s="3152" t="s">
        <v>1025</v>
      </c>
      <c r="I63" s="937"/>
      <c r="J63" s="937"/>
      <c r="K63" s="3152" t="s">
        <v>1025</v>
      </c>
      <c r="L63" s="3152" t="s">
        <v>1025</v>
      </c>
      <c r="M63" s="6174" t="s">
        <v>1181</v>
      </c>
      <c r="N63" s="6174"/>
      <c r="O63" s="3152" t="s">
        <v>1025</v>
      </c>
      <c r="P63" s="3152" t="s">
        <v>1025</v>
      </c>
      <c r="Q63" s="937"/>
      <c r="R63" s="937"/>
      <c r="S63" s="937"/>
      <c r="T63" s="3644" t="s">
        <v>1220</v>
      </c>
      <c r="U63" s="3704" t="s">
        <v>1221</v>
      </c>
      <c r="V63" s="3413" t="s">
        <v>1221</v>
      </c>
      <c r="W63" s="3076" t="s">
        <v>1180</v>
      </c>
      <c r="X63" s="937"/>
      <c r="Y63" s="937"/>
      <c r="Z63" s="2433" t="s">
        <v>1218</v>
      </c>
      <c r="AA63" s="3258" t="s">
        <v>720</v>
      </c>
      <c r="AB63" s="3152" t="s">
        <v>1025</v>
      </c>
      <c r="AC63" s="6175" t="s">
        <v>1182</v>
      </c>
      <c r="AD63" s="6176"/>
      <c r="AE63" s="2459"/>
      <c r="AF63" s="2459"/>
      <c r="AG63" s="2677"/>
      <c r="AH63" s="3233"/>
      <c r="AI63" s="3202"/>
      <c r="AJ63" cm="1">
        <f t="array" ref="AJ63">SUM(COUNTIFS($C63:$AG63,{"0","4","5","6","7","8","9"}))</f>
        <v>0</v>
      </c>
      <c r="AK63" cm="1">
        <f t="array" ref="AK63">SUM(COUNTIFS($C63:$AG63,{"0","4","5","6","7","8","9"},$C$4:$AG$4,"0"))</f>
        <v>0</v>
      </c>
      <c r="AL63" cm="1">
        <f t="array" ref="AL63">SUM(COUNTIFS($C63:$AG63,{"0","4","5","6","7","8","9"},$C$4:$AG$4,"1"))</f>
        <v>0</v>
      </c>
      <c r="AM63" cm="1">
        <f t="array" ref="AM63">SUM(COUNTIFS($C63:$AG63,{"0","4","5","6","7","8","9"},$C$4:$AG$4,"2"))</f>
        <v>0</v>
      </c>
      <c r="AN63" cm="1">
        <f t="array" ref="AN63">SUM(COUNTIFS($C63:$AG63,{"0","4","5","6","7","8","9"},$C$4:$AG$4,"3"))</f>
        <v>0</v>
      </c>
      <c r="AO63" cm="1">
        <f t="array" ref="AO63">SUM(COUNTIFS($C63:$AG63,{"1","2","3"}))</f>
        <v>0</v>
      </c>
      <c r="AP63" cm="1">
        <f t="array" ref="AP63">SUM(COUNTIFS($C63:$AG63,{"4","5","6"}))</f>
        <v>0</v>
      </c>
      <c r="AQ63">
        <f>AK63*'Spreadsheet Key'!$A$23 + AL63*'Spreadsheet Key'!$A$24 + AM63*'Spreadsheet Key'!$A$25 + AN63*'Spreadsheet Key'!$A$26</f>
        <v>0</v>
      </c>
      <c r="AR63">
        <f>AJ63/('FEB Statistics'!$B$29)*ABS(AI63-1)</f>
        <v>0</v>
      </c>
      <c r="AS63">
        <f>AI63*AT63</f>
        <v>0</v>
      </c>
      <c r="AT63">
        <f>(AJ63/'FEB Statistics'!$B$6)*'Spreadsheet Key'!$A$32</f>
        <v>0</v>
      </c>
      <c r="AU63"/>
      <c r="AV63">
        <f>COUNTIFS($C63:$AG63,"8",$C$4:$AG$4,"0")</f>
        <v>0</v>
      </c>
      <c r="AW63">
        <f>COUNTIFS($C63:$AG63,"9",$C$4:$AG$4,"0")</f>
        <v>0</v>
      </c>
      <c r="AX63">
        <f>COUNTIFS($C63:$AG63,"8",$C$4:$AG$4,"1")</f>
        <v>0</v>
      </c>
      <c r="AY63" cm="1">
        <f t="array" ref="AY63">COUNTIFS($C63:$AG63,"9",$C$4:$AG$4,"1")+SUM(COUNTIFS($C63:$AG63,{"8","9"},$C$4:$AG$4,"2"))+COUNTIFS($C63:$AG63,"8",$C$4:$AG$4,"3")</f>
        <v>0</v>
      </c>
      <c r="AZ63">
        <f>COUNTIFS($C63:$AG63,"9",$C$4:$AG$4,"3")</f>
        <v>0</v>
      </c>
      <c r="BA63">
        <f>SUM(AV63:AZ63)</f>
        <v>0</v>
      </c>
      <c r="BB63">
        <f>AV63*'Spreadsheet Key'!$A$27+AW63*'Spreadsheet Key'!$A$28+AX63*'Spreadsheet Key'!$A$29+AY63*'Spreadsheet Key'!$A$30+AZ63*'Spreadsheet Key'!$A$31</f>
        <v>0</v>
      </c>
      <c r="BC63"/>
      <c r="BD63"/>
    </row>
    <row r="64" spans="1:56" s="3232" customFormat="1">
      <c r="A64" s="56" t="s">
        <v>283</v>
      </c>
      <c r="B64" s="56" t="s">
        <v>1005</v>
      </c>
      <c r="C64" s="2659">
        <v>2</v>
      </c>
      <c r="D64" s="2659">
        <v>2</v>
      </c>
      <c r="E64" s="2659">
        <v>2</v>
      </c>
      <c r="F64" s="2659">
        <v>2</v>
      </c>
      <c r="G64" s="2659">
        <v>2</v>
      </c>
      <c r="H64" s="2659">
        <v>2</v>
      </c>
      <c r="I64" s="2659">
        <v>2</v>
      </c>
      <c r="J64" s="2659">
        <v>2</v>
      </c>
      <c r="K64" s="2659">
        <v>2</v>
      </c>
      <c r="L64" s="2659">
        <v>2</v>
      </c>
      <c r="M64" s="2659">
        <v>2</v>
      </c>
      <c r="N64" s="2659">
        <v>2</v>
      </c>
      <c r="O64" s="2659">
        <v>2</v>
      </c>
      <c r="P64" s="2659">
        <v>2</v>
      </c>
      <c r="Q64" s="2659">
        <v>2</v>
      </c>
      <c r="R64" s="2659">
        <v>2</v>
      </c>
      <c r="S64" s="2659">
        <v>2</v>
      </c>
      <c r="T64" s="2659">
        <v>2</v>
      </c>
      <c r="U64" s="2659">
        <v>2</v>
      </c>
      <c r="V64" s="2659">
        <v>2</v>
      </c>
      <c r="W64" s="2659">
        <v>2</v>
      </c>
      <c r="X64" s="2659">
        <v>2</v>
      </c>
      <c r="Y64" s="2659">
        <v>2</v>
      </c>
      <c r="Z64" s="2659">
        <v>0</v>
      </c>
      <c r="AA64" s="2659">
        <v>8</v>
      </c>
      <c r="AB64" s="2659">
        <v>1</v>
      </c>
      <c r="AC64" s="2659">
        <v>2</v>
      </c>
      <c r="AD64" s="2659">
        <v>2</v>
      </c>
      <c r="AE64" s="2250"/>
      <c r="AF64" s="2250"/>
      <c r="AG64" s="2250"/>
      <c r="AH64" s="3233"/>
      <c r="AI64" s="3202">
        <v>1</v>
      </c>
      <c r="AJ64" cm="1">
        <f t="array" ref="AJ64">SUM(COUNTIFS($C64:$AG64,{"0","4","5","6","7","8","9"}))</f>
        <v>2</v>
      </c>
      <c r="AK64" cm="1">
        <f t="array" ref="AK64">SUM(COUNTIFS($C64:$AG64,{"0","4","5","6","7","8","9"},$C$4:$AG$4,"0"))</f>
        <v>2</v>
      </c>
      <c r="AL64" cm="1">
        <f t="array" ref="AL64">SUM(COUNTIFS($C64:$AG64,{"0","4","5","6","7","8","9"},$C$4:$AG$4,"1"))</f>
        <v>0</v>
      </c>
      <c r="AM64" cm="1">
        <f t="array" ref="AM64">SUM(COUNTIFS($C64:$AG64,{"0","4","5","6","7","8","9"},$C$4:$AG$4,"2"))</f>
        <v>0</v>
      </c>
      <c r="AN64" cm="1">
        <f t="array" ref="AN64">SUM(COUNTIFS($C64:$AG64,{"0","4","5","6","7","8","9"},$C$4:$AG$4,"3"))</f>
        <v>0</v>
      </c>
      <c r="AO64" cm="1">
        <f t="array" ref="AO64">SUM(COUNTIFS($C64:$AG64,{"1","2","3"}))</f>
        <v>26</v>
      </c>
      <c r="AP64" cm="1">
        <f t="array" ref="AP64">SUM(COUNTIFS($C64:$AG64,{"4","5","6"}))</f>
        <v>0</v>
      </c>
      <c r="AQ64">
        <f>AK64*'Spreadsheet Key'!$A$23 + AL64*'Spreadsheet Key'!$A$24 + AM64*'Spreadsheet Key'!$A$25 + AN64*'Spreadsheet Key'!$A$26</f>
        <v>44</v>
      </c>
      <c r="AR64">
        <f>AJ64/('FEB Statistics'!$B$29)*ABS(AI64-1)</f>
        <v>0</v>
      </c>
      <c r="AS64">
        <f>AI64*AT64</f>
        <v>2</v>
      </c>
      <c r="AT64">
        <f>(AJ64/'FEB Statistics'!$B$6)*'Spreadsheet Key'!$A$32</f>
        <v>2</v>
      </c>
      <c r="AU64"/>
      <c r="AV64">
        <f>COUNTIFS($C64:$AG64,"8",$C$4:$AG$4,"0")</f>
        <v>1</v>
      </c>
      <c r="AW64">
        <f>COUNTIFS($C64:$AG64,"9",$C$4:$AG$4,"0")</f>
        <v>0</v>
      </c>
      <c r="AX64">
        <f>COUNTIFS($C64:$AG64,"8",$C$4:$AG$4,"1")</f>
        <v>0</v>
      </c>
      <c r="AY64" cm="1">
        <f t="array" ref="AY64">COUNTIFS($C64:$AG64,"9",$C$4:$AG$4,"1")+SUM(COUNTIFS($C64:$AG64,{"8","9"},$C$4:$AG$4,"2"))+COUNTIFS($C64:$AG64,"8",$C$4:$AG$4,"3")</f>
        <v>0</v>
      </c>
      <c r="AZ64">
        <f>COUNTIFS($C64:$AG64,"9",$C$4:$AG$4,"3")</f>
        <v>0</v>
      </c>
      <c r="BA64">
        <f>SUM(AV64:AZ64)</f>
        <v>1</v>
      </c>
      <c r="BB64">
        <f>AV64*'Spreadsheet Key'!$A$27+AW64*'Spreadsheet Key'!$A$28+AX64*'Spreadsheet Key'!$A$29+AY64*'Spreadsheet Key'!$A$30+AZ64*'Spreadsheet Key'!$A$31</f>
        <v>10</v>
      </c>
      <c r="BC64"/>
      <c r="BD64">
        <f>AT64-BB64</f>
        <v>-8</v>
      </c>
    </row>
    <row r="65" spans="1:56">
      <c r="AI65" s="3202"/>
      <c r="AJ65">
        <f>SUM(AJ6:AJ64)</f>
        <v>481</v>
      </c>
      <c r="AK65">
        <f t="shared" ref="AK65:AQ65" si="0">SUM(AK6:AK64)</f>
        <v>280</v>
      </c>
      <c r="AL65">
        <f t="shared" si="0"/>
        <v>69</v>
      </c>
      <c r="AM65">
        <f t="shared" si="0"/>
        <v>66</v>
      </c>
      <c r="AN65">
        <f t="shared" si="0"/>
        <v>66</v>
      </c>
      <c r="AO65">
        <f t="shared" si="0"/>
        <v>359</v>
      </c>
      <c r="AP65">
        <f t="shared" si="0"/>
        <v>8</v>
      </c>
      <c r="AQ65">
        <f t="shared" si="0"/>
        <v>18334</v>
      </c>
      <c r="AR65">
        <f>SUM(AR6:AR64)</f>
        <v>0.99999999999999967</v>
      </c>
      <c r="AS65">
        <f>SUM(AS6:AS64)</f>
        <v>69</v>
      </c>
      <c r="AT65">
        <f>SUM(AT6:AT64)</f>
        <v>1080</v>
      </c>
      <c r="AV65">
        <f>SUM(AV6:AV64)</f>
        <v>16</v>
      </c>
      <c r="AW65">
        <f>SUM(AW6:AW64)</f>
        <v>16</v>
      </c>
      <c r="AX65">
        <f>SUM(AX6:AX64)</f>
        <v>4</v>
      </c>
      <c r="AY65">
        <f>SUM(AY6:AY64)</f>
        <v>16</v>
      </c>
      <c r="AZ65">
        <f>SUM(AZ6:AZ64)</f>
        <v>4</v>
      </c>
      <c r="BA65">
        <f>SUM(BA6:BA64)</f>
        <v>56</v>
      </c>
      <c r="BB65">
        <f>SUM(BB6:BB64)</f>
        <v>1080</v>
      </c>
      <c r="BD65">
        <f>SUM(BD6:BD64)</f>
        <v>-5.6843418860808015E-14</v>
      </c>
    </row>
    <row r="66" spans="1:56">
      <c r="AI66" s="3202"/>
      <c r="BD66">
        <f>STDEV(BD6:BD56)</f>
        <v>16.967225438752568</v>
      </c>
    </row>
    <row r="67" spans="1:56">
      <c r="A67" t="s">
        <v>1151</v>
      </c>
      <c r="C67">
        <f>COUNTIF(C5:AG64,"D")</f>
        <v>27</v>
      </c>
      <c r="AI67" s="3202"/>
      <c r="AT67" t="s">
        <v>1222</v>
      </c>
    </row>
    <row r="68" spans="1:56">
      <c r="A68" t="s">
        <v>1152</v>
      </c>
      <c r="C68">
        <f>COUNTIF(C5:AG64,"8")</f>
        <v>28</v>
      </c>
      <c r="AI68" s="3202"/>
    </row>
    <row r="69" spans="1:56">
      <c r="A69" t="s">
        <v>1153</v>
      </c>
      <c r="C69">
        <f>COUNTIF(C5:AG64,"N")</f>
        <v>28</v>
      </c>
    </row>
    <row r="70" spans="1:56">
      <c r="A70" t="s">
        <v>1154</v>
      </c>
      <c r="C70">
        <f>COUNTIF(C5:AG64,"9")</f>
        <v>28</v>
      </c>
    </row>
  </sheetData>
  <mergeCells count="46">
    <mergeCell ref="A4:B4"/>
    <mergeCell ref="A1:B1"/>
    <mergeCell ref="AJ1:BH1"/>
    <mergeCell ref="A2:B2"/>
    <mergeCell ref="A3:B3"/>
    <mergeCell ref="AJ3:AT3"/>
    <mergeCell ref="AV3:BB3"/>
    <mergeCell ref="C1:AD1"/>
    <mergeCell ref="W17:X17"/>
    <mergeCell ref="C19:L19"/>
    <mergeCell ref="M19:AD19"/>
    <mergeCell ref="C23:D23"/>
    <mergeCell ref="G23:M23"/>
    <mergeCell ref="N23:O23"/>
    <mergeCell ref="M63:N63"/>
    <mergeCell ref="J7:K7"/>
    <mergeCell ref="M9:P9"/>
    <mergeCell ref="F11:G11"/>
    <mergeCell ref="J11:K11"/>
    <mergeCell ref="M11:P11"/>
    <mergeCell ref="F51:G51"/>
    <mergeCell ref="M51:N51"/>
    <mergeCell ref="P49:S49"/>
    <mergeCell ref="Q17:T17"/>
    <mergeCell ref="C25:F25"/>
    <mergeCell ref="J25:M25"/>
    <mergeCell ref="N25:O25"/>
    <mergeCell ref="P25:R25"/>
    <mergeCell ref="Q27:Y27"/>
    <mergeCell ref="D29:I29"/>
    <mergeCell ref="AC63:AD63"/>
    <mergeCell ref="Z35:AD35"/>
    <mergeCell ref="J41:K41"/>
    <mergeCell ref="M41:P41"/>
    <mergeCell ref="Q43:AD43"/>
    <mergeCell ref="C45:K45"/>
    <mergeCell ref="J47:K47"/>
    <mergeCell ref="AA51:AC51"/>
    <mergeCell ref="H55:M55"/>
    <mergeCell ref="J57:K57"/>
    <mergeCell ref="M57:P57"/>
    <mergeCell ref="M61:P61"/>
    <mergeCell ref="D35:G35"/>
    <mergeCell ref="L35:N35"/>
    <mergeCell ref="P35:Y35"/>
    <mergeCell ref="F63:G63"/>
  </mergeCells>
  <conditionalFormatting sqref="BD66:BD1048576 BD1:BD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fitToHeight="0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D68C-629C-4E82-991C-1495F2335B52}">
  <dimension ref="A1:E29"/>
  <sheetViews>
    <sheetView workbookViewId="0">
      <selection activeCell="B25" sqref="B25"/>
    </sheetView>
  </sheetViews>
  <sheetFormatPr defaultRowHeight="15"/>
  <cols>
    <col min="1" max="1" width="29.28515625" bestFit="1" customWidth="1"/>
    <col min="2" max="2" width="9.140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SUM(COUNTIF('FEB STWO Watchbill'!$C$4:$AG$4,"0"))</f>
        <v>16</v>
      </c>
      <c r="C2">
        <f>B2*('Spreadsheet Key'!A27+'Spreadsheet Key'!A28)</f>
        <v>352</v>
      </c>
    </row>
    <row r="3" spans="1:5">
      <c r="A3" t="s">
        <v>1159</v>
      </c>
      <c r="B3">
        <f>SUM(COUNTIF('FEB STWO Watchbill'!$C$4:$AG$4,"1"))</f>
        <v>4</v>
      </c>
      <c r="C3">
        <f>B3*('Spreadsheet Key'!A29+'Spreadsheet Key'!A30)</f>
        <v>216</v>
      </c>
    </row>
    <row r="4" spans="1:5">
      <c r="A4" t="s">
        <v>1160</v>
      </c>
      <c r="B4">
        <f>SUM(COUNTIF('FEB STWO Watchbill'!$C$4:$AG$4,"2"))</f>
        <v>4</v>
      </c>
      <c r="C4">
        <f>B4*('Spreadsheet Key'!A30+'Spreadsheet Key'!A30)</f>
        <v>288</v>
      </c>
    </row>
    <row r="5" spans="1:5">
      <c r="A5" t="s">
        <v>1161</v>
      </c>
      <c r="B5">
        <f>SUM(COUNTIF('FEB STWO Watchbill'!$C$4:$AG$4,"3"))</f>
        <v>4</v>
      </c>
      <c r="C5">
        <f>B5*('Spreadsheet Key'!A30+'Spreadsheet Key'!A31)</f>
        <v>224</v>
      </c>
    </row>
    <row r="6" spans="1:5">
      <c r="A6" t="s">
        <v>571</v>
      </c>
      <c r="B6">
        <f>SUM(B2:B5)</f>
        <v>28</v>
      </c>
      <c r="C6">
        <f>SUM(C2:C5)</f>
        <v>1080</v>
      </c>
    </row>
    <row r="7" spans="1:5">
      <c r="A7" t="s">
        <v>1162</v>
      </c>
      <c r="B7">
        <f>2*B6/$B$14</f>
        <v>1.8666666666666667</v>
      </c>
      <c r="C7">
        <f>C6/$B$14</f>
        <v>36</v>
      </c>
    </row>
    <row r="9" spans="1:5">
      <c r="A9" t="s">
        <v>1214</v>
      </c>
      <c r="C9">
        <v>69</v>
      </c>
      <c r="E9" t="s">
        <v>1223</v>
      </c>
    </row>
    <row r="10" spans="1:5">
      <c r="A10" s="3227" t="s">
        <v>1224</v>
      </c>
      <c r="C10">
        <f>C6-C9</f>
        <v>1011</v>
      </c>
    </row>
    <row r="13" spans="1:5">
      <c r="A13" t="s">
        <v>1163</v>
      </c>
      <c r="B13" t="s">
        <v>1164</v>
      </c>
    </row>
    <row r="14" spans="1:5">
      <c r="A14" t="s">
        <v>1117</v>
      </c>
      <c r="B14">
        <v>30</v>
      </c>
      <c r="E14" t="s">
        <v>1165</v>
      </c>
    </row>
    <row r="15" spans="1:5">
      <c r="A15" t="s">
        <v>1225</v>
      </c>
      <c r="B15">
        <v>5</v>
      </c>
    </row>
    <row r="16" spans="1:5">
      <c r="A16" t="s">
        <v>1226</v>
      </c>
      <c r="B16">
        <f>B14-B15</f>
        <v>25</v>
      </c>
    </row>
    <row r="20" spans="1:3">
      <c r="A20" t="s">
        <v>1166</v>
      </c>
      <c r="B20" t="s">
        <v>1155</v>
      </c>
      <c r="C20" t="s">
        <v>1156</v>
      </c>
    </row>
    <row r="21" spans="1:3">
      <c r="A21" t="s">
        <v>1158</v>
      </c>
      <c r="B21">
        <f>SUM('FEB STWO Watchbill'!AK6:AK64)</f>
        <v>280</v>
      </c>
      <c r="C21">
        <f>B21*'Spreadsheet Key'!A23</f>
        <v>6160</v>
      </c>
    </row>
    <row r="22" spans="1:3">
      <c r="A22" t="s">
        <v>1159</v>
      </c>
      <c r="B22">
        <f>SUM('FEB STWO Watchbill'!AL6:AL64)</f>
        <v>69</v>
      </c>
      <c r="C22">
        <f>B22*'Spreadsheet Key'!A24</f>
        <v>3726</v>
      </c>
    </row>
    <row r="23" spans="1:3">
      <c r="A23" t="s">
        <v>1160</v>
      </c>
      <c r="B23">
        <f>SUM('FEB STWO Watchbill'!AM6:AM64)</f>
        <v>66</v>
      </c>
      <c r="C23">
        <f>B23*'Spreadsheet Key'!A25</f>
        <v>4752</v>
      </c>
    </row>
    <row r="24" spans="1:3">
      <c r="A24" t="s">
        <v>1161</v>
      </c>
      <c r="B24">
        <f>SUM('FEB STWO Watchbill'!AN6:AN64)</f>
        <v>66</v>
      </c>
      <c r="C24">
        <f>B24*'Spreadsheet Key'!A26</f>
        <v>3696</v>
      </c>
    </row>
    <row r="25" spans="1:3">
      <c r="A25" t="s">
        <v>571</v>
      </c>
      <c r="B25">
        <f>SUM(B21:B24)</f>
        <v>481</v>
      </c>
      <c r="C25">
        <f>SUM(C21:C24)</f>
        <v>18334</v>
      </c>
    </row>
    <row r="26" spans="1:3">
      <c r="A26" t="s">
        <v>1167</v>
      </c>
      <c r="B26">
        <f>B25/B14</f>
        <v>16.033333333333335</v>
      </c>
      <c r="C26">
        <f>C25/$B14</f>
        <v>611.13333333333333</v>
      </c>
    </row>
    <row r="28" spans="1:3">
      <c r="A28" t="s">
        <v>1227</v>
      </c>
      <c r="B28" cm="1">
        <f t="array" ref="B28">SUM('FEB STWO Watchbill'!AI6:AI66*'FEB STWO Watchbill'!AJ6:AJ66)</f>
        <v>69</v>
      </c>
    </row>
    <row r="29" spans="1:3">
      <c r="A29" t="s">
        <v>1228</v>
      </c>
      <c r="B29">
        <f>B25-B28</f>
        <v>412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A4A0-078F-4B1D-B047-689A84C0608E}">
  <dimension ref="A1:BD73"/>
  <sheetViews>
    <sheetView zoomScale="85" zoomScaleNormal="85" workbookViewId="0">
      <pane xSplit="3" ySplit="3" topLeftCell="P39" activePane="bottomRight" state="frozen"/>
      <selection pane="bottomRight" activeCell="P39" sqref="P39"/>
      <selection pane="bottomLeft"/>
      <selection pane="topRight"/>
    </sheetView>
  </sheetViews>
  <sheetFormatPr defaultRowHeight="15"/>
  <cols>
    <col min="3" max="3" width="13.5703125" bestFit="1" customWidth="1"/>
  </cols>
  <sheetData>
    <row r="1" spans="1:35">
      <c r="A1" s="6204" t="s">
        <v>29</v>
      </c>
      <c r="B1" s="6205"/>
      <c r="C1" s="6205"/>
      <c r="D1" s="6147" t="s">
        <v>1229</v>
      </c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7"/>
      <c r="AF1" s="6147"/>
      <c r="AG1" s="6147"/>
      <c r="AH1" s="6148"/>
    </row>
    <row r="2" spans="1:35">
      <c r="A2" s="6206" t="s">
        <v>31</v>
      </c>
      <c r="B2" s="4304"/>
      <c r="C2" s="4304"/>
      <c r="D2" s="3588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588">
        <v>24</v>
      </c>
      <c r="AB2" s="3588">
        <v>25</v>
      </c>
      <c r="AC2" s="3588">
        <v>26</v>
      </c>
      <c r="AD2" s="3588">
        <v>27</v>
      </c>
      <c r="AE2" s="3588">
        <v>28</v>
      </c>
      <c r="AF2" s="3588">
        <v>29</v>
      </c>
      <c r="AG2" s="3588">
        <v>30</v>
      </c>
      <c r="AH2" s="2867">
        <v>31</v>
      </c>
    </row>
    <row r="3" spans="1:35">
      <c r="A3" s="6206" t="s">
        <v>32</v>
      </c>
      <c r="B3" s="4304"/>
      <c r="C3" s="4304"/>
      <c r="D3" s="1267" t="s">
        <v>36</v>
      </c>
      <c r="E3" s="1267" t="s">
        <v>36</v>
      </c>
      <c r="F3" s="3588" t="s">
        <v>37</v>
      </c>
      <c r="G3" s="2942" t="s">
        <v>33</v>
      </c>
      <c r="H3" s="2942" t="s">
        <v>34</v>
      </c>
      <c r="I3" s="3588" t="s">
        <v>33</v>
      </c>
      <c r="J3" s="3588" t="s">
        <v>35</v>
      </c>
      <c r="K3" s="1267" t="s">
        <v>36</v>
      </c>
      <c r="L3" s="1267" t="s">
        <v>36</v>
      </c>
      <c r="M3" s="3588" t="s">
        <v>37</v>
      </c>
      <c r="N3" s="2942" t="s">
        <v>33</v>
      </c>
      <c r="O3" s="2942" t="s">
        <v>34</v>
      </c>
      <c r="P3" s="3588" t="s">
        <v>33</v>
      </c>
      <c r="Q3" s="2948" t="s">
        <v>35</v>
      </c>
      <c r="R3" s="2946" t="s">
        <v>36</v>
      </c>
      <c r="S3" s="2946" t="s">
        <v>36</v>
      </c>
      <c r="T3" s="2948" t="s">
        <v>37</v>
      </c>
      <c r="U3" s="2942" t="s">
        <v>33</v>
      </c>
      <c r="V3" s="2942" t="s">
        <v>34</v>
      </c>
      <c r="W3" s="3588" t="s">
        <v>33</v>
      </c>
      <c r="X3" s="3588" t="s">
        <v>35</v>
      </c>
      <c r="Y3" s="1267" t="s">
        <v>36</v>
      </c>
      <c r="Z3" s="1267" t="s">
        <v>36</v>
      </c>
      <c r="AA3" s="3588" t="s">
        <v>37</v>
      </c>
      <c r="AB3" s="2942" t="s">
        <v>33</v>
      </c>
      <c r="AC3" s="2942" t="s">
        <v>34</v>
      </c>
      <c r="AD3" s="3588" t="s">
        <v>33</v>
      </c>
      <c r="AE3" s="3588" t="s">
        <v>35</v>
      </c>
      <c r="AF3" s="1267" t="s">
        <v>36</v>
      </c>
      <c r="AG3" s="1267" t="s">
        <v>36</v>
      </c>
      <c r="AH3" s="2867" t="s">
        <v>37</v>
      </c>
    </row>
    <row r="4" spans="1:35" ht="15.75">
      <c r="A4" s="6207" t="s">
        <v>38</v>
      </c>
      <c r="B4" s="6208"/>
      <c r="C4" s="6208"/>
      <c r="D4" s="779"/>
      <c r="E4" s="779"/>
      <c r="F4" s="779"/>
      <c r="G4" s="779"/>
      <c r="H4" s="779"/>
      <c r="I4" s="779"/>
      <c r="J4" s="779"/>
      <c r="K4" s="779"/>
      <c r="L4" s="779"/>
      <c r="M4" s="374"/>
      <c r="N4" s="374"/>
      <c r="O4" s="374"/>
      <c r="P4" s="930"/>
      <c r="Q4" s="2947"/>
      <c r="R4" s="2947"/>
      <c r="S4" s="2947"/>
      <c r="T4" s="2947"/>
      <c r="U4" s="2630"/>
      <c r="V4" s="374"/>
      <c r="W4" s="374"/>
      <c r="X4" s="374"/>
      <c r="Y4" s="374"/>
      <c r="Z4" s="374"/>
      <c r="AA4" s="374"/>
      <c r="AB4" s="374"/>
      <c r="AC4" s="374"/>
      <c r="AD4" s="374"/>
      <c r="AE4" s="374"/>
      <c r="AF4" s="374"/>
      <c r="AG4" s="374"/>
      <c r="AH4" s="374"/>
    </row>
    <row r="5" spans="1:35" ht="15.75" customHeight="1">
      <c r="A5" s="6211" t="s">
        <v>1171</v>
      </c>
      <c r="B5" s="6211"/>
      <c r="C5" s="6212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374"/>
      <c r="Y5" s="374"/>
      <c r="Z5" s="374"/>
      <c r="AA5" s="374"/>
      <c r="AB5" s="374"/>
      <c r="AC5" s="374"/>
      <c r="AD5" s="374"/>
      <c r="AE5" s="976"/>
      <c r="AF5" s="976"/>
      <c r="AG5" s="976"/>
      <c r="AH5" s="3063" t="s">
        <v>1230</v>
      </c>
    </row>
    <row r="6" spans="1:35">
      <c r="A6" s="4569" t="s">
        <v>1174</v>
      </c>
      <c r="B6" s="4310"/>
      <c r="C6" s="4310"/>
      <c r="D6" s="779"/>
      <c r="E6" s="779"/>
      <c r="F6" s="779"/>
      <c r="G6" s="779"/>
      <c r="H6" s="779"/>
      <c r="I6" s="779"/>
      <c r="J6" s="779"/>
      <c r="K6" s="779"/>
      <c r="L6" s="779"/>
      <c r="M6" s="374"/>
      <c r="N6" s="374"/>
      <c r="O6" s="374"/>
      <c r="P6" s="374"/>
      <c r="Q6" s="795"/>
      <c r="R6" s="795"/>
      <c r="S6" s="795"/>
      <c r="T6" s="795"/>
      <c r="U6" s="374"/>
      <c r="V6" s="374"/>
      <c r="W6" s="374"/>
      <c r="X6" s="374"/>
      <c r="Y6" s="374"/>
      <c r="Z6" s="374"/>
      <c r="AA6" s="374"/>
      <c r="AB6" s="374"/>
      <c r="AC6" s="374"/>
      <c r="AD6" s="374"/>
      <c r="AE6" s="374"/>
      <c r="AF6" s="6238" t="s">
        <v>1231</v>
      </c>
      <c r="AG6" s="6249"/>
      <c r="AH6" s="6250"/>
    </row>
    <row r="7" spans="1:35">
      <c r="A7" s="4618" t="s">
        <v>1176</v>
      </c>
      <c r="B7" s="4307"/>
      <c r="C7" s="4307"/>
      <c r="D7" s="779"/>
      <c r="E7" s="779"/>
      <c r="F7" s="374"/>
      <c r="G7" s="374"/>
      <c r="H7" s="779"/>
      <c r="I7" s="779"/>
      <c r="J7" s="779"/>
      <c r="K7" s="779"/>
      <c r="L7" s="779"/>
      <c r="M7" s="779"/>
      <c r="N7" s="380"/>
      <c r="O7" s="380"/>
      <c r="P7" s="374"/>
      <c r="Q7" s="374"/>
      <c r="R7" s="779"/>
      <c r="S7" s="779"/>
      <c r="T7" s="779"/>
      <c r="U7" s="779"/>
      <c r="V7" s="779"/>
      <c r="W7" s="779"/>
      <c r="X7" s="779"/>
      <c r="Y7" s="779"/>
      <c r="Z7" s="779"/>
      <c r="AA7" s="779"/>
      <c r="AB7" s="779"/>
      <c r="AC7" s="380"/>
      <c r="AD7" s="380"/>
      <c r="AE7" s="779"/>
      <c r="AF7" s="779"/>
      <c r="AG7" s="779"/>
      <c r="AH7" s="804"/>
    </row>
    <row r="8" spans="1:35">
      <c r="A8" s="4557" t="s">
        <v>1177</v>
      </c>
      <c r="B8" s="4558"/>
      <c r="C8" s="4558"/>
      <c r="D8" s="779"/>
      <c r="E8" s="779"/>
      <c r="F8" s="779"/>
      <c r="G8" s="779"/>
      <c r="H8" s="779"/>
      <c r="I8" s="779"/>
      <c r="J8" s="779"/>
      <c r="K8" s="779"/>
      <c r="L8" s="779"/>
      <c r="M8" s="374"/>
      <c r="N8" s="374"/>
      <c r="O8" s="374"/>
      <c r="P8" s="374"/>
      <c r="Q8" s="374"/>
      <c r="R8" s="374"/>
      <c r="S8" s="374"/>
      <c r="T8" s="374"/>
      <c r="U8" s="374"/>
      <c r="V8" s="374"/>
      <c r="W8" s="374"/>
      <c r="X8" s="374"/>
      <c r="Y8" s="374"/>
      <c r="Z8" s="374"/>
      <c r="AA8" s="374"/>
      <c r="AB8" s="374"/>
      <c r="AC8" s="374"/>
      <c r="AD8" s="374"/>
      <c r="AE8" s="374"/>
      <c r="AF8" s="779"/>
      <c r="AG8" s="779"/>
      <c r="AH8" s="804"/>
    </row>
    <row r="9" spans="1:35">
      <c r="A9" s="5958" t="s">
        <v>225</v>
      </c>
      <c r="B9" s="4306"/>
      <c r="C9" s="4306"/>
      <c r="D9" s="380"/>
      <c r="E9" s="380"/>
      <c r="F9" s="380"/>
      <c r="G9" s="779"/>
      <c r="H9" s="779"/>
      <c r="I9" s="779"/>
      <c r="J9" s="779"/>
      <c r="K9" s="779"/>
      <c r="L9" s="779"/>
      <c r="M9" s="779"/>
      <c r="N9" s="380"/>
      <c r="O9" s="380"/>
      <c r="P9" s="779"/>
      <c r="Q9" s="779"/>
      <c r="R9" s="779"/>
      <c r="S9" s="779"/>
      <c r="T9" s="779"/>
      <c r="U9" s="779"/>
      <c r="V9" s="779"/>
      <c r="W9" s="779"/>
      <c r="X9" s="779"/>
      <c r="Y9" s="2940"/>
      <c r="Z9" s="779"/>
      <c r="AA9" s="779"/>
      <c r="AB9" s="779"/>
      <c r="AC9" s="380"/>
      <c r="AD9" s="380"/>
      <c r="AE9" s="779"/>
      <c r="AF9" s="779"/>
      <c r="AG9" s="779"/>
      <c r="AH9" s="804"/>
    </row>
    <row r="10" spans="1:35">
      <c r="A10" s="5960" t="s">
        <v>272</v>
      </c>
      <c r="B10" s="5961"/>
      <c r="C10" s="5961"/>
      <c r="D10" s="779"/>
      <c r="E10" s="779"/>
      <c r="F10" s="779"/>
      <c r="G10" s="779"/>
      <c r="H10" s="779"/>
      <c r="I10" s="779"/>
      <c r="J10" s="779"/>
      <c r="K10" s="779"/>
      <c r="L10" s="779"/>
      <c r="M10" s="374"/>
      <c r="N10" s="374"/>
      <c r="O10" s="374"/>
      <c r="P10" s="374"/>
      <c r="Q10" s="374"/>
      <c r="R10" s="374"/>
      <c r="S10" s="374"/>
      <c r="T10" s="374"/>
      <c r="U10" s="374"/>
      <c r="V10" s="374"/>
      <c r="W10" s="374"/>
      <c r="X10" s="374"/>
      <c r="Y10" s="374"/>
      <c r="Z10" s="374"/>
      <c r="AA10" s="374"/>
      <c r="AB10" s="374"/>
      <c r="AC10" s="374"/>
      <c r="AD10" s="374"/>
      <c r="AE10" s="374"/>
      <c r="AF10" s="779"/>
      <c r="AG10" s="779"/>
      <c r="AH10" s="804"/>
    </row>
    <row r="11" spans="1:35">
      <c r="A11" s="6200" t="s">
        <v>1179</v>
      </c>
      <c r="B11" s="6201"/>
      <c r="C11" s="6202"/>
      <c r="D11" s="779"/>
      <c r="E11" s="779"/>
      <c r="F11" s="779"/>
      <c r="G11" s="779"/>
      <c r="H11" s="779"/>
      <c r="I11" s="779"/>
      <c r="J11" s="779"/>
      <c r="K11" s="779"/>
      <c r="L11" s="779"/>
      <c r="M11" s="374"/>
      <c r="N11" s="374"/>
      <c r="O11" s="374"/>
      <c r="P11" s="374"/>
      <c r="Q11" s="374"/>
      <c r="R11" s="374"/>
      <c r="S11" s="374"/>
      <c r="T11" s="374"/>
      <c r="U11" s="374"/>
      <c r="V11" s="374"/>
      <c r="W11" s="374"/>
      <c r="X11" s="374"/>
      <c r="Y11" s="374"/>
      <c r="Z11" s="374"/>
      <c r="AA11" s="374"/>
      <c r="AB11" s="374"/>
      <c r="AC11" s="374"/>
      <c r="AD11" s="374"/>
      <c r="AE11" s="374"/>
      <c r="AF11" s="779"/>
      <c r="AG11" s="779"/>
      <c r="AH11" s="804"/>
    </row>
    <row r="12" spans="1:35" ht="15.75">
      <c r="A12" s="5949" t="s">
        <v>60</v>
      </c>
      <c r="B12" s="4850"/>
      <c r="C12" s="4850"/>
      <c r="D12" s="779"/>
      <c r="E12" s="779"/>
      <c r="F12" s="779"/>
      <c r="G12" s="779"/>
      <c r="H12" s="779"/>
      <c r="I12" s="779"/>
      <c r="J12" s="779"/>
      <c r="K12" s="779"/>
      <c r="L12" s="779"/>
      <c r="M12" s="374"/>
      <c r="N12" s="374"/>
      <c r="O12" s="374"/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374"/>
      <c r="AF12" s="779"/>
      <c r="AG12" s="779"/>
      <c r="AH12" s="804"/>
    </row>
    <row r="13" spans="1:35" ht="15.75">
      <c r="A13" s="5951" t="s">
        <v>593</v>
      </c>
      <c r="B13" s="5952"/>
      <c r="C13" s="5952"/>
      <c r="D13" s="779"/>
      <c r="E13" s="779"/>
      <c r="F13" s="779"/>
      <c r="G13" s="779"/>
      <c r="H13" s="779"/>
      <c r="I13" s="779"/>
      <c r="J13" s="779"/>
      <c r="K13" s="779"/>
      <c r="L13" s="779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797"/>
      <c r="AC13" s="797"/>
      <c r="AD13" s="797"/>
      <c r="AE13" s="374"/>
      <c r="AF13" s="779"/>
      <c r="AG13" s="779"/>
      <c r="AH13" s="804"/>
    </row>
    <row r="14" spans="1:35">
      <c r="A14" s="5287" t="s">
        <v>63</v>
      </c>
      <c r="B14" s="4313"/>
      <c r="C14" s="4313"/>
      <c r="D14" s="779"/>
      <c r="E14" s="779"/>
      <c r="F14" s="374"/>
      <c r="G14" s="374"/>
      <c r="H14" s="779"/>
      <c r="I14" s="779"/>
      <c r="J14" s="779"/>
      <c r="K14" s="779"/>
      <c r="L14" s="779"/>
      <c r="M14" s="779"/>
      <c r="N14" s="380"/>
      <c r="O14" s="380"/>
      <c r="P14" s="374"/>
      <c r="Q14" s="2939"/>
      <c r="R14" s="2939"/>
      <c r="S14" s="2939"/>
      <c r="T14" s="779"/>
      <c r="U14" s="779"/>
      <c r="V14" s="779"/>
      <c r="W14" s="779"/>
      <c r="X14" s="779"/>
      <c r="Y14" s="779"/>
      <c r="Z14" s="779"/>
      <c r="AA14" s="847"/>
      <c r="AB14" s="4313" t="s">
        <v>1232</v>
      </c>
      <c r="AC14" s="4313"/>
      <c r="AD14" s="4313"/>
      <c r="AE14" s="822"/>
      <c r="AF14" s="779"/>
      <c r="AG14" s="779"/>
      <c r="AH14" s="804"/>
    </row>
    <row r="15" spans="1:35">
      <c r="A15" s="5968" t="s">
        <v>990</v>
      </c>
      <c r="B15" s="5969"/>
      <c r="C15" s="5969"/>
      <c r="D15" s="779"/>
      <c r="E15" s="779"/>
      <c r="R15" s="374"/>
      <c r="S15" s="374"/>
      <c r="T15" s="374"/>
      <c r="U15" s="374"/>
      <c r="V15" s="374"/>
      <c r="W15" s="374"/>
      <c r="X15" s="374"/>
      <c r="Y15" s="374"/>
      <c r="Z15" s="374"/>
      <c r="AA15" s="374"/>
      <c r="AB15" s="795"/>
      <c r="AC15" s="795"/>
      <c r="AD15" s="795"/>
      <c r="AE15" s="374"/>
      <c r="AF15" s="779"/>
      <c r="AG15" s="779"/>
      <c r="AH15" s="804"/>
      <c r="AI15" s="2576"/>
    </row>
    <row r="16" spans="1:35">
      <c r="A16" s="4620" t="s">
        <v>54</v>
      </c>
      <c r="B16" s="4621"/>
      <c r="C16" s="4621"/>
      <c r="D16" s="779"/>
      <c r="E16" s="779"/>
      <c r="F16" s="374"/>
      <c r="G16" s="374"/>
      <c r="H16" s="779"/>
      <c r="I16" s="779"/>
      <c r="J16" s="779"/>
      <c r="K16" s="779"/>
      <c r="L16" s="779"/>
      <c r="M16" s="779"/>
      <c r="N16" s="380"/>
      <c r="O16" s="380"/>
      <c r="P16" s="374"/>
      <c r="Q16" s="374"/>
      <c r="R16" s="779"/>
      <c r="S16" s="779"/>
      <c r="T16" s="779"/>
      <c r="U16" s="779"/>
      <c r="V16" s="779"/>
      <c r="W16" s="779"/>
      <c r="X16" s="779"/>
      <c r="Y16" s="779"/>
      <c r="Z16" s="779"/>
      <c r="AA16" s="779"/>
      <c r="AB16" s="779"/>
      <c r="AC16" s="380"/>
      <c r="AD16" s="380"/>
      <c r="AE16" s="779"/>
      <c r="AF16" s="779"/>
      <c r="AG16" s="779"/>
      <c r="AH16" s="804"/>
    </row>
    <row r="17" spans="1:34">
      <c r="A17" s="4631" t="s">
        <v>171</v>
      </c>
      <c r="B17" s="4632"/>
      <c r="C17" s="4632"/>
      <c r="D17" s="779"/>
      <c r="E17" s="779"/>
      <c r="F17" s="374"/>
      <c r="G17" s="374"/>
      <c r="H17" s="779"/>
      <c r="I17" s="779"/>
      <c r="J17" s="779"/>
      <c r="K17" s="779"/>
      <c r="L17" s="779"/>
      <c r="M17" s="779"/>
      <c r="N17" s="380"/>
      <c r="O17" s="380"/>
      <c r="P17" s="374"/>
      <c r="Q17" s="374"/>
      <c r="R17" s="779"/>
      <c r="S17" s="779"/>
      <c r="T17" s="779"/>
      <c r="U17" s="779"/>
      <c r="V17" s="779"/>
      <c r="W17" s="779"/>
      <c r="X17" s="779"/>
      <c r="Y17" s="779"/>
      <c r="Z17" s="2941"/>
      <c r="AA17" s="779"/>
      <c r="AB17" s="779"/>
      <c r="AC17" s="380"/>
      <c r="AD17" s="380"/>
      <c r="AE17" s="779"/>
      <c r="AF17" s="779"/>
      <c r="AG17" s="779"/>
      <c r="AH17" s="804"/>
    </row>
    <row r="18" spans="1:34">
      <c r="A18" s="5972" t="s">
        <v>520</v>
      </c>
      <c r="B18" s="5795"/>
      <c r="C18" s="5795"/>
      <c r="D18" s="779"/>
      <c r="E18" s="779"/>
      <c r="R18" s="374"/>
      <c r="S18" s="374"/>
      <c r="T18" s="374"/>
      <c r="U18" s="797"/>
      <c r="V18" s="797"/>
      <c r="W18" s="797"/>
      <c r="X18" s="374"/>
      <c r="Y18" s="374"/>
      <c r="Z18" s="374"/>
      <c r="AA18" s="374"/>
      <c r="AB18" s="374"/>
      <c r="AC18" s="374"/>
      <c r="AD18" s="374"/>
      <c r="AE18" s="374"/>
      <c r="AF18" s="779"/>
      <c r="AG18" s="779"/>
      <c r="AH18" s="804"/>
    </row>
    <row r="19" spans="1:34">
      <c r="A19" s="4827" t="s">
        <v>64</v>
      </c>
      <c r="B19" s="4827"/>
      <c r="C19" s="4827"/>
      <c r="D19" s="779"/>
      <c r="E19" s="822"/>
      <c r="F19" s="374"/>
      <c r="G19" s="930"/>
      <c r="H19" s="783"/>
      <c r="I19" s="2287"/>
      <c r="J19" s="2287"/>
      <c r="K19" s="822"/>
      <c r="L19" s="822"/>
      <c r="M19" s="779"/>
      <c r="N19" s="380"/>
      <c r="O19" s="852"/>
      <c r="P19" s="797"/>
      <c r="Q19" s="797"/>
      <c r="R19" s="780"/>
      <c r="S19" s="779"/>
      <c r="T19" s="847"/>
      <c r="U19" s="6099" t="s">
        <v>1233</v>
      </c>
      <c r="V19" s="6099"/>
      <c r="W19" s="6099"/>
      <c r="X19" s="784"/>
      <c r="Y19" s="779"/>
      <c r="Z19" s="779"/>
      <c r="AA19" s="779"/>
      <c r="AB19" s="779"/>
      <c r="AC19" s="380"/>
      <c r="AD19" s="380"/>
      <c r="AE19" s="779"/>
      <c r="AF19" s="779"/>
      <c r="AG19" s="932"/>
      <c r="AH19" s="1435"/>
    </row>
    <row r="20" spans="1:34">
      <c r="A20" s="4630" t="s">
        <v>993</v>
      </c>
      <c r="B20" s="4314"/>
      <c r="C20" s="4314"/>
      <c r="D20" s="779"/>
      <c r="E20" s="779"/>
      <c r="F20" s="374"/>
      <c r="G20" s="374"/>
      <c r="H20" s="779"/>
      <c r="I20" s="779"/>
      <c r="J20" s="779"/>
      <c r="K20" s="779"/>
      <c r="L20" s="779"/>
      <c r="M20" s="779"/>
      <c r="N20" s="380"/>
      <c r="O20" s="380"/>
      <c r="P20" s="374"/>
      <c r="Q20" s="374"/>
      <c r="R20" s="779"/>
      <c r="S20" s="780"/>
      <c r="T20" s="779"/>
      <c r="U20" s="778"/>
      <c r="V20" s="778"/>
      <c r="W20" s="778"/>
      <c r="X20" s="779"/>
      <c r="Y20" s="779"/>
      <c r="Z20" s="779"/>
      <c r="AA20" s="779"/>
      <c r="AB20" s="779"/>
      <c r="AC20" s="380"/>
      <c r="AD20" s="380"/>
      <c r="AE20" s="779"/>
      <c r="AF20" s="779"/>
      <c r="AG20" s="779"/>
      <c r="AH20" s="804"/>
    </row>
    <row r="21" spans="1:34">
      <c r="A21" s="5964" t="s">
        <v>540</v>
      </c>
      <c r="B21" s="4315"/>
      <c r="C21" s="4315"/>
      <c r="D21" s="779"/>
      <c r="E21" s="779"/>
      <c r="F21" s="6164" t="s">
        <v>1234</v>
      </c>
      <c r="G21" s="5569"/>
      <c r="H21" s="5569"/>
      <c r="I21" s="5569"/>
      <c r="J21" s="6165"/>
      <c r="K21" s="779"/>
      <c r="L21" s="779"/>
      <c r="N21" s="2949" t="s">
        <v>1235</v>
      </c>
      <c r="O21" s="374"/>
      <c r="P21" s="374"/>
      <c r="Q21" s="374"/>
      <c r="R21" s="930"/>
      <c r="S21" s="3702"/>
      <c r="T21" s="2287"/>
      <c r="U21" s="2287"/>
      <c r="V21" s="2287"/>
      <c r="W21" s="2287"/>
      <c r="X21" s="2287"/>
      <c r="Y21" s="374"/>
      <c r="Z21" s="374"/>
      <c r="AA21" s="6164" t="s">
        <v>1236</v>
      </c>
      <c r="AB21" s="5569"/>
      <c r="AC21" s="5569"/>
      <c r="AD21" s="5569"/>
      <c r="AE21" s="6165"/>
      <c r="AF21" s="779"/>
      <c r="AG21" s="779"/>
      <c r="AH21" s="804"/>
    </row>
    <row r="22" spans="1:34">
      <c r="A22" s="4399" t="s">
        <v>541</v>
      </c>
      <c r="B22" s="4316"/>
      <c r="C22" s="4316"/>
      <c r="D22" s="779"/>
      <c r="E22" s="779"/>
      <c r="F22" s="779"/>
      <c r="G22" s="779"/>
      <c r="H22" s="779"/>
      <c r="I22" s="779"/>
      <c r="J22" s="779"/>
      <c r="K22" s="779"/>
      <c r="L22" s="779"/>
      <c r="M22" s="779"/>
      <c r="N22" s="779"/>
      <c r="O22" s="779"/>
      <c r="P22" s="779"/>
      <c r="Q22" s="779"/>
      <c r="R22" s="847"/>
      <c r="S22" s="2466"/>
      <c r="T22" s="2287"/>
      <c r="U22" s="2287"/>
      <c r="V22" s="2287"/>
      <c r="W22" s="2287"/>
      <c r="X22" s="2287"/>
      <c r="Y22" s="822"/>
      <c r="Z22" s="779"/>
      <c r="AA22" s="779"/>
      <c r="AB22" s="779"/>
      <c r="AC22" s="779"/>
      <c r="AD22" s="779"/>
      <c r="AE22" s="779"/>
      <c r="AF22" s="779"/>
      <c r="AG22" s="779"/>
      <c r="AH22" s="804"/>
    </row>
    <row r="23" spans="1:34">
      <c r="A23" s="4629" t="s">
        <v>322</v>
      </c>
      <c r="B23" s="4318"/>
      <c r="C23" s="4318"/>
      <c r="D23" s="779"/>
      <c r="E23" s="779"/>
      <c r="F23" s="779"/>
      <c r="G23" s="779"/>
      <c r="H23" s="779"/>
      <c r="I23" s="779"/>
      <c r="J23" s="779"/>
      <c r="K23" s="779"/>
      <c r="L23" s="779"/>
      <c r="M23" s="779"/>
      <c r="N23" s="779"/>
      <c r="O23" s="779"/>
      <c r="P23" s="779"/>
      <c r="Q23" s="779"/>
      <c r="R23" s="779"/>
      <c r="S23" s="778"/>
      <c r="T23" s="778"/>
      <c r="U23" s="778"/>
      <c r="V23" s="778"/>
      <c r="W23" s="778"/>
      <c r="X23" s="778"/>
      <c r="Y23" s="779"/>
      <c r="Z23" s="779"/>
      <c r="AA23" s="779"/>
      <c r="AB23" s="779"/>
      <c r="AC23" s="779"/>
      <c r="AD23" s="779"/>
      <c r="AE23" s="779"/>
      <c r="AF23" s="779"/>
      <c r="AG23" s="779"/>
      <c r="AH23" s="804"/>
    </row>
    <row r="24" spans="1:34">
      <c r="A24" s="4356" t="s">
        <v>1070</v>
      </c>
      <c r="B24" s="4626"/>
      <c r="C24" s="4602"/>
      <c r="D24" s="779"/>
      <c r="E24" s="779"/>
      <c r="F24" s="779"/>
      <c r="G24" s="779"/>
      <c r="H24" s="779"/>
      <c r="I24" s="779"/>
      <c r="J24" s="779"/>
      <c r="K24" s="779"/>
      <c r="L24" s="779"/>
      <c r="M24" s="779"/>
      <c r="N24" s="779"/>
      <c r="O24" s="779"/>
      <c r="P24" s="779"/>
      <c r="Q24" s="779"/>
      <c r="R24" s="779"/>
      <c r="S24" s="779"/>
      <c r="T24" s="779"/>
      <c r="U24" s="779"/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  <c r="AF24" s="779"/>
      <c r="AG24" s="779"/>
      <c r="AH24" s="2957" t="s">
        <v>8</v>
      </c>
    </row>
    <row r="25" spans="1:34">
      <c r="A25" s="5884" t="s">
        <v>482</v>
      </c>
      <c r="B25" s="5885"/>
      <c r="C25" s="5885"/>
      <c r="D25" s="2879"/>
      <c r="E25" s="2931"/>
      <c r="F25" s="2931"/>
      <c r="G25" s="2931"/>
      <c r="H25" s="2931"/>
      <c r="I25" s="2931"/>
      <c r="J25" s="2931"/>
      <c r="K25" s="2931"/>
      <c r="L25" s="2931"/>
      <c r="M25" s="2931"/>
      <c r="N25" s="2931"/>
      <c r="O25" s="2931"/>
      <c r="P25" s="2931"/>
      <c r="Q25" s="2931"/>
      <c r="R25" s="782"/>
      <c r="S25" s="782"/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AF25" s="782"/>
      <c r="AG25" s="782"/>
      <c r="AH25" s="807"/>
    </row>
    <row r="26" spans="1:34">
      <c r="A26" s="2958" t="s">
        <v>66</v>
      </c>
      <c r="B26" s="266" t="s">
        <v>67</v>
      </c>
      <c r="C26" s="2480" t="s">
        <v>458</v>
      </c>
      <c r="D26" s="2959"/>
      <c r="E26" s="2959"/>
      <c r="F26" s="6164" t="s">
        <v>1234</v>
      </c>
      <c r="G26" s="5569"/>
      <c r="H26" s="5569"/>
      <c r="I26" s="5569"/>
      <c r="J26" s="6165"/>
      <c r="K26" s="2959"/>
      <c r="L26" s="2959"/>
      <c r="M26" s="2959"/>
      <c r="N26" s="2959"/>
      <c r="O26" s="2959"/>
      <c r="P26" s="2959"/>
      <c r="Q26" s="2959"/>
      <c r="R26" s="793"/>
      <c r="S26" s="778"/>
      <c r="T26" s="778"/>
      <c r="U26" s="778"/>
      <c r="V26" s="778"/>
      <c r="W26" s="778"/>
      <c r="X26" s="778"/>
      <c r="Y26" s="778"/>
      <c r="Z26" s="778"/>
      <c r="AA26" s="778"/>
      <c r="AB26" s="778"/>
      <c r="AC26" s="778"/>
      <c r="AD26" s="778"/>
      <c r="AE26" s="3021" t="s">
        <v>1025</v>
      </c>
      <c r="AF26" s="6238" t="s">
        <v>1231</v>
      </c>
      <c r="AG26" s="6239"/>
      <c r="AH26" s="3063" t="s">
        <v>1230</v>
      </c>
    </row>
    <row r="27" spans="1:34" s="1704" customFormat="1" ht="18.75" customHeight="1">
      <c r="A27" s="64" t="s">
        <v>73</v>
      </c>
      <c r="B27" s="56" t="s">
        <v>67</v>
      </c>
      <c r="C27" s="522" t="s">
        <v>714</v>
      </c>
      <c r="D27" s="2287"/>
      <c r="E27" s="2894"/>
      <c r="F27" s="6164" t="s">
        <v>1234</v>
      </c>
      <c r="G27" s="5569"/>
      <c r="H27" s="5569"/>
      <c r="I27" s="5569"/>
      <c r="J27" s="6165"/>
      <c r="K27" s="2894"/>
      <c r="L27" s="2894"/>
      <c r="M27" s="2894"/>
      <c r="N27" s="2894"/>
      <c r="O27" s="2894"/>
      <c r="P27" s="2894"/>
      <c r="Q27" s="2894"/>
      <c r="R27" s="3604"/>
      <c r="S27" s="3685"/>
      <c r="T27" s="3021" t="s">
        <v>1025</v>
      </c>
      <c r="U27" s="6245" t="s">
        <v>1233</v>
      </c>
      <c r="V27" s="6245"/>
      <c r="W27" s="6245"/>
      <c r="X27" s="3021" t="s">
        <v>1025</v>
      </c>
      <c r="Y27" s="3685"/>
      <c r="Z27" s="3685"/>
      <c r="AA27" s="3685"/>
      <c r="AB27" s="3685"/>
      <c r="AC27" s="3685"/>
      <c r="AD27" s="3685"/>
      <c r="AE27" s="1646"/>
      <c r="AF27" s="1646"/>
      <c r="AG27" s="321"/>
      <c r="AH27" s="3104" t="s">
        <v>482</v>
      </c>
    </row>
    <row r="28" spans="1:34" s="1704" customFormat="1" ht="18.75" customHeight="1">
      <c r="A28" s="926" t="s">
        <v>599</v>
      </c>
      <c r="B28" s="2934" t="s">
        <v>543</v>
      </c>
      <c r="C28" s="2935" t="s">
        <v>544</v>
      </c>
      <c r="D28" s="2289"/>
      <c r="E28" s="2289"/>
      <c r="F28" s="2289"/>
      <c r="G28" s="2289"/>
      <c r="H28" s="2289"/>
      <c r="I28" s="2289"/>
      <c r="J28" s="2289"/>
      <c r="K28" s="2289"/>
      <c r="L28" s="2289"/>
      <c r="M28" s="2289"/>
      <c r="N28" s="2289"/>
      <c r="O28" s="2289"/>
      <c r="P28" s="2289"/>
      <c r="Q28" s="2289"/>
      <c r="R28" s="1985"/>
      <c r="S28" s="1646"/>
      <c r="T28" s="1646"/>
      <c r="U28" s="1646"/>
      <c r="V28" s="1646"/>
      <c r="W28" s="1646"/>
      <c r="X28" s="1646"/>
      <c r="Y28" s="1646"/>
      <c r="Z28" s="1646"/>
      <c r="AA28" s="1646"/>
      <c r="AB28" s="1646"/>
      <c r="AC28" s="1646"/>
      <c r="AD28" s="1646"/>
      <c r="AE28" s="1646"/>
      <c r="AF28" s="1646"/>
      <c r="AG28" s="321"/>
      <c r="AH28" s="322"/>
    </row>
    <row r="29" spans="1:34">
      <c r="A29" s="6181" t="s">
        <v>84</v>
      </c>
      <c r="B29" s="2936" t="s">
        <v>85</v>
      </c>
      <c r="C29" s="2936" t="s">
        <v>716</v>
      </c>
      <c r="D29" s="1765"/>
      <c r="E29" s="1765"/>
      <c r="F29" s="1765"/>
      <c r="G29" s="1765"/>
      <c r="H29" s="1765"/>
      <c r="I29" s="1765"/>
      <c r="J29" s="1765"/>
      <c r="K29" s="1765"/>
      <c r="L29" s="1765"/>
      <c r="M29" s="1765"/>
      <c r="N29" s="1909"/>
      <c r="O29" s="1909"/>
      <c r="P29" s="1765"/>
      <c r="Q29" s="1765"/>
      <c r="R29" s="1765"/>
      <c r="S29" s="3020"/>
      <c r="T29" s="1765"/>
      <c r="U29" s="1765"/>
      <c r="V29" s="1765"/>
      <c r="W29" s="1765"/>
      <c r="X29" s="1765"/>
      <c r="Y29" s="1765"/>
      <c r="Z29" s="1765"/>
      <c r="AA29" s="1765"/>
      <c r="AB29" s="1765"/>
      <c r="AC29" s="1765"/>
      <c r="AD29" s="1765"/>
      <c r="AE29" s="1765"/>
      <c r="AF29" s="1765"/>
      <c r="AG29" s="2937"/>
      <c r="AH29" s="1365"/>
    </row>
    <row r="30" spans="1:34">
      <c r="A30" s="6182"/>
      <c r="B30" s="816" t="s">
        <v>283</v>
      </c>
      <c r="C30" s="815" t="s">
        <v>1187</v>
      </c>
      <c r="D30" s="2019"/>
      <c r="E30" s="939"/>
      <c r="F30" s="939"/>
      <c r="G30" s="939"/>
      <c r="H30" s="939"/>
      <c r="I30" s="939"/>
      <c r="J30" s="939"/>
      <c r="K30" s="939"/>
      <c r="L30" s="939"/>
      <c r="M30" s="939"/>
      <c r="N30" s="797"/>
      <c r="O30" s="797"/>
      <c r="P30" s="939"/>
      <c r="Q30" s="939"/>
      <c r="R30" s="939"/>
      <c r="S30" s="2944"/>
      <c r="T30" s="939"/>
      <c r="U30" s="939"/>
      <c r="V30" s="939"/>
      <c r="W30" s="939"/>
      <c r="X30" s="939"/>
      <c r="Y30" s="939"/>
      <c r="Z30" s="939"/>
      <c r="AA30" s="939"/>
      <c r="AB30" s="939"/>
      <c r="AC30" s="939"/>
      <c r="AD30" s="939"/>
      <c r="AE30" s="939"/>
      <c r="AF30" s="2474"/>
      <c r="AG30" s="780"/>
      <c r="AH30" s="780"/>
    </row>
    <row r="31" spans="1:34">
      <c r="A31" s="6088" t="s">
        <v>92</v>
      </c>
      <c r="B31" s="1225" t="s">
        <v>561</v>
      </c>
      <c r="C31" s="1226" t="s">
        <v>718</v>
      </c>
      <c r="D31" s="2013"/>
      <c r="E31" s="961"/>
      <c r="F31" s="6190" t="s">
        <v>1234</v>
      </c>
      <c r="G31" s="6190"/>
      <c r="H31" s="6190"/>
      <c r="I31" s="6190"/>
      <c r="J31" s="6190"/>
      <c r="K31" s="961"/>
      <c r="L31" s="961"/>
      <c r="M31" s="961"/>
      <c r="N31" s="425"/>
      <c r="O31" s="425"/>
      <c r="P31" s="961"/>
      <c r="Q31" s="961"/>
      <c r="R31" s="961"/>
      <c r="S31" s="961"/>
      <c r="T31" s="425"/>
      <c r="U31" s="425"/>
      <c r="V31" s="961"/>
      <c r="W31" s="961"/>
      <c r="X31" s="961"/>
      <c r="Y31" s="961"/>
      <c r="Z31" s="3023" t="s">
        <v>1025</v>
      </c>
      <c r="AA31" s="6224" t="s">
        <v>1237</v>
      </c>
      <c r="AB31" s="6224"/>
      <c r="AC31" s="6224"/>
      <c r="AD31" s="6224"/>
      <c r="AE31" s="6224"/>
      <c r="AF31" s="3105" t="s">
        <v>1025</v>
      </c>
      <c r="AG31" s="785"/>
      <c r="AH31" s="1467"/>
    </row>
    <row r="32" spans="1:34">
      <c r="A32" s="6083"/>
      <c r="B32" s="64" t="s">
        <v>326</v>
      </c>
      <c r="C32" s="63" t="s">
        <v>327</v>
      </c>
      <c r="D32" s="822"/>
      <c r="E32" s="779"/>
      <c r="F32" s="6190" t="s">
        <v>1234</v>
      </c>
      <c r="G32" s="6190"/>
      <c r="H32" s="6190"/>
      <c r="I32" s="6190"/>
      <c r="J32" s="6190"/>
      <c r="K32" s="779"/>
      <c r="L32" s="779"/>
      <c r="M32" s="779"/>
      <c r="N32" s="779"/>
      <c r="O32" s="779"/>
      <c r="P32" s="4463" t="s">
        <v>1238</v>
      </c>
      <c r="Q32" s="4413"/>
      <c r="R32" s="4413"/>
      <c r="S32" s="4414"/>
      <c r="T32" s="779"/>
      <c r="U32" s="779"/>
      <c r="V32" s="779"/>
      <c r="W32" s="779"/>
      <c r="X32" s="779"/>
      <c r="Y32" s="779"/>
      <c r="Z32" s="3010" t="s">
        <v>1025</v>
      </c>
      <c r="AA32" s="6190" t="s">
        <v>1237</v>
      </c>
      <c r="AB32" s="6190"/>
      <c r="AC32" s="6190"/>
      <c r="AD32" s="6190"/>
      <c r="AE32" s="6190"/>
      <c r="AF32" s="3010" t="s">
        <v>1025</v>
      </c>
      <c r="AG32" s="779"/>
      <c r="AH32" s="804"/>
    </row>
    <row r="33" spans="1:34">
      <c r="A33" s="6083"/>
      <c r="B33" s="64" t="s">
        <v>606</v>
      </c>
      <c r="C33" s="63" t="s">
        <v>98</v>
      </c>
      <c r="D33" s="822"/>
      <c r="E33" s="779"/>
      <c r="F33" s="6190" t="s">
        <v>1234</v>
      </c>
      <c r="G33" s="6190"/>
      <c r="H33" s="6190"/>
      <c r="I33" s="6190"/>
      <c r="J33" s="6190"/>
      <c r="K33" s="779"/>
      <c r="L33" s="779"/>
      <c r="M33" s="779"/>
      <c r="N33" s="779"/>
      <c r="O33" s="779"/>
      <c r="P33" s="779"/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3021" t="s">
        <v>1025</v>
      </c>
      <c r="AF33" s="6238" t="s">
        <v>1231</v>
      </c>
      <c r="AG33" s="6239"/>
      <c r="AH33" s="3021" t="s">
        <v>1025</v>
      </c>
    </row>
    <row r="34" spans="1:34">
      <c r="A34" s="6083"/>
      <c r="B34" s="64" t="s">
        <v>97</v>
      </c>
      <c r="C34" s="63" t="s">
        <v>1239</v>
      </c>
      <c r="D34" s="3081"/>
      <c r="E34" s="2459"/>
      <c r="F34" s="2459"/>
      <c r="G34" s="2459"/>
      <c r="H34" s="2459"/>
      <c r="I34" s="2459"/>
      <c r="J34" s="2459"/>
      <c r="K34" s="2459"/>
      <c r="L34" s="2459"/>
      <c r="M34" s="2459"/>
      <c r="N34" s="2459"/>
      <c r="O34" s="2459"/>
      <c r="P34" s="2459"/>
      <c r="Q34" s="2459"/>
      <c r="R34" s="2459"/>
      <c r="S34" s="2459"/>
      <c r="T34" s="2459"/>
      <c r="U34" s="2459"/>
      <c r="V34" s="2459"/>
      <c r="W34" s="2459"/>
      <c r="X34" s="2459"/>
      <c r="Y34" s="2459"/>
      <c r="Z34" s="2459"/>
      <c r="AA34" s="2459"/>
      <c r="AB34" s="2459"/>
      <c r="AC34" s="2459"/>
      <c r="AD34" s="2459"/>
      <c r="AE34" s="2459"/>
      <c r="AF34" s="2459"/>
      <c r="AG34" s="2459"/>
      <c r="AH34" s="3088"/>
    </row>
    <row r="35" spans="1:34">
      <c r="A35" s="6084"/>
      <c r="B35" s="3085" t="s">
        <v>1240</v>
      </c>
      <c r="C35" s="324" t="s">
        <v>1241</v>
      </c>
      <c r="D35" s="3143"/>
      <c r="E35" s="3144"/>
      <c r="F35" s="3144"/>
      <c r="G35" s="3144"/>
      <c r="H35" s="3144"/>
      <c r="I35" s="3144"/>
      <c r="J35" s="3144"/>
      <c r="K35" s="3144"/>
      <c r="L35" s="3144"/>
      <c r="M35" s="3145"/>
      <c r="N35" s="3145"/>
      <c r="O35" s="3145"/>
      <c r="P35" s="3145"/>
      <c r="Q35" s="3145"/>
      <c r="R35" s="3145"/>
      <c r="S35" s="3145"/>
      <c r="T35" s="3145"/>
      <c r="U35" s="3145"/>
      <c r="V35" s="3145"/>
      <c r="W35" s="3145"/>
      <c r="X35" s="3145"/>
      <c r="Y35" s="3145"/>
      <c r="Z35" s="3145"/>
      <c r="AA35" s="3145"/>
      <c r="AB35" s="3145"/>
      <c r="AC35" s="3145"/>
      <c r="AD35" s="3145"/>
      <c r="AE35" s="3145"/>
      <c r="AF35" s="3145"/>
      <c r="AG35" s="3145"/>
      <c r="AH35" s="3146"/>
    </row>
    <row r="36" spans="1:34">
      <c r="A36" s="6116" t="s">
        <v>99</v>
      </c>
      <c r="B36" s="1923" t="s">
        <v>100</v>
      </c>
      <c r="C36" s="1923" t="s">
        <v>725</v>
      </c>
      <c r="D36" s="937"/>
      <c r="E36" s="937"/>
      <c r="F36" s="6224" t="s">
        <v>1234</v>
      </c>
      <c r="G36" s="6224"/>
      <c r="H36" s="6224"/>
      <c r="I36" s="6224"/>
      <c r="J36" s="6224"/>
      <c r="K36" s="937"/>
      <c r="L36" s="937"/>
      <c r="M36" s="937"/>
      <c r="N36" s="937"/>
      <c r="O36" s="937"/>
      <c r="P36" s="937"/>
      <c r="Q36" s="937"/>
      <c r="R36" s="937"/>
      <c r="S36" s="937"/>
      <c r="T36" s="937"/>
      <c r="U36" s="937"/>
      <c r="V36" s="937"/>
      <c r="W36" s="937"/>
      <c r="X36" s="937"/>
      <c r="Y36" s="937"/>
      <c r="Z36" s="937"/>
      <c r="AA36" s="937"/>
      <c r="AB36" s="937"/>
      <c r="AC36" s="937"/>
      <c r="AD36" s="937"/>
      <c r="AE36" s="937"/>
      <c r="AF36" s="937"/>
      <c r="AG36" s="937"/>
      <c r="AH36" s="695"/>
    </row>
    <row r="37" spans="1:34">
      <c r="A37" s="6117"/>
      <c r="B37" s="2389" t="s">
        <v>95</v>
      </c>
      <c r="C37" s="56" t="s">
        <v>726</v>
      </c>
      <c r="D37" s="779"/>
      <c r="E37" s="779"/>
      <c r="F37" s="6190" t="s">
        <v>1234</v>
      </c>
      <c r="G37" s="6190"/>
      <c r="H37" s="6190"/>
      <c r="I37" s="6190"/>
      <c r="J37" s="6190"/>
      <c r="K37" s="779"/>
      <c r="L37" s="779"/>
      <c r="M37" s="2"/>
      <c r="N37" s="2949" t="s">
        <v>1235</v>
      </c>
      <c r="O37" s="779"/>
      <c r="P37" s="779"/>
      <c r="Q37" s="779"/>
      <c r="R37" s="779"/>
      <c r="S37" s="3010" t="s">
        <v>1025</v>
      </c>
      <c r="T37" s="5914" t="s">
        <v>1242</v>
      </c>
      <c r="U37" s="5914"/>
      <c r="V37" s="5914"/>
      <c r="W37" s="3010" t="s">
        <v>1025</v>
      </c>
      <c r="X37" s="2"/>
      <c r="Y37" s="2894"/>
      <c r="Z37" s="2"/>
      <c r="AA37" s="779"/>
      <c r="AB37" s="779"/>
      <c r="AC37" s="779"/>
      <c r="AD37" s="779"/>
      <c r="AE37" s="779"/>
      <c r="AF37" s="779"/>
      <c r="AG37" s="779"/>
      <c r="AH37" s="3045" t="s">
        <v>1025</v>
      </c>
    </row>
    <row r="38" spans="1:34" ht="15" customHeight="1">
      <c r="A38" s="6117"/>
      <c r="B38" s="56" t="s">
        <v>95</v>
      </c>
      <c r="C38" s="56" t="s">
        <v>738</v>
      </c>
      <c r="D38" s="2894"/>
      <c r="E38" s="2894"/>
      <c r="F38" s="6190" t="s">
        <v>1234</v>
      </c>
      <c r="G38" s="6190"/>
      <c r="H38" s="6190"/>
      <c r="I38" s="6190"/>
      <c r="J38" s="6190"/>
      <c r="K38" s="2894"/>
      <c r="L38" s="2894"/>
      <c r="M38" s="3010" t="s">
        <v>1025</v>
      </c>
      <c r="N38" s="4850" t="s">
        <v>1243</v>
      </c>
      <c r="O38" s="4850"/>
      <c r="P38" s="3010" t="s">
        <v>1025</v>
      </c>
      <c r="Q38" s="2894"/>
      <c r="R38" s="2894"/>
      <c r="S38" s="2894"/>
      <c r="T38" s="2894"/>
      <c r="U38" s="2894"/>
      <c r="V38" s="2894"/>
      <c r="W38" s="2894"/>
      <c r="X38" s="2894"/>
      <c r="Y38" s="2894"/>
      <c r="Z38" s="2894"/>
      <c r="AA38" s="2894"/>
      <c r="AB38" s="2894"/>
      <c r="AC38" s="2894"/>
      <c r="AD38" s="2894"/>
      <c r="AE38" s="3010" t="s">
        <v>1025</v>
      </c>
      <c r="AF38" s="6244" t="s">
        <v>1231</v>
      </c>
      <c r="AG38" s="6244"/>
      <c r="AH38" s="3147" t="s">
        <v>1230</v>
      </c>
    </row>
    <row r="39" spans="1:34">
      <c r="A39" s="6117"/>
      <c r="B39" s="56" t="s">
        <v>106</v>
      </c>
      <c r="C39" s="56" t="s">
        <v>1191</v>
      </c>
      <c r="D39" s="2894"/>
      <c r="E39" s="2894"/>
      <c r="F39" s="6190" t="s">
        <v>1234</v>
      </c>
      <c r="G39" s="6190"/>
      <c r="H39" s="6190"/>
      <c r="I39" s="6190"/>
      <c r="J39" s="6190"/>
      <c r="K39" s="2894"/>
      <c r="L39" s="2894"/>
      <c r="M39" s="2894"/>
      <c r="N39" s="2894"/>
      <c r="O39" s="2894"/>
      <c r="P39" s="2894"/>
      <c r="Q39" s="2894"/>
      <c r="R39" s="2894"/>
      <c r="S39" s="2894"/>
      <c r="T39" s="2894"/>
      <c r="U39" s="2894"/>
      <c r="V39" s="2894"/>
      <c r="W39" s="2894"/>
      <c r="X39" s="2894"/>
      <c r="Y39" s="2894"/>
      <c r="Z39" s="2894"/>
      <c r="AA39" s="2894"/>
      <c r="AB39" s="2894"/>
      <c r="AC39" s="2894"/>
      <c r="AD39" s="2894"/>
      <c r="AE39" s="3010" t="s">
        <v>1025</v>
      </c>
      <c r="AF39" s="6244" t="s">
        <v>1231</v>
      </c>
      <c r="AG39" s="6244"/>
      <c r="AH39" s="3045" t="s">
        <v>1025</v>
      </c>
    </row>
    <row r="40" spans="1:34">
      <c r="A40" s="6118"/>
      <c r="B40" s="68" t="s">
        <v>108</v>
      </c>
      <c r="C40" s="68" t="s">
        <v>109</v>
      </c>
      <c r="D40" s="782"/>
      <c r="E40" s="782"/>
      <c r="F40" s="6235" t="s">
        <v>1234</v>
      </c>
      <c r="G40" s="6235"/>
      <c r="H40" s="6235"/>
      <c r="I40" s="6235"/>
      <c r="J40" s="6235"/>
      <c r="K40" s="782"/>
      <c r="L40" s="782"/>
      <c r="M40" s="782"/>
      <c r="N40" s="782"/>
      <c r="O40" s="782"/>
      <c r="P40" s="782"/>
      <c r="Q40" s="782"/>
      <c r="R40" s="782"/>
      <c r="S40" s="3002"/>
      <c r="T40" s="782"/>
      <c r="U40" s="782"/>
      <c r="V40" s="782"/>
      <c r="W40" s="782"/>
      <c r="X40" s="782"/>
      <c r="Y40" s="782"/>
      <c r="Z40" s="782"/>
      <c r="AA40" s="782"/>
      <c r="AB40" s="782"/>
      <c r="AC40" s="782"/>
      <c r="AD40" s="782"/>
      <c r="AE40" s="782"/>
      <c r="AF40" s="782"/>
      <c r="AG40" s="782"/>
      <c r="AH40" s="807"/>
    </row>
    <row r="41" spans="1:34">
      <c r="A41" s="6181" t="s">
        <v>110</v>
      </c>
      <c r="B41" s="3028" t="s">
        <v>283</v>
      </c>
      <c r="C41" s="2596" t="s">
        <v>201</v>
      </c>
      <c r="D41" s="778"/>
      <c r="E41" s="778"/>
      <c r="F41" s="6139" t="s">
        <v>1234</v>
      </c>
      <c r="G41" s="6140"/>
      <c r="H41" s="6140"/>
      <c r="I41" s="6140"/>
      <c r="J41" s="6237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4550" t="s">
        <v>482</v>
      </c>
      <c r="AG41" s="5103"/>
      <c r="AH41" s="805"/>
    </row>
    <row r="42" spans="1:34">
      <c r="A42" s="6182"/>
      <c r="B42" s="2389" t="s">
        <v>283</v>
      </c>
      <c r="C42" s="1957" t="s">
        <v>610</v>
      </c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  <c r="X42" s="778"/>
      <c r="Y42" s="778"/>
      <c r="Z42" s="778"/>
      <c r="AA42" s="778"/>
      <c r="AB42" s="778"/>
      <c r="AC42" s="778"/>
      <c r="AD42" s="778"/>
      <c r="AE42" s="779"/>
      <c r="AF42" s="778"/>
      <c r="AG42" s="778"/>
      <c r="AH42" s="805"/>
    </row>
    <row r="43" spans="1:34">
      <c r="A43" s="6182"/>
      <c r="B43" s="2389" t="s">
        <v>95</v>
      </c>
      <c r="C43" s="2299" t="s">
        <v>1244</v>
      </c>
      <c r="D43" s="2459"/>
      <c r="E43" s="2459"/>
      <c r="F43" s="2459"/>
      <c r="G43" s="2459"/>
      <c r="H43" s="2459"/>
      <c r="I43" s="2459"/>
      <c r="J43" s="2459"/>
      <c r="K43" s="2459"/>
      <c r="L43" s="2459"/>
      <c r="M43" s="2459"/>
      <c r="N43" s="2459"/>
      <c r="O43" s="2459"/>
      <c r="P43" s="2459"/>
      <c r="Q43" s="2459"/>
      <c r="R43" s="2459"/>
      <c r="S43" s="2459"/>
      <c r="T43" s="2459"/>
      <c r="U43" s="2459"/>
      <c r="V43" s="2459"/>
      <c r="W43" s="2459"/>
      <c r="X43" s="2459"/>
      <c r="Y43" s="2459"/>
      <c r="Z43" s="2459"/>
      <c r="AA43" s="2459"/>
      <c r="AB43" s="2459"/>
      <c r="AC43" s="2459"/>
      <c r="AD43" s="2459"/>
      <c r="AE43" s="2459"/>
      <c r="AF43" s="2459"/>
      <c r="AG43" s="2459"/>
      <c r="AH43" s="3088"/>
    </row>
    <row r="44" spans="1:34">
      <c r="A44" s="6182"/>
      <c r="B44" s="2389" t="s">
        <v>120</v>
      </c>
      <c r="C44" s="1957" t="s">
        <v>1079</v>
      </c>
      <c r="D44" s="779"/>
      <c r="E44" s="779"/>
      <c r="F44" s="779"/>
      <c r="G44" s="779"/>
      <c r="H44" s="779"/>
      <c r="I44" s="779"/>
      <c r="J44" s="779"/>
      <c r="K44" s="779"/>
      <c r="L44" s="779"/>
      <c r="M44" s="779"/>
      <c r="N44" s="779"/>
      <c r="O44" s="779"/>
      <c r="P44" s="779"/>
      <c r="Q44" s="779"/>
      <c r="R44" s="779"/>
      <c r="S44" s="779"/>
      <c r="T44" s="779"/>
      <c r="U44" s="779"/>
      <c r="V44" s="779"/>
      <c r="W44" s="779"/>
      <c r="X44" s="779"/>
      <c r="Y44" s="779"/>
      <c r="Z44" s="779"/>
      <c r="AA44" s="779"/>
      <c r="AB44" s="779"/>
      <c r="AC44" s="779"/>
      <c r="AD44" s="779"/>
      <c r="AE44" s="779"/>
      <c r="AF44" s="779"/>
      <c r="AG44" s="779"/>
      <c r="AH44" s="804"/>
    </row>
    <row r="45" spans="1:34">
      <c r="A45" s="6182"/>
      <c r="B45" s="2389" t="s">
        <v>122</v>
      </c>
      <c r="C45" s="1957" t="s">
        <v>553</v>
      </c>
      <c r="D45" s="6164" t="s">
        <v>1194</v>
      </c>
      <c r="E45" s="6184"/>
      <c r="F45" s="6184"/>
      <c r="G45" s="6184"/>
      <c r="H45" s="6184"/>
      <c r="I45" s="6184"/>
      <c r="J45" s="6184"/>
      <c r="K45" s="6184"/>
      <c r="L45" s="6184"/>
      <c r="M45" s="6185"/>
      <c r="N45" s="779"/>
      <c r="O45" s="779"/>
      <c r="P45" s="779"/>
      <c r="Q45" s="779"/>
      <c r="R45" s="779"/>
      <c r="S45" s="779"/>
      <c r="T45" s="779"/>
      <c r="U45" s="779"/>
      <c r="V45" s="779"/>
      <c r="W45" s="779"/>
      <c r="X45" s="779"/>
      <c r="Y45" s="779"/>
      <c r="Z45" s="779"/>
      <c r="AA45" s="779"/>
      <c r="AB45" s="779"/>
      <c r="AC45" s="779"/>
      <c r="AD45" s="779"/>
      <c r="AE45" s="779"/>
      <c r="AF45" s="779"/>
      <c r="AG45" s="779"/>
      <c r="AH45" s="804"/>
    </row>
    <row r="46" spans="1:34">
      <c r="A46" s="6182"/>
      <c r="B46" s="2389" t="s">
        <v>293</v>
      </c>
      <c r="C46" s="1957" t="s">
        <v>733</v>
      </c>
      <c r="D46" s="779"/>
      <c r="E46" s="779"/>
      <c r="F46" s="779"/>
      <c r="G46" s="779"/>
      <c r="H46" s="779"/>
      <c r="I46" s="779"/>
      <c r="J46" s="779"/>
      <c r="K46" s="779"/>
      <c r="L46" s="779"/>
      <c r="M46" s="779"/>
      <c r="N46" s="779"/>
      <c r="O46" s="779"/>
      <c r="P46" s="779"/>
      <c r="Q46" s="779"/>
      <c r="R46" s="779"/>
      <c r="S46" s="779"/>
      <c r="T46" s="779"/>
      <c r="U46" s="779"/>
      <c r="V46" s="779"/>
      <c r="W46" s="779"/>
      <c r="X46" s="779"/>
      <c r="Y46" s="779"/>
      <c r="Z46" s="779"/>
      <c r="AA46" s="779"/>
      <c r="AB46" s="779"/>
      <c r="AC46" s="779"/>
      <c r="AD46" s="779"/>
      <c r="AE46" s="779"/>
      <c r="AF46" s="779"/>
      <c r="AG46" s="779"/>
      <c r="AH46" s="804"/>
    </row>
    <row r="47" spans="1:34">
      <c r="A47" s="6182"/>
      <c r="B47" s="2389" t="s">
        <v>120</v>
      </c>
      <c r="C47" s="2389" t="s">
        <v>1195</v>
      </c>
      <c r="D47" s="3010" t="s">
        <v>1025</v>
      </c>
      <c r="E47" s="779"/>
      <c r="F47" s="2"/>
      <c r="G47" s="779"/>
      <c r="H47" s="779"/>
      <c r="I47" s="1631"/>
      <c r="J47" s="779"/>
      <c r="K47" s="779"/>
      <c r="L47" s="779"/>
      <c r="M47" s="779"/>
      <c r="N47" s="1631"/>
      <c r="O47" s="1631"/>
      <c r="P47" s="779"/>
      <c r="Q47" s="779"/>
      <c r="R47" s="2"/>
      <c r="S47" s="779"/>
      <c r="T47" s="2"/>
      <c r="U47" s="2"/>
      <c r="V47" s="779"/>
      <c r="W47" s="779"/>
      <c r="X47" s="779"/>
      <c r="Y47" s="779"/>
      <c r="Z47" s="779"/>
      <c r="AA47" s="779"/>
      <c r="AB47" s="779"/>
      <c r="AC47" s="779"/>
      <c r="AD47" s="779"/>
      <c r="AE47" s="1631"/>
      <c r="AF47" s="779"/>
      <c r="AG47" s="2"/>
      <c r="AH47" s="804"/>
    </row>
    <row r="48" spans="1:34">
      <c r="A48" s="6182"/>
      <c r="B48" s="2389" t="s">
        <v>692</v>
      </c>
      <c r="C48" s="1957" t="s">
        <v>693</v>
      </c>
      <c r="D48" s="779"/>
      <c r="E48" s="779"/>
      <c r="F48" s="779"/>
      <c r="G48" s="779"/>
      <c r="H48" s="779"/>
      <c r="I48" s="779"/>
      <c r="J48" s="779"/>
      <c r="K48" s="779"/>
      <c r="L48" s="779"/>
      <c r="M48" s="779"/>
      <c r="N48" s="779"/>
      <c r="O48" s="779"/>
      <c r="P48" s="779"/>
      <c r="Q48" s="779"/>
      <c r="R48" s="779"/>
      <c r="S48" s="779"/>
      <c r="T48" s="779"/>
      <c r="U48" s="779"/>
      <c r="V48" s="779"/>
      <c r="W48" s="779"/>
      <c r="X48" s="779"/>
      <c r="Y48" s="779"/>
      <c r="Z48" s="779"/>
      <c r="AA48" s="779"/>
      <c r="AB48" s="779"/>
      <c r="AC48" s="779"/>
      <c r="AD48" s="779"/>
      <c r="AE48" s="779"/>
      <c r="AF48" s="779"/>
      <c r="AG48" s="779"/>
      <c r="AH48" s="804"/>
    </row>
    <row r="49" spans="1:34">
      <c r="A49" s="6182"/>
      <c r="B49" s="2389" t="s">
        <v>127</v>
      </c>
      <c r="C49" s="2264" t="s">
        <v>657</v>
      </c>
      <c r="D49" s="779"/>
      <c r="E49" s="779"/>
      <c r="F49" s="779"/>
      <c r="G49" s="779"/>
      <c r="H49" s="779"/>
      <c r="I49" s="779"/>
      <c r="J49" s="779"/>
      <c r="K49" s="779"/>
      <c r="L49" s="779"/>
      <c r="M49" s="779"/>
      <c r="N49" s="779"/>
      <c r="O49" s="779"/>
      <c r="P49" s="779"/>
      <c r="Q49" s="779"/>
      <c r="R49" s="779"/>
      <c r="S49" s="779"/>
      <c r="T49" s="779"/>
      <c r="U49" s="779"/>
      <c r="V49" s="779"/>
      <c r="W49" s="779"/>
      <c r="X49" s="779"/>
      <c r="Y49" s="779"/>
      <c r="Z49" s="779"/>
      <c r="AA49" s="779"/>
      <c r="AB49" s="779"/>
      <c r="AC49" s="779"/>
      <c r="AD49" s="779"/>
      <c r="AE49" s="779"/>
      <c r="AF49" s="779"/>
      <c r="AG49" s="779"/>
      <c r="AH49" s="804"/>
    </row>
    <row r="50" spans="1:34">
      <c r="A50" s="6182"/>
      <c r="B50" s="2264" t="s">
        <v>554</v>
      </c>
      <c r="C50" s="2389" t="s">
        <v>555</v>
      </c>
      <c r="D50" s="784"/>
      <c r="E50" s="780"/>
      <c r="F50" s="780"/>
      <c r="G50" s="780"/>
      <c r="H50" s="779"/>
      <c r="I50" s="779"/>
      <c r="J50" s="779"/>
      <c r="K50" s="779"/>
      <c r="L50" s="779"/>
      <c r="M50" s="779"/>
      <c r="N50" s="779"/>
      <c r="O50" s="779"/>
      <c r="P50" s="779"/>
      <c r="Q50" s="779"/>
      <c r="R50" s="779"/>
      <c r="S50" s="779"/>
      <c r="T50" s="779"/>
      <c r="U50" s="779"/>
      <c r="V50" s="779"/>
      <c r="W50" s="779"/>
      <c r="X50" s="779"/>
      <c r="Y50" s="779"/>
      <c r="Z50" s="779"/>
      <c r="AA50" s="779"/>
      <c r="AB50" s="779"/>
      <c r="AC50" s="779"/>
      <c r="AD50" s="779"/>
      <c r="AE50" s="3021" t="s">
        <v>1025</v>
      </c>
      <c r="AF50" s="6238" t="s">
        <v>1231</v>
      </c>
      <c r="AG50" s="6239"/>
      <c r="AH50" s="3021" t="s">
        <v>1025</v>
      </c>
    </row>
    <row r="51" spans="1:34">
      <c r="A51" s="6182"/>
      <c r="B51" s="2264" t="s">
        <v>155</v>
      </c>
      <c r="C51" s="2389" t="s">
        <v>135</v>
      </c>
      <c r="D51" s="822"/>
      <c r="E51" s="779"/>
      <c r="F51" s="779"/>
      <c r="G51" s="779"/>
      <c r="H51" s="779"/>
      <c r="I51" s="779"/>
      <c r="J51" s="779"/>
      <c r="K51" s="779"/>
      <c r="L51" s="779"/>
      <c r="M51" s="779"/>
      <c r="N51" s="779"/>
      <c r="O51" s="779"/>
      <c r="P51" s="779"/>
      <c r="Q51" s="779"/>
      <c r="R51" s="779"/>
      <c r="S51" s="779"/>
      <c r="T51" s="779"/>
      <c r="U51" s="779"/>
      <c r="V51" s="779"/>
      <c r="W51" s="779"/>
      <c r="X51" s="779"/>
      <c r="Y51" s="779"/>
      <c r="Z51" s="779"/>
      <c r="AA51" s="779"/>
      <c r="AB51" s="3685"/>
      <c r="AC51" s="779"/>
      <c r="AD51" s="779"/>
      <c r="AE51" s="3021" t="s">
        <v>1025</v>
      </c>
      <c r="AF51" s="6238" t="s">
        <v>1231</v>
      </c>
      <c r="AG51" s="6239"/>
      <c r="AH51" s="3021" t="s">
        <v>1025</v>
      </c>
    </row>
    <row r="52" spans="1:34">
      <c r="A52" s="6182"/>
      <c r="B52" s="2763" t="s">
        <v>1056</v>
      </c>
      <c r="C52" s="3103" t="s">
        <v>334</v>
      </c>
      <c r="D52" s="780"/>
      <c r="E52" s="780"/>
      <c r="F52" s="780"/>
      <c r="G52" s="780"/>
      <c r="H52" s="780"/>
      <c r="I52" s="780"/>
      <c r="J52" s="780"/>
      <c r="K52" s="780"/>
      <c r="L52" s="780"/>
      <c r="M52" s="780"/>
      <c r="N52" s="780"/>
      <c r="O52" s="780"/>
      <c r="P52" s="780"/>
      <c r="Q52" s="780"/>
      <c r="R52" s="780"/>
      <c r="S52" s="780"/>
      <c r="T52" s="780"/>
      <c r="U52" s="780"/>
      <c r="V52" s="780"/>
      <c r="W52" s="780"/>
      <c r="X52" s="780"/>
      <c r="Y52" s="780"/>
      <c r="Z52" s="780"/>
      <c r="AA52" s="780"/>
      <c r="AB52" s="780"/>
      <c r="AC52" s="780"/>
      <c r="AD52" s="780"/>
      <c r="AE52" s="3021" t="s">
        <v>1025</v>
      </c>
      <c r="AF52" s="6240" t="s">
        <v>1231</v>
      </c>
      <c r="AG52" s="6241"/>
      <c r="AH52" s="3021" t="s">
        <v>1025</v>
      </c>
    </row>
    <row r="53" spans="1:34">
      <c r="A53" s="6182"/>
      <c r="B53" s="1957" t="s">
        <v>131</v>
      </c>
      <c r="C53" s="2389" t="s">
        <v>1201</v>
      </c>
      <c r="D53" s="822"/>
      <c r="E53" s="779"/>
      <c r="F53" s="779"/>
      <c r="G53" s="779"/>
      <c r="H53" s="822"/>
      <c r="I53" s="779"/>
      <c r="J53" s="779"/>
      <c r="K53" s="779"/>
      <c r="L53" s="779"/>
      <c r="M53" s="779"/>
      <c r="N53" s="779"/>
      <c r="O53" s="779"/>
      <c r="P53" s="779"/>
      <c r="Q53" s="779"/>
      <c r="R53" s="779"/>
      <c r="S53" s="779"/>
      <c r="T53" s="779"/>
      <c r="U53" s="779"/>
      <c r="V53" s="779"/>
      <c r="W53" s="779"/>
      <c r="X53" s="779"/>
      <c r="Y53" s="779"/>
      <c r="Z53" s="779"/>
      <c r="AA53" s="779"/>
      <c r="AB53" s="779"/>
      <c r="AC53" s="779"/>
      <c r="AD53" s="779"/>
      <c r="AE53" s="3021" t="s">
        <v>1025</v>
      </c>
      <c r="AF53" s="6238" t="s">
        <v>1231</v>
      </c>
      <c r="AG53" s="6239"/>
      <c r="AH53" s="3021" t="s">
        <v>1025</v>
      </c>
    </row>
    <row r="54" spans="1:34">
      <c r="A54" s="6236"/>
      <c r="B54" s="2596" t="s">
        <v>129</v>
      </c>
      <c r="C54" s="2389" t="s">
        <v>474</v>
      </c>
      <c r="D54" s="6242" t="s">
        <v>1245</v>
      </c>
      <c r="E54" s="6242"/>
      <c r="F54" s="6242"/>
      <c r="G54" s="6243"/>
      <c r="H54" s="779"/>
      <c r="I54" s="779"/>
      <c r="J54" s="779"/>
      <c r="K54" s="779"/>
      <c r="L54" s="779"/>
      <c r="M54" s="779"/>
      <c r="N54" s="779"/>
      <c r="O54" s="779"/>
      <c r="P54" s="779"/>
      <c r="Q54" s="779"/>
      <c r="R54" s="779"/>
      <c r="S54" s="779"/>
      <c r="T54" s="779"/>
      <c r="U54" s="779"/>
      <c r="V54" s="779"/>
      <c r="W54" s="779"/>
      <c r="X54" s="779"/>
      <c r="Y54" s="779"/>
      <c r="Z54" s="779"/>
      <c r="AA54" s="779"/>
      <c r="AB54" s="779"/>
      <c r="AC54" s="779"/>
      <c r="AD54" s="779"/>
      <c r="AE54" s="779"/>
      <c r="AF54" s="779"/>
      <c r="AG54" s="779"/>
      <c r="AH54" s="804"/>
    </row>
    <row r="55" spans="1:34">
      <c r="A55" s="6116" t="s">
        <v>136</v>
      </c>
      <c r="B55" s="1923" t="s">
        <v>283</v>
      </c>
      <c r="C55" s="1923" t="s">
        <v>1036</v>
      </c>
      <c r="D55" s="937"/>
      <c r="E55" s="937"/>
      <c r="F55" s="6224" t="s">
        <v>1234</v>
      </c>
      <c r="G55" s="6224"/>
      <c r="H55" s="6224"/>
      <c r="I55" s="6224"/>
      <c r="J55" s="6224"/>
      <c r="K55" s="937"/>
      <c r="L55" s="937"/>
      <c r="M55" s="937"/>
      <c r="N55" s="3024" t="s">
        <v>1235</v>
      </c>
      <c r="O55" s="937"/>
      <c r="P55" s="937"/>
      <c r="Q55" s="937"/>
      <c r="R55" s="937"/>
      <c r="S55" s="937"/>
      <c r="T55" s="3019" t="s">
        <v>1025</v>
      </c>
      <c r="U55" s="6234" t="s">
        <v>1233</v>
      </c>
      <c r="V55" s="6234"/>
      <c r="W55" s="6234"/>
      <c r="X55" s="3019" t="s">
        <v>1025</v>
      </c>
      <c r="Y55" s="937"/>
      <c r="Z55" s="3019" t="s">
        <v>1025</v>
      </c>
      <c r="AA55" s="6224" t="s">
        <v>1246</v>
      </c>
      <c r="AB55" s="6224"/>
      <c r="AC55" s="6224"/>
      <c r="AD55" s="3019" t="s">
        <v>1025</v>
      </c>
      <c r="AE55" s="937"/>
      <c r="AF55" s="937"/>
      <c r="AG55" s="3019" t="s">
        <v>1025</v>
      </c>
      <c r="AH55" s="3025" t="s">
        <v>8</v>
      </c>
    </row>
    <row r="56" spans="1:34">
      <c r="A56" s="6117"/>
      <c r="B56" s="56" t="s">
        <v>95</v>
      </c>
      <c r="C56" s="56" t="s">
        <v>1058</v>
      </c>
      <c r="D56" s="3678" t="s">
        <v>1025</v>
      </c>
      <c r="E56" s="779"/>
      <c r="F56" s="6190" t="s">
        <v>1234</v>
      </c>
      <c r="G56" s="6190"/>
      <c r="H56" s="6190"/>
      <c r="I56" s="6190"/>
      <c r="J56" s="6190"/>
      <c r="K56" s="779"/>
      <c r="L56" s="779"/>
      <c r="M56" s="779"/>
      <c r="N56" s="2949" t="s">
        <v>1235</v>
      </c>
      <c r="O56" s="779"/>
      <c r="P56" s="779"/>
      <c r="Q56" s="779"/>
      <c r="R56" s="779"/>
      <c r="S56" s="779"/>
      <c r="T56" s="3010" t="s">
        <v>1025</v>
      </c>
      <c r="U56" s="6099" t="s">
        <v>1233</v>
      </c>
      <c r="V56" s="6099"/>
      <c r="W56" s="6099"/>
      <c r="X56" s="3010" t="s">
        <v>1025</v>
      </c>
      <c r="Y56" s="779"/>
      <c r="Z56" s="3010" t="s">
        <v>1025</v>
      </c>
      <c r="AA56" s="6190" t="s">
        <v>1246</v>
      </c>
      <c r="AB56" s="6190"/>
      <c r="AC56" s="6190"/>
      <c r="AD56" s="6190"/>
      <c r="AE56" s="6190"/>
      <c r="AF56" s="4475" t="s">
        <v>1247</v>
      </c>
      <c r="AG56" s="4475"/>
      <c r="AH56" s="4506"/>
    </row>
    <row r="57" spans="1:34">
      <c r="A57" s="6117"/>
      <c r="B57" s="56" t="s">
        <v>95</v>
      </c>
      <c r="C57" s="56" t="s">
        <v>620</v>
      </c>
      <c r="D57" s="3678" t="s">
        <v>1025</v>
      </c>
      <c r="E57" s="779"/>
      <c r="F57" s="779"/>
      <c r="G57" s="779"/>
      <c r="H57" s="4475" t="s">
        <v>1248</v>
      </c>
      <c r="I57" s="4475"/>
      <c r="J57" s="4475"/>
      <c r="K57" s="4475"/>
      <c r="L57" s="4475"/>
      <c r="M57" s="4475"/>
      <c r="N57" s="4475"/>
      <c r="O57" s="4475"/>
      <c r="P57" s="4475"/>
      <c r="Q57" s="4475"/>
      <c r="R57" s="4475"/>
      <c r="S57" s="4475"/>
      <c r="T57" s="4475"/>
      <c r="U57" s="4475"/>
      <c r="V57" s="4475"/>
      <c r="W57" s="4475"/>
      <c r="X57" s="4475"/>
      <c r="Y57" s="4475"/>
      <c r="Z57" s="4475"/>
      <c r="AA57" s="4475"/>
      <c r="AB57" s="4475"/>
      <c r="AC57" s="779"/>
      <c r="AD57" s="779"/>
      <c r="AE57" s="779"/>
      <c r="AF57" s="779"/>
      <c r="AG57" s="779"/>
      <c r="AH57" s="804"/>
    </row>
    <row r="58" spans="1:34">
      <c r="A58" s="6117"/>
      <c r="B58" s="56" t="s">
        <v>95</v>
      </c>
      <c r="C58" s="56" t="s">
        <v>1037</v>
      </c>
      <c r="D58" s="3678" t="s">
        <v>1025</v>
      </c>
      <c r="E58" s="779"/>
      <c r="F58" s="6190" t="s">
        <v>1234</v>
      </c>
      <c r="G58" s="6190"/>
      <c r="H58" s="6190"/>
      <c r="I58" s="6190"/>
      <c r="J58" s="6190"/>
      <c r="K58" s="779"/>
      <c r="L58" s="779"/>
      <c r="M58" s="779"/>
      <c r="N58" s="2949" t="s">
        <v>1235</v>
      </c>
      <c r="O58" s="779"/>
      <c r="P58" s="779"/>
      <c r="Q58" s="3685" t="s">
        <v>1249</v>
      </c>
      <c r="R58" s="779"/>
      <c r="S58" s="779"/>
      <c r="T58" s="779"/>
      <c r="U58" s="779"/>
      <c r="V58" s="779"/>
      <c r="W58" s="779"/>
      <c r="X58" s="4475" t="s">
        <v>1250</v>
      </c>
      <c r="Y58" s="4475"/>
      <c r="Z58" s="4475"/>
      <c r="AA58" s="4475"/>
      <c r="AB58" s="4475"/>
      <c r="AC58" s="4475"/>
      <c r="AD58" s="4475"/>
      <c r="AE58" s="4475"/>
      <c r="AF58" s="4475"/>
      <c r="AG58" s="4475"/>
      <c r="AH58" s="4506"/>
    </row>
    <row r="59" spans="1:34">
      <c r="A59" s="6117"/>
      <c r="B59" s="56" t="s">
        <v>739</v>
      </c>
      <c r="C59" s="56" t="s">
        <v>740</v>
      </c>
      <c r="D59" s="779"/>
      <c r="E59" s="779"/>
      <c r="F59" s="6190" t="s">
        <v>1234</v>
      </c>
      <c r="G59" s="6190"/>
      <c r="H59" s="6190"/>
      <c r="I59" s="6190"/>
      <c r="J59" s="6190"/>
      <c r="K59" s="779"/>
      <c r="L59" s="779"/>
      <c r="M59" s="779"/>
      <c r="N59" s="2949" t="s">
        <v>1235</v>
      </c>
      <c r="O59" s="779"/>
      <c r="P59" s="779"/>
      <c r="Q59" s="779"/>
      <c r="R59" s="779"/>
      <c r="S59" s="779"/>
      <c r="T59" s="3010" t="s">
        <v>1025</v>
      </c>
      <c r="U59" s="6099" t="s">
        <v>1233</v>
      </c>
      <c r="V59" s="6099"/>
      <c r="W59" s="6099"/>
      <c r="X59" s="3010" t="s">
        <v>1025</v>
      </c>
      <c r="Y59" s="779"/>
      <c r="Z59" s="779"/>
      <c r="AA59" s="779"/>
      <c r="AB59" s="779"/>
      <c r="AC59" s="779"/>
      <c r="AD59" s="779"/>
      <c r="AE59" s="779"/>
      <c r="AF59" s="779"/>
      <c r="AG59" s="779"/>
      <c r="AH59" s="804"/>
    </row>
    <row r="60" spans="1:34">
      <c r="A60" s="6118"/>
      <c r="B60" s="3022" t="s">
        <v>108</v>
      </c>
      <c r="C60" s="3022" t="s">
        <v>1106</v>
      </c>
      <c r="D60" s="321"/>
      <c r="E60" s="321"/>
      <c r="F60" s="6235" t="s">
        <v>1234</v>
      </c>
      <c r="G60" s="6235"/>
      <c r="H60" s="6235"/>
      <c r="I60" s="6235"/>
      <c r="J60" s="6235"/>
      <c r="K60" s="321"/>
      <c r="L60" s="321"/>
      <c r="M60" s="321"/>
      <c r="N60" s="3026" t="s">
        <v>1235</v>
      </c>
      <c r="O60" s="321"/>
      <c r="P60" s="321"/>
      <c r="Q60" s="321"/>
      <c r="R60" s="321"/>
      <c r="S60" s="321"/>
      <c r="T60" s="2599" t="s">
        <v>1025</v>
      </c>
      <c r="U60" s="6225" t="s">
        <v>1233</v>
      </c>
      <c r="V60" s="6225"/>
      <c r="W60" s="6225"/>
      <c r="X60" s="2599" t="s">
        <v>1025</v>
      </c>
      <c r="Y60" s="321"/>
      <c r="Z60" s="321"/>
      <c r="AA60" s="321"/>
      <c r="AB60" s="321"/>
      <c r="AC60" s="321"/>
      <c r="AD60" s="321"/>
      <c r="AE60" s="2599" t="s">
        <v>1025</v>
      </c>
      <c r="AF60" s="6231" t="s">
        <v>1231</v>
      </c>
      <c r="AG60" s="6231"/>
      <c r="AH60" s="3046" t="s">
        <v>1025</v>
      </c>
    </row>
    <row r="61" spans="1:34">
      <c r="A61" s="6167" t="s">
        <v>144</v>
      </c>
      <c r="B61" s="266" t="s">
        <v>145</v>
      </c>
      <c r="C61" s="266" t="s">
        <v>148</v>
      </c>
      <c r="D61" s="778"/>
      <c r="E61" s="778"/>
      <c r="F61" s="778"/>
      <c r="G61" s="778"/>
      <c r="H61" s="778"/>
      <c r="I61" s="778"/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3023" t="s">
        <v>1025</v>
      </c>
      <c r="U61" s="6232" t="s">
        <v>1233</v>
      </c>
      <c r="V61" s="6232"/>
      <c r="W61" s="6232"/>
      <c r="X61" s="3023" t="s">
        <v>1025</v>
      </c>
      <c r="Y61" s="778"/>
      <c r="Z61" s="778"/>
      <c r="AA61" s="778"/>
      <c r="AB61" s="778"/>
      <c r="AC61" s="778"/>
      <c r="AD61" s="778"/>
      <c r="AE61" s="3023" t="s">
        <v>1025</v>
      </c>
      <c r="AF61" s="6233" t="s">
        <v>1231</v>
      </c>
      <c r="AG61" s="6233"/>
      <c r="AH61" s="3148" t="s">
        <v>1025</v>
      </c>
    </row>
    <row r="62" spans="1:34">
      <c r="A62" s="6117"/>
      <c r="B62" s="56" t="s">
        <v>1038</v>
      </c>
      <c r="C62" s="56" t="s">
        <v>618</v>
      </c>
      <c r="D62" s="779"/>
      <c r="E62" s="779"/>
      <c r="F62" s="779"/>
      <c r="G62" s="779"/>
      <c r="H62" s="779"/>
      <c r="I62" s="779"/>
      <c r="J62" s="779"/>
      <c r="K62" s="779"/>
      <c r="L62" s="779"/>
      <c r="M62" s="779"/>
      <c r="N62" s="779"/>
      <c r="O62" s="779"/>
      <c r="P62" s="779"/>
      <c r="Q62" s="779"/>
      <c r="R62" s="779"/>
      <c r="S62" s="779"/>
      <c r="T62" s="779"/>
      <c r="U62" s="779"/>
      <c r="V62" s="779"/>
      <c r="W62" s="779"/>
      <c r="X62" s="779"/>
      <c r="Y62" s="779"/>
      <c r="Z62" s="779"/>
      <c r="AA62" s="779"/>
      <c r="AB62" s="779"/>
      <c r="AC62" s="779"/>
      <c r="AD62" s="779"/>
      <c r="AE62" s="779"/>
      <c r="AF62" s="779"/>
      <c r="AG62" s="779"/>
      <c r="AH62" s="804"/>
    </row>
    <row r="63" spans="1:34">
      <c r="A63" s="6117"/>
      <c r="B63" s="56" t="s">
        <v>145</v>
      </c>
      <c r="C63" s="56" t="s">
        <v>1251</v>
      </c>
      <c r="D63" s="3149"/>
      <c r="E63" s="3149"/>
      <c r="F63" s="3149"/>
      <c r="G63" s="3149"/>
      <c r="H63" s="3149"/>
      <c r="I63" s="3149"/>
      <c r="J63" s="3149"/>
      <c r="K63" s="3149"/>
      <c r="L63" s="3149"/>
      <c r="M63" s="3149"/>
      <c r="N63" s="3149"/>
      <c r="O63" s="3149"/>
      <c r="P63" s="3149"/>
      <c r="Q63" s="3149"/>
      <c r="R63" s="3149"/>
      <c r="S63" s="3149"/>
      <c r="T63" s="3149"/>
      <c r="U63" s="3149"/>
      <c r="V63" s="3149"/>
      <c r="W63" s="3149"/>
      <c r="X63" s="3149"/>
      <c r="Y63" s="3149"/>
      <c r="Z63" s="3149"/>
      <c r="AA63" s="3149"/>
      <c r="AB63" s="3149"/>
      <c r="AC63" s="3149"/>
      <c r="AD63" s="3149"/>
      <c r="AE63" s="3149"/>
      <c r="AF63" s="3149"/>
      <c r="AG63" s="3149"/>
      <c r="AH63" s="3150"/>
    </row>
    <row r="64" spans="1:34">
      <c r="A64" s="6117"/>
      <c r="B64" s="56" t="s">
        <v>149</v>
      </c>
      <c r="C64" s="56" t="s">
        <v>1252</v>
      </c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79"/>
      <c r="V64" s="779"/>
      <c r="W64" s="779"/>
      <c r="X64" s="779"/>
      <c r="Y64" s="779"/>
      <c r="Z64" s="779"/>
      <c r="AA64" s="779"/>
      <c r="AB64" s="779"/>
      <c r="AC64" s="779"/>
      <c r="AD64" s="779"/>
      <c r="AE64" s="779"/>
      <c r="AF64" s="779"/>
      <c r="AG64" s="779"/>
      <c r="AH64" s="804"/>
    </row>
    <row r="65" spans="1:56">
      <c r="A65" s="6117"/>
      <c r="B65" s="56" t="s">
        <v>149</v>
      </c>
      <c r="C65" s="56" t="s">
        <v>151</v>
      </c>
      <c r="D65" s="779"/>
      <c r="E65" s="779"/>
      <c r="F65" s="779"/>
      <c r="G65" s="779"/>
      <c r="H65" s="779"/>
      <c r="I65" s="779"/>
      <c r="J65" s="779"/>
      <c r="K65" s="779"/>
      <c r="L65" s="779"/>
      <c r="M65" s="779"/>
      <c r="N65" s="779"/>
      <c r="O65" s="779"/>
      <c r="P65" s="779"/>
      <c r="Q65" s="779"/>
      <c r="R65" s="779"/>
      <c r="S65" s="779"/>
      <c r="T65" s="779"/>
      <c r="U65" s="779"/>
      <c r="V65" s="779"/>
      <c r="W65" s="779"/>
      <c r="X65" s="779"/>
      <c r="Y65" s="779"/>
      <c r="Z65" s="779"/>
      <c r="AA65" s="779"/>
      <c r="AB65" s="779"/>
      <c r="AC65" s="779"/>
      <c r="AD65" s="779"/>
      <c r="AE65" s="779"/>
      <c r="AF65" s="779"/>
      <c r="AG65" s="779"/>
      <c r="AH65" s="804"/>
    </row>
    <row r="66" spans="1:56" s="2241" customFormat="1">
      <c r="A66" s="6168"/>
      <c r="B66" s="3151" t="s">
        <v>149</v>
      </c>
      <c r="C66" s="3151" t="s">
        <v>1207</v>
      </c>
      <c r="D66" s="323"/>
      <c r="E66" s="323"/>
      <c r="F66" s="323"/>
      <c r="G66" s="323"/>
      <c r="H66" s="323"/>
      <c r="I66" s="323"/>
      <c r="J66" s="323"/>
      <c r="K66" s="323"/>
      <c r="L66" s="323"/>
      <c r="M66" s="323"/>
      <c r="N66" s="323"/>
      <c r="O66" s="323"/>
      <c r="P66" s="323"/>
      <c r="Q66" s="323"/>
      <c r="R66" s="323"/>
      <c r="S66" s="323"/>
      <c r="T66" s="323"/>
      <c r="U66" s="323"/>
      <c r="V66" s="323"/>
      <c r="W66" s="323"/>
      <c r="X66" s="323"/>
      <c r="Y66" s="323"/>
      <c r="Z66" s="323"/>
      <c r="AA66" s="323"/>
      <c r="AB66" s="323"/>
      <c r="AC66" s="323"/>
      <c r="AD66" s="323"/>
      <c r="AE66" s="323"/>
      <c r="AF66" s="323"/>
      <c r="AG66" s="323"/>
      <c r="AH66" s="80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 spans="1:56" ht="15.75">
      <c r="A67" s="6173" t="s">
        <v>13</v>
      </c>
      <c r="B67" s="1923" t="s">
        <v>283</v>
      </c>
      <c r="C67" s="1923" t="s">
        <v>1005</v>
      </c>
      <c r="D67" s="3152" t="s">
        <v>1025</v>
      </c>
      <c r="E67" s="937"/>
      <c r="F67" s="6224" t="s">
        <v>1234</v>
      </c>
      <c r="G67" s="6224"/>
      <c r="H67" s="6224"/>
      <c r="I67" s="6224"/>
      <c r="J67" s="6224"/>
      <c r="K67" s="937"/>
      <c r="L67" s="937"/>
      <c r="M67" s="3019" t="s">
        <v>1025</v>
      </c>
      <c r="N67" s="6226" t="s">
        <v>1243</v>
      </c>
      <c r="O67" s="6226"/>
      <c r="P67" s="3019" t="s">
        <v>1025</v>
      </c>
      <c r="Q67" s="461"/>
      <c r="R67" s="937"/>
      <c r="S67" s="937"/>
      <c r="T67" s="937"/>
      <c r="U67" s="937"/>
      <c r="V67" s="937"/>
      <c r="W67" s="937"/>
      <c r="X67" s="937"/>
      <c r="Y67" s="937"/>
      <c r="Z67" s="937"/>
      <c r="AA67" s="937"/>
      <c r="AB67" s="937"/>
      <c r="AC67" s="937"/>
      <c r="AD67" s="937"/>
      <c r="AE67" s="937"/>
      <c r="AF67" s="937"/>
      <c r="AG67" s="937"/>
      <c r="AH67" s="3123" t="s">
        <v>1025</v>
      </c>
    </row>
    <row r="68" spans="1:56">
      <c r="A68" s="5826"/>
      <c r="B68" s="2795" t="s">
        <v>602</v>
      </c>
      <c r="C68" s="2" t="s">
        <v>660</v>
      </c>
      <c r="D68" s="779"/>
      <c r="E68" s="779"/>
      <c r="F68" s="779"/>
      <c r="G68" s="779"/>
      <c r="H68" s="779"/>
      <c r="I68" s="779"/>
      <c r="J68" s="779"/>
      <c r="K68" s="779"/>
      <c r="L68" s="779"/>
      <c r="M68" s="779"/>
      <c r="N68" s="779"/>
      <c r="O68" s="779"/>
      <c r="P68" s="779"/>
      <c r="Q68" s="779"/>
      <c r="R68" s="779"/>
      <c r="S68" s="3153" t="s">
        <v>1025</v>
      </c>
      <c r="T68" s="6227" t="s">
        <v>1253</v>
      </c>
      <c r="U68" s="6228"/>
      <c r="V68" s="6228"/>
      <c r="W68" s="6228"/>
      <c r="X68" s="6229"/>
      <c r="Y68" s="3153" t="s">
        <v>1025</v>
      </c>
      <c r="Z68" s="779"/>
      <c r="AA68" s="779"/>
      <c r="AB68" s="779"/>
      <c r="AC68" s="779"/>
      <c r="AD68" s="779"/>
      <c r="AE68" s="779"/>
      <c r="AF68" s="779"/>
      <c r="AG68" s="779"/>
      <c r="AH68" s="804"/>
    </row>
    <row r="69" spans="1:56" ht="15.75">
      <c r="A69" s="5826"/>
      <c r="B69" s="56" t="s">
        <v>81</v>
      </c>
      <c r="C69" s="56" t="s">
        <v>396</v>
      </c>
      <c r="D69" s="3702"/>
      <c r="E69" s="779"/>
      <c r="F69" s="779"/>
      <c r="G69" s="779"/>
      <c r="H69" s="779"/>
      <c r="I69" s="779"/>
      <c r="J69" s="779"/>
      <c r="K69" s="779"/>
      <c r="L69" s="779"/>
      <c r="M69" s="3010" t="s">
        <v>1025</v>
      </c>
      <c r="N69" s="4850" t="s">
        <v>1243</v>
      </c>
      <c r="O69" s="4850"/>
      <c r="P69" s="3010" t="s">
        <v>1025</v>
      </c>
      <c r="Q69" s="779"/>
      <c r="R69" s="779"/>
      <c r="S69" s="779"/>
      <c r="T69" s="3010" t="s">
        <v>1025</v>
      </c>
      <c r="U69" s="6099" t="s">
        <v>1233</v>
      </c>
      <c r="V69" s="6099"/>
      <c r="W69" s="6099"/>
      <c r="X69" s="3010" t="s">
        <v>1025</v>
      </c>
      <c r="Y69" s="779"/>
      <c r="Z69" s="779"/>
      <c r="AA69" s="779"/>
      <c r="AB69" s="779"/>
      <c r="AC69" s="779"/>
      <c r="AD69" s="779"/>
      <c r="AE69" s="779"/>
      <c r="AF69" s="779"/>
      <c r="AG69" s="779"/>
      <c r="AH69" s="3045" t="s">
        <v>1025</v>
      </c>
    </row>
    <row r="70" spans="1:56" ht="15.75">
      <c r="A70" s="6166"/>
      <c r="B70" s="68" t="s">
        <v>1211</v>
      </c>
      <c r="C70" s="68" t="s">
        <v>1212</v>
      </c>
      <c r="D70" s="3679"/>
      <c r="E70" s="782"/>
      <c r="F70" s="782"/>
      <c r="G70" s="782"/>
      <c r="H70" s="782"/>
      <c r="I70" s="782"/>
      <c r="J70" s="782"/>
      <c r="K70" s="782"/>
      <c r="L70" s="782"/>
      <c r="M70" s="2599" t="s">
        <v>1025</v>
      </c>
      <c r="N70" s="6230" t="s">
        <v>1243</v>
      </c>
      <c r="O70" s="6230"/>
      <c r="P70" s="2599" t="s">
        <v>1025</v>
      </c>
      <c r="Q70" s="782"/>
      <c r="R70" s="782"/>
      <c r="S70" s="782"/>
      <c r="T70" s="2599" t="s">
        <v>1025</v>
      </c>
      <c r="U70" s="6225" t="s">
        <v>1233</v>
      </c>
      <c r="V70" s="6225"/>
      <c r="W70" s="6225"/>
      <c r="X70" s="2599" t="s">
        <v>1025</v>
      </c>
      <c r="Y70" s="782"/>
      <c r="Z70" s="782"/>
      <c r="AA70" s="782"/>
      <c r="AB70" s="782"/>
      <c r="AC70" s="782"/>
      <c r="AD70" s="782"/>
      <c r="AE70" s="782"/>
      <c r="AF70" s="321"/>
      <c r="AG70" s="321"/>
      <c r="AH70" s="3046" t="s">
        <v>1025</v>
      </c>
    </row>
    <row r="71" spans="1:56">
      <c r="A71" s="5825" t="s">
        <v>751</v>
      </c>
      <c r="B71" s="266" t="s">
        <v>561</v>
      </c>
      <c r="C71" s="266" t="s">
        <v>303</v>
      </c>
      <c r="D71" s="778"/>
      <c r="E71" s="778"/>
      <c r="F71" s="778"/>
      <c r="G71" s="778"/>
      <c r="H71" s="778"/>
      <c r="I71" s="778"/>
      <c r="J71" s="778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  <c r="X71" s="778"/>
      <c r="Y71" s="3628" t="s">
        <v>251</v>
      </c>
      <c r="Z71" s="6246" t="s">
        <v>754</v>
      </c>
      <c r="AA71" s="6247"/>
      <c r="AB71" s="6247"/>
      <c r="AC71" s="6248"/>
      <c r="AD71" s="3628" t="s">
        <v>1025</v>
      </c>
      <c r="AE71" s="778"/>
      <c r="AF71" s="778"/>
      <c r="AG71" s="778"/>
      <c r="AH71" s="805"/>
    </row>
    <row r="72" spans="1:56">
      <c r="A72" s="5826"/>
      <c r="B72" s="56" t="s">
        <v>155</v>
      </c>
      <c r="C72" s="2389" t="s">
        <v>532</v>
      </c>
      <c r="D72" s="779"/>
      <c r="E72" s="779"/>
      <c r="F72" s="779"/>
      <c r="G72" s="779"/>
      <c r="H72" s="779"/>
      <c r="I72" s="779"/>
      <c r="J72" s="779"/>
      <c r="K72" s="779"/>
      <c r="L72" s="779"/>
      <c r="M72" s="779"/>
      <c r="N72" s="779"/>
      <c r="O72" s="779"/>
      <c r="P72" s="779"/>
      <c r="Q72" s="779"/>
      <c r="R72" s="779"/>
      <c r="S72" s="3628" t="s">
        <v>251</v>
      </c>
      <c r="T72" s="4308" t="s">
        <v>1254</v>
      </c>
      <c r="U72" s="4308"/>
      <c r="V72" s="4308"/>
      <c r="W72" s="4308"/>
      <c r="X72" s="4308"/>
      <c r="Y72" s="3628" t="s">
        <v>251</v>
      </c>
      <c r="Z72" s="779"/>
      <c r="AA72" s="779"/>
      <c r="AB72" s="779"/>
      <c r="AC72" s="779"/>
      <c r="AD72" s="779"/>
      <c r="AE72" s="779"/>
      <c r="AF72" s="779"/>
      <c r="AG72" s="779"/>
      <c r="AH72" s="804"/>
    </row>
    <row r="73" spans="1:56">
      <c r="A73" s="6166"/>
      <c r="B73" s="3124" t="s">
        <v>1255</v>
      </c>
      <c r="C73" s="3124" t="s">
        <v>1256</v>
      </c>
      <c r="D73" s="3080"/>
      <c r="E73" s="3080"/>
      <c r="F73" s="3080"/>
      <c r="G73" s="3080"/>
      <c r="H73" s="3086"/>
      <c r="I73" s="3086"/>
      <c r="J73" s="3086"/>
      <c r="K73" s="3086"/>
      <c r="L73" s="3086"/>
      <c r="M73" s="3086"/>
      <c r="N73" s="3086"/>
      <c r="O73" s="3086"/>
      <c r="P73" s="3086"/>
      <c r="Q73" s="3086"/>
      <c r="R73" s="3086"/>
      <c r="S73" s="3086"/>
      <c r="T73" s="3086"/>
      <c r="U73" s="3086"/>
      <c r="V73" s="3086"/>
      <c r="W73" s="3086"/>
      <c r="X73" s="3086"/>
      <c r="Y73" s="3086"/>
      <c r="Z73" s="3086"/>
      <c r="AA73" s="3086"/>
      <c r="AB73" s="3086"/>
      <c r="AC73" s="3086"/>
      <c r="AD73" s="3086"/>
      <c r="AE73" s="3086"/>
      <c r="AF73" s="3086"/>
      <c r="AG73" s="3086"/>
      <c r="AH73" s="3087"/>
    </row>
  </sheetData>
  <mergeCells count="93">
    <mergeCell ref="Z71:AC71"/>
    <mergeCell ref="A10:C10"/>
    <mergeCell ref="A5:C5"/>
    <mergeCell ref="A1:C1"/>
    <mergeCell ref="D1:AH1"/>
    <mergeCell ref="A2:C2"/>
    <mergeCell ref="A3:C3"/>
    <mergeCell ref="A4:C4"/>
    <mergeCell ref="A6:C6"/>
    <mergeCell ref="AF6:AH6"/>
    <mergeCell ref="A7:C7"/>
    <mergeCell ref="A8:C8"/>
    <mergeCell ref="A9:C9"/>
    <mergeCell ref="A17:C17"/>
    <mergeCell ref="A18:C18"/>
    <mergeCell ref="A19:C19"/>
    <mergeCell ref="AB14:AD14"/>
    <mergeCell ref="A15:C15"/>
    <mergeCell ref="U19:W19"/>
    <mergeCell ref="A11:C11"/>
    <mergeCell ref="A12:C12"/>
    <mergeCell ref="A13:C13"/>
    <mergeCell ref="A14:C14"/>
    <mergeCell ref="A16:C16"/>
    <mergeCell ref="A20:C20"/>
    <mergeCell ref="AF26:AG26"/>
    <mergeCell ref="F27:J27"/>
    <mergeCell ref="U27:W27"/>
    <mergeCell ref="AF38:AG38"/>
    <mergeCell ref="A29:A30"/>
    <mergeCell ref="A21:C21"/>
    <mergeCell ref="F21:J21"/>
    <mergeCell ref="AA21:AE21"/>
    <mergeCell ref="A22:C22"/>
    <mergeCell ref="A23:C23"/>
    <mergeCell ref="A24:C24"/>
    <mergeCell ref="A25:C25"/>
    <mergeCell ref="F26:J26"/>
    <mergeCell ref="F31:J31"/>
    <mergeCell ref="P32:S32"/>
    <mergeCell ref="F39:J39"/>
    <mergeCell ref="AF39:AG39"/>
    <mergeCell ref="AF33:AG33"/>
    <mergeCell ref="F40:J40"/>
    <mergeCell ref="A31:A35"/>
    <mergeCell ref="AA31:AE31"/>
    <mergeCell ref="F32:J32"/>
    <mergeCell ref="AA32:AE32"/>
    <mergeCell ref="F33:J33"/>
    <mergeCell ref="A36:A40"/>
    <mergeCell ref="F36:J36"/>
    <mergeCell ref="F37:J37"/>
    <mergeCell ref="F38:J38"/>
    <mergeCell ref="T37:V37"/>
    <mergeCell ref="N38:O38"/>
    <mergeCell ref="U56:W56"/>
    <mergeCell ref="A41:A54"/>
    <mergeCell ref="F41:J41"/>
    <mergeCell ref="AF41:AG41"/>
    <mergeCell ref="D45:M45"/>
    <mergeCell ref="AF50:AG50"/>
    <mergeCell ref="AF51:AG51"/>
    <mergeCell ref="AF53:AG53"/>
    <mergeCell ref="AF52:AG52"/>
    <mergeCell ref="D54:G54"/>
    <mergeCell ref="AA55:AC55"/>
    <mergeCell ref="AF56:AH56"/>
    <mergeCell ref="AF60:AG60"/>
    <mergeCell ref="A61:A66"/>
    <mergeCell ref="U61:W61"/>
    <mergeCell ref="AF61:AG61"/>
    <mergeCell ref="A55:A60"/>
    <mergeCell ref="F55:J55"/>
    <mergeCell ref="U55:W55"/>
    <mergeCell ref="F60:J60"/>
    <mergeCell ref="U60:W60"/>
    <mergeCell ref="AA56:AE56"/>
    <mergeCell ref="H57:AB57"/>
    <mergeCell ref="F58:J58"/>
    <mergeCell ref="X58:AH58"/>
    <mergeCell ref="F59:J59"/>
    <mergeCell ref="U59:W59"/>
    <mergeCell ref="F56:J56"/>
    <mergeCell ref="A71:A73"/>
    <mergeCell ref="T72:X72"/>
    <mergeCell ref="A67:A70"/>
    <mergeCell ref="F67:J67"/>
    <mergeCell ref="U69:W69"/>
    <mergeCell ref="U70:W70"/>
    <mergeCell ref="N67:O67"/>
    <mergeCell ref="T68:X68"/>
    <mergeCell ref="N69:O69"/>
    <mergeCell ref="N70:O70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695-2C2F-48DE-BBE4-AD6E44348AA4}">
  <sheetPr>
    <pageSetUpPr fitToPage="1"/>
  </sheetPr>
  <dimension ref="A1:BF68"/>
  <sheetViews>
    <sheetView workbookViewId="0">
      <pane xSplit="2" topLeftCell="E1" activePane="topRight" state="frozen"/>
      <selection pane="topRight" activeCell="E15" sqref="E15:I15"/>
    </sheetView>
  </sheetViews>
  <sheetFormatPr defaultRowHeight="15"/>
  <cols>
    <col min="2" max="2" width="13.5703125" bestFit="1" customWidth="1"/>
    <col min="3" max="33" width="9.140625" customWidth="1"/>
    <col min="34" max="34" width="9.140625" style="368" customWidth="1"/>
    <col min="35" max="35" width="12.7109375" style="283" customWidth="1"/>
    <col min="36" max="36" width="19.28515625" style="283" customWidth="1"/>
    <col min="37" max="37" width="17.5703125" style="283" customWidth="1"/>
    <col min="38" max="38" width="20.28515625" style="283" customWidth="1"/>
    <col min="39" max="39" width="11.7109375" style="283" customWidth="1"/>
    <col min="40" max="40" width="17.7109375" style="283" customWidth="1"/>
    <col min="41" max="41" width="20.85546875" style="283" customWidth="1"/>
    <col min="42" max="42" width="12.28515625" style="283" customWidth="1"/>
    <col min="43" max="43" width="9.140625" style="283" customWidth="1"/>
    <col min="44" max="44" width="15.42578125" style="283" customWidth="1"/>
    <col min="45" max="45" width="9.140625" style="283" customWidth="1"/>
    <col min="46" max="46" width="12.5703125" style="283" customWidth="1"/>
    <col min="47" max="53" width="9.140625" style="283" customWidth="1"/>
    <col min="54" max="16383" width="9.140625" style="283"/>
    <col min="16384" max="16384" width="9.140625" style="283" bestFit="1" customWidth="1"/>
  </cols>
  <sheetData>
    <row r="1" spans="1:58">
      <c r="A1" s="6205"/>
      <c r="B1" s="6205"/>
      <c r="C1" s="6147" t="s">
        <v>1229</v>
      </c>
      <c r="D1" s="6147"/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7"/>
      <c r="AF1" s="6147"/>
      <c r="AG1" s="6148"/>
      <c r="AH1" s="3126"/>
      <c r="AI1" s="6143" t="s">
        <v>1113</v>
      </c>
      <c r="AJ1" s="6143"/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</row>
    <row r="2" spans="1:58">
      <c r="A2" s="4304"/>
      <c r="B2" s="4304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3588">
        <v>28</v>
      </c>
      <c r="AE2" s="3588">
        <v>29</v>
      </c>
      <c r="AF2" s="3588">
        <v>30</v>
      </c>
      <c r="AG2" s="3694">
        <v>31</v>
      </c>
      <c r="AH2" s="3126"/>
    </row>
    <row r="3" spans="1:58">
      <c r="A3" s="6222"/>
      <c r="B3" s="6222"/>
      <c r="C3" s="19" t="s">
        <v>36</v>
      </c>
      <c r="D3" s="19" t="s">
        <v>36</v>
      </c>
      <c r="E3" s="3703" t="s">
        <v>37</v>
      </c>
      <c r="F3" s="2948" t="s">
        <v>33</v>
      </c>
      <c r="G3" s="2948" t="s">
        <v>34</v>
      </c>
      <c r="H3" s="3703" t="s">
        <v>33</v>
      </c>
      <c r="I3" s="3703" t="s">
        <v>35</v>
      </c>
      <c r="J3" s="19" t="s">
        <v>36</v>
      </c>
      <c r="K3" s="19" t="s">
        <v>36</v>
      </c>
      <c r="L3" s="3703" t="s">
        <v>37</v>
      </c>
      <c r="M3" s="2948" t="s">
        <v>33</v>
      </c>
      <c r="N3" s="2948" t="s">
        <v>34</v>
      </c>
      <c r="O3" s="3703" t="s">
        <v>33</v>
      </c>
      <c r="P3" s="2948" t="s">
        <v>35</v>
      </c>
      <c r="Q3" s="2946" t="s">
        <v>36</v>
      </c>
      <c r="R3" s="2946" t="s">
        <v>36</v>
      </c>
      <c r="S3" s="2948" t="s">
        <v>37</v>
      </c>
      <c r="T3" s="2948" t="s">
        <v>33</v>
      </c>
      <c r="U3" s="2948" t="s">
        <v>34</v>
      </c>
      <c r="V3" s="3703" t="s">
        <v>33</v>
      </c>
      <c r="W3" s="3703" t="s">
        <v>35</v>
      </c>
      <c r="X3" s="19" t="s">
        <v>36</v>
      </c>
      <c r="Y3" s="19" t="s">
        <v>36</v>
      </c>
      <c r="Z3" s="3703" t="s">
        <v>37</v>
      </c>
      <c r="AA3" s="2948" t="s">
        <v>33</v>
      </c>
      <c r="AB3" s="2948" t="s">
        <v>34</v>
      </c>
      <c r="AC3" s="3703" t="s">
        <v>33</v>
      </c>
      <c r="AD3" s="3703" t="s">
        <v>35</v>
      </c>
      <c r="AE3" s="19" t="s">
        <v>36</v>
      </c>
      <c r="AF3" s="19" t="s">
        <v>36</v>
      </c>
      <c r="AG3" s="40" t="s">
        <v>37</v>
      </c>
      <c r="AH3" s="3126"/>
      <c r="AI3" s="6146" t="s">
        <v>1115</v>
      </c>
      <c r="AJ3" s="6146"/>
      <c r="AK3" s="6146"/>
      <c r="AL3" s="6146"/>
      <c r="AM3" s="6146"/>
      <c r="AN3" s="6146"/>
      <c r="AO3" s="6146"/>
      <c r="AP3" s="6146"/>
      <c r="AQ3" s="6146"/>
      <c r="AR3" s="6146"/>
      <c r="AT3" s="6146" t="s">
        <v>1116</v>
      </c>
      <c r="AU3" s="6146"/>
      <c r="AV3" s="6146"/>
      <c r="AW3" s="6146"/>
      <c r="AX3" s="6146"/>
      <c r="AY3" s="6146"/>
      <c r="AZ3" s="6146"/>
      <c r="BB3" s="283" t="s">
        <v>1135</v>
      </c>
    </row>
    <row r="4" spans="1:58">
      <c r="A4" s="6220" t="s">
        <v>1117</v>
      </c>
      <c r="B4" s="6220"/>
      <c r="C4" s="3155">
        <v>2</v>
      </c>
      <c r="D4" s="3155">
        <v>3</v>
      </c>
      <c r="E4" s="3155">
        <v>0</v>
      </c>
      <c r="F4" s="3155">
        <v>0</v>
      </c>
      <c r="G4" s="3155">
        <v>0</v>
      </c>
      <c r="H4" s="3155">
        <v>0</v>
      </c>
      <c r="I4" s="3155">
        <v>1</v>
      </c>
      <c r="J4" s="3155">
        <v>2</v>
      </c>
      <c r="K4" s="3155">
        <v>3</v>
      </c>
      <c r="L4" s="3155">
        <v>0</v>
      </c>
      <c r="M4" s="3155">
        <v>0</v>
      </c>
      <c r="N4" s="3155">
        <v>0</v>
      </c>
      <c r="O4" s="3155">
        <v>0</v>
      </c>
      <c r="P4" s="3155">
        <v>1</v>
      </c>
      <c r="Q4" s="3155">
        <v>2</v>
      </c>
      <c r="R4" s="3155">
        <v>3</v>
      </c>
      <c r="S4" s="3155">
        <v>0</v>
      </c>
      <c r="T4" s="3155">
        <v>0</v>
      </c>
      <c r="U4" s="3155">
        <v>0</v>
      </c>
      <c r="V4" s="3155">
        <v>0</v>
      </c>
      <c r="W4" s="3155">
        <v>1</v>
      </c>
      <c r="X4" s="3155">
        <v>2</v>
      </c>
      <c r="Y4" s="3155">
        <v>3</v>
      </c>
      <c r="Z4" s="3155">
        <v>0</v>
      </c>
      <c r="AA4" s="3155">
        <v>0</v>
      </c>
      <c r="AB4" s="3155">
        <v>0</v>
      </c>
      <c r="AC4" s="3155">
        <v>0</v>
      </c>
      <c r="AD4" s="3155">
        <v>1</v>
      </c>
      <c r="AE4" s="3155">
        <v>2</v>
      </c>
      <c r="AF4" s="3155">
        <v>3</v>
      </c>
      <c r="AG4" s="3155">
        <v>0</v>
      </c>
      <c r="AH4" s="3126"/>
      <c r="AI4" s="283" t="s">
        <v>1118</v>
      </c>
      <c r="AJ4" s="283" t="s">
        <v>1119</v>
      </c>
      <c r="AK4" s="283" t="s">
        <v>1120</v>
      </c>
      <c r="AL4" s="283" t="s">
        <v>1121</v>
      </c>
      <c r="AM4" s="283" t="s">
        <v>1122</v>
      </c>
      <c r="AN4" s="283" t="s">
        <v>1123</v>
      </c>
      <c r="AO4" s="283" t="s">
        <v>1124</v>
      </c>
      <c r="AP4" s="283" t="s">
        <v>1125</v>
      </c>
      <c r="AQ4" s="283" t="s">
        <v>1126</v>
      </c>
      <c r="AR4" s="283" t="s">
        <v>1127</v>
      </c>
      <c r="AT4" s="283" t="s">
        <v>1128</v>
      </c>
      <c r="AU4" s="283" t="s">
        <v>1129</v>
      </c>
      <c r="AV4" s="283" t="s">
        <v>1130</v>
      </c>
      <c r="AW4" s="283" t="s">
        <v>1131</v>
      </c>
      <c r="AX4" s="283" t="s">
        <v>1132</v>
      </c>
      <c r="AY4" s="283" t="s">
        <v>1133</v>
      </c>
      <c r="AZ4" s="283" t="s">
        <v>1134</v>
      </c>
    </row>
    <row r="5" spans="1:58">
      <c r="A5" s="56"/>
      <c r="B5" s="56"/>
      <c r="C5" s="537"/>
      <c r="D5" s="537"/>
      <c r="E5" s="6190" t="s">
        <v>1234</v>
      </c>
      <c r="F5" s="6190"/>
      <c r="G5" s="6190"/>
      <c r="H5" s="6190"/>
      <c r="I5" s="6190"/>
      <c r="J5" s="1459" t="s">
        <v>720</v>
      </c>
      <c r="K5" s="537"/>
      <c r="L5" s="537"/>
      <c r="M5" s="374"/>
      <c r="N5" s="374"/>
      <c r="O5" s="1459"/>
      <c r="P5" s="537"/>
      <c r="Q5" s="537"/>
      <c r="R5" s="537"/>
      <c r="S5" s="374"/>
      <c r="T5" s="374"/>
      <c r="U5" s="537"/>
      <c r="V5" s="1459" t="s">
        <v>720</v>
      </c>
      <c r="W5" s="537"/>
      <c r="X5" s="537"/>
      <c r="Y5" s="3010" t="s">
        <v>1025</v>
      </c>
      <c r="Z5" s="6190" t="s">
        <v>1237</v>
      </c>
      <c r="AA5" s="6190"/>
      <c r="AB5" s="6190"/>
      <c r="AC5" s="6190"/>
      <c r="AD5" s="6190"/>
      <c r="AE5" s="3156" t="s">
        <v>1025</v>
      </c>
      <c r="AF5" s="779"/>
      <c r="AG5" s="779"/>
      <c r="AH5" s="3126"/>
    </row>
    <row r="6" spans="1:58">
      <c r="A6" s="56" t="s">
        <v>561</v>
      </c>
      <c r="B6" s="56" t="s">
        <v>718</v>
      </c>
      <c r="C6" s="2659">
        <v>0</v>
      </c>
      <c r="D6" s="2659">
        <v>0</v>
      </c>
      <c r="E6" s="2659">
        <v>7</v>
      </c>
      <c r="F6" s="2659">
        <v>7</v>
      </c>
      <c r="G6" s="2659">
        <v>7</v>
      </c>
      <c r="H6" s="2659">
        <v>7</v>
      </c>
      <c r="I6" s="2659">
        <v>7</v>
      </c>
      <c r="J6" s="2659">
        <v>8</v>
      </c>
      <c r="K6" s="2659">
        <v>0</v>
      </c>
      <c r="L6" s="2659">
        <v>0</v>
      </c>
      <c r="M6" s="2659">
        <v>0</v>
      </c>
      <c r="N6" s="2659">
        <v>0</v>
      </c>
      <c r="O6" s="2659"/>
      <c r="P6" s="2659">
        <v>0</v>
      </c>
      <c r="Q6" s="2659">
        <v>0</v>
      </c>
      <c r="R6" s="2659">
        <v>0</v>
      </c>
      <c r="S6" s="2659">
        <v>0</v>
      </c>
      <c r="T6" s="2659">
        <v>0</v>
      </c>
      <c r="U6" s="2659">
        <v>0</v>
      </c>
      <c r="V6" s="2659">
        <v>8</v>
      </c>
      <c r="W6" s="2659">
        <v>0</v>
      </c>
      <c r="X6" s="2659">
        <v>0</v>
      </c>
      <c r="Y6" s="2659">
        <v>1</v>
      </c>
      <c r="Z6" s="2659">
        <v>2</v>
      </c>
      <c r="AA6" s="2659">
        <v>2</v>
      </c>
      <c r="AB6" s="2659">
        <v>2</v>
      </c>
      <c r="AC6" s="2659">
        <v>2</v>
      </c>
      <c r="AD6" s="2659">
        <v>2</v>
      </c>
      <c r="AE6" s="2659">
        <v>3</v>
      </c>
      <c r="AF6" s="2659">
        <v>0</v>
      </c>
      <c r="AG6" s="2659">
        <v>0</v>
      </c>
      <c r="AH6" s="3126"/>
      <c r="AI6" s="283" cm="1">
        <f t="array" ref="AI6">SUM(COUNTIFS($C6:$AG6,{"0","4","5","6","7","8","9"}))</f>
        <v>23</v>
      </c>
      <c r="AJ6" s="283" cm="1">
        <f t="array" ref="AJ6">SUM(COUNTIFS($C6:$AG6,{"0","4","5","6","7","8","9"},$C$4:$AG$4,"0"))</f>
        <v>12</v>
      </c>
      <c r="AK6" s="283" cm="1">
        <f t="array" ref="AK6">SUM(COUNTIFS($C6:$AG6,{"0","4","5","6","7","8","9"},$C$4:$AG$4,"1"))</f>
        <v>3</v>
      </c>
      <c r="AL6" s="283" cm="1">
        <f t="array" ref="AL6">SUM(COUNTIFS($C6:$AG6,{"0","4","5","6","7","8","9"},$C$4:$AG$4,"2"))</f>
        <v>4</v>
      </c>
      <c r="AM6" s="283" cm="1">
        <f t="array" ref="AM6">SUM(COUNTIFS($C6:$AG6,{"0","4","5","6","7","8","9"},$C$4:$AG$4,"3"))</f>
        <v>4</v>
      </c>
      <c r="AN6" s="283" cm="1">
        <f t="array" ref="AN6">SUM(COUNTIFS($C6:$AG6,{"1","2","3"}))</f>
        <v>7</v>
      </c>
      <c r="AO6" s="283" cm="1">
        <f t="array" ref="AO6">SUM(COUNTIFS($C6:$AG6,{"4","5","6"}))</f>
        <v>0</v>
      </c>
      <c r="AP6" s="283">
        <f>AJ6*'Spreadsheet Key'!$A$23 + AK6*'Spreadsheet Key'!$A$24 + AL6*'Spreadsheet Key'!$A$25 + AM6*'Spreadsheet Key'!$A$26</f>
        <v>938</v>
      </c>
      <c r="AQ6" s="283" t="e">
        <f>AI6/(#REF!)</f>
        <v>#REF!</v>
      </c>
      <c r="AR6" s="283" t="e">
        <f>AQ6*#REF!</f>
        <v>#REF!</v>
      </c>
      <c r="AT6" s="283">
        <f>COUNTIFS($C6:$AG6,"8",$C$4:$AG$4,"0")</f>
        <v>1</v>
      </c>
      <c r="AU6" s="283">
        <f>COUNTIFS($C6:$AG6,"9",$C$4:$AG$4,"0")</f>
        <v>0</v>
      </c>
      <c r="AV6" s="283">
        <f>COUNTIFS($C6:$AG6,"8",$C$4:$AG$4,"1")</f>
        <v>0</v>
      </c>
      <c r="AW6" s="283" cm="1">
        <f t="array" ref="AW6">COUNTIFS($C6:$AG6,"9",$C$4:$AG$4,"1")+SUM(COUNTIFS($C6:$AG6,{"8","9"},$C$4:$AG$4,"2"))+COUNTIFS($C6:$AG6,"8",$C$4:$AG$4,"3")</f>
        <v>1</v>
      </c>
      <c r="AX6" s="283">
        <f>COUNTIFS($C6:$AG6,"9",$C$4:$AG$4,"3")</f>
        <v>0</v>
      </c>
      <c r="AY6" s="283">
        <f>SUM(AT6:AX6)</f>
        <v>2</v>
      </c>
      <c r="AZ6" s="283">
        <f>AT6*'Spreadsheet Key'!$A$27+AU6*'Spreadsheet Key'!$A$28+AV6*'Spreadsheet Key'!$A$29+AW6*'Spreadsheet Key'!$A$30+AX6*'Spreadsheet Key'!$A$31</f>
        <v>46</v>
      </c>
      <c r="BB6" s="283" t="e">
        <f>AR6-AZ6</f>
        <v>#REF!</v>
      </c>
    </row>
    <row r="7" spans="1:58">
      <c r="A7" s="56"/>
      <c r="B7" s="56"/>
      <c r="C7" s="779"/>
      <c r="D7" s="2639" t="s">
        <v>720</v>
      </c>
      <c r="E7" s="6190" t="s">
        <v>1234</v>
      </c>
      <c r="F7" s="6190"/>
      <c r="G7" s="6190"/>
      <c r="H7" s="6190"/>
      <c r="I7" s="6190"/>
      <c r="J7" s="3685" t="s">
        <v>720</v>
      </c>
      <c r="K7" s="779"/>
      <c r="L7" s="779"/>
      <c r="M7" s="779"/>
      <c r="N7" s="779"/>
      <c r="O7" s="5270" t="s">
        <v>1238</v>
      </c>
      <c r="P7" s="5270"/>
      <c r="Q7" s="5270"/>
      <c r="R7" s="5270"/>
      <c r="S7" s="779"/>
      <c r="T7" s="2434" t="s">
        <v>722</v>
      </c>
      <c r="U7" s="779"/>
      <c r="V7" s="779"/>
      <c r="W7" s="779"/>
      <c r="X7" s="779"/>
      <c r="Y7" s="3010" t="s">
        <v>1025</v>
      </c>
      <c r="Z7" s="6190" t="s">
        <v>1237</v>
      </c>
      <c r="AA7" s="6190"/>
      <c r="AB7" s="6190"/>
      <c r="AC7" s="6190"/>
      <c r="AD7" s="6190"/>
      <c r="AE7" s="3010" t="s">
        <v>1025</v>
      </c>
      <c r="AF7" s="779"/>
      <c r="AG7" s="779"/>
      <c r="AH7" s="3126"/>
      <c r="AI7" s="283" cm="1">
        <f t="array" ref="AI7">SUM(COUNTIFS($C7:$AG7,{"0","4","5","6","7","8","9"}))</f>
        <v>0</v>
      </c>
      <c r="AJ7" s="283" cm="1">
        <f t="array" ref="AJ7">SUM(COUNTIFS($C7:$AG7,{"0","4","5","6","7","8","9"},$C$4:$AG$4,"0"))</f>
        <v>0</v>
      </c>
      <c r="AK7" s="283" cm="1">
        <f t="array" ref="AK7">SUM(COUNTIFS($C7:$AG7,{"0","4","5","6","7","8","9"},$C$4:$AG$4,"1"))</f>
        <v>0</v>
      </c>
      <c r="AL7" s="283" cm="1">
        <f t="array" ref="AL7">SUM(COUNTIFS($C7:$AG7,{"0","4","5","6","7","8","9"},$C$4:$AG$4,"2"))</f>
        <v>0</v>
      </c>
      <c r="AM7" s="283" cm="1">
        <f t="array" ref="AM7">SUM(COUNTIFS($C7:$AG7,{"0","4","5","6","7","8","9"},$C$4:$AG$4,"3"))</f>
        <v>0</v>
      </c>
      <c r="AN7" s="283" cm="1">
        <f t="array" ref="AN7">SUM(COUNTIFS($C7:$AG7,{"1","2","3"}))</f>
        <v>0</v>
      </c>
      <c r="AO7" s="283" cm="1">
        <f t="array" ref="AO7">SUM(COUNTIFS($C7:$AG7,{"4","5","6"}))</f>
        <v>0</v>
      </c>
      <c r="AP7" s="283">
        <f>AJ7*'Spreadsheet Key'!$A$23 + AK7*'Spreadsheet Key'!$A$24 + AL7*'Spreadsheet Key'!$A$25 + AM7*'Spreadsheet Key'!$A$26</f>
        <v>0</v>
      </c>
      <c r="AQ7" s="283" t="e">
        <f>AI7/(#REF!)</f>
        <v>#REF!</v>
      </c>
      <c r="AR7" s="283" t="e">
        <f>AQ7*#REF!</f>
        <v>#REF!</v>
      </c>
      <c r="AT7" s="283">
        <f t="shared" ref="AT7:AT55" si="0">COUNTIFS($C7:$AG7,"8",$C$4:$AG$4,"0")</f>
        <v>0</v>
      </c>
      <c r="AU7" s="283">
        <f t="shared" ref="AU7:AU55" si="1">COUNTIFS($C7:$AG7,"9",$C$4:$AG$4,"0")</f>
        <v>0</v>
      </c>
      <c r="AV7" s="283">
        <f t="shared" ref="AV7:AV55" si="2">COUNTIFS($C7:$AG7,"8",$C$4:$AG$4,"1")</f>
        <v>0</v>
      </c>
      <c r="AW7" s="283" cm="1">
        <f t="array" ref="AW7">COUNTIFS($C7:$AG7,"9",$C$4:$AG$4,"1")+SUM(COUNTIFS($C7:$AG7,{"8","9"},$C$4:$AG$4,"2"))+COUNTIFS($C7:$AG7,"8",$C$4:$AG$4,"3")</f>
        <v>0</v>
      </c>
      <c r="AX7" s="283">
        <f t="shared" ref="AX7:AX55" si="3">COUNTIFS($C7:$AG7,"9",$C$4:$AG$4,"3")</f>
        <v>0</v>
      </c>
      <c r="AY7" s="283">
        <f t="shared" ref="AY7:AY55" si="4">SUM(AT7:AX7)</f>
        <v>0</v>
      </c>
      <c r="AZ7" s="283">
        <f>AT7*'Spreadsheet Key'!$A$27+AU7*'Spreadsheet Key'!$A$28+AV7*'Spreadsheet Key'!$A$29+AW7*'Spreadsheet Key'!$A$30+AX7*'Spreadsheet Key'!$A$31</f>
        <v>0</v>
      </c>
    </row>
    <row r="8" spans="1:58">
      <c r="A8" s="56" t="s">
        <v>326</v>
      </c>
      <c r="B8" s="56" t="s">
        <v>327</v>
      </c>
      <c r="C8" s="2659">
        <v>0</v>
      </c>
      <c r="D8" s="2659">
        <v>8</v>
      </c>
      <c r="E8" s="2659">
        <v>7</v>
      </c>
      <c r="F8" s="2659">
        <v>7</v>
      </c>
      <c r="G8" s="2659">
        <v>7</v>
      </c>
      <c r="H8" s="2659">
        <v>7</v>
      </c>
      <c r="I8" s="2659">
        <v>7</v>
      </c>
      <c r="J8" s="2659">
        <v>8</v>
      </c>
      <c r="K8" s="2659">
        <v>0</v>
      </c>
      <c r="L8" s="2659">
        <v>0</v>
      </c>
      <c r="M8" s="2659">
        <v>0</v>
      </c>
      <c r="N8" s="2659">
        <v>0</v>
      </c>
      <c r="O8" s="2659">
        <v>1</v>
      </c>
      <c r="P8" s="2659">
        <v>2</v>
      </c>
      <c r="Q8" s="2659">
        <v>2</v>
      </c>
      <c r="R8" s="2659">
        <v>3</v>
      </c>
      <c r="S8" s="2659">
        <v>0</v>
      </c>
      <c r="T8" s="2659">
        <v>9</v>
      </c>
      <c r="U8" s="2659">
        <v>0</v>
      </c>
      <c r="V8" s="2659">
        <v>0</v>
      </c>
      <c r="W8" s="2659">
        <v>0</v>
      </c>
      <c r="X8" s="2659">
        <v>0</v>
      </c>
      <c r="Y8" s="2659">
        <v>1</v>
      </c>
      <c r="Z8" s="2659">
        <v>2</v>
      </c>
      <c r="AA8" s="2659">
        <v>2</v>
      </c>
      <c r="AB8" s="2659">
        <v>2</v>
      </c>
      <c r="AC8" s="2659">
        <v>2</v>
      </c>
      <c r="AD8" s="2659">
        <v>2</v>
      </c>
      <c r="AE8" s="2659">
        <v>3</v>
      </c>
      <c r="AF8" s="2659">
        <v>0</v>
      </c>
      <c r="AG8" s="2659">
        <v>0</v>
      </c>
      <c r="AH8" s="3126"/>
      <c r="AI8" s="283" cm="1">
        <f t="array" ref="AI8">SUM(COUNTIFS($C8:$AG8,{"0","4","5","6","7","8","9"}))</f>
        <v>20</v>
      </c>
      <c r="AJ8" s="283" cm="1">
        <f t="array" ref="AJ8">SUM(COUNTIFS($C8:$AG8,{"0","4","5","6","7","8","9"},$C$4:$AG$4,"0"))</f>
        <v>12</v>
      </c>
      <c r="AK8" s="283" cm="1">
        <f t="array" ref="AK8">SUM(COUNTIFS($C8:$AG8,{"0","4","5","6","7","8","9"},$C$4:$AG$4,"1"))</f>
        <v>2</v>
      </c>
      <c r="AL8" s="283" cm="1">
        <f t="array" ref="AL8">SUM(COUNTIFS($C8:$AG8,{"0","4","5","6","7","8","9"},$C$4:$AG$4,"2"))</f>
        <v>3</v>
      </c>
      <c r="AM8" s="283" cm="1">
        <f t="array" ref="AM8">SUM(COUNTIFS($C8:$AG8,{"0","4","5","6","7","8","9"},$C$4:$AG$4,"3"))</f>
        <v>3</v>
      </c>
      <c r="AN8" s="283" cm="1">
        <f t="array" ref="AN8">SUM(COUNTIFS($C8:$AG8,{"1","2","3"}))</f>
        <v>11</v>
      </c>
      <c r="AO8" s="283" cm="1">
        <f t="array" ref="AO8">SUM(COUNTIFS($C8:$AG8,{"4","5","6"}))</f>
        <v>0</v>
      </c>
      <c r="AP8" s="283">
        <f>AJ8*'Spreadsheet Key'!$A$23 + AK8*'Spreadsheet Key'!$A$24 + AL8*'Spreadsheet Key'!$A$25 + AM8*'Spreadsheet Key'!$A$26</f>
        <v>756</v>
      </c>
      <c r="AQ8" s="283" t="e">
        <f>AI8/(#REF!)</f>
        <v>#REF!</v>
      </c>
      <c r="AR8" s="283" t="e">
        <f>AQ8*#REF!</f>
        <v>#REF!</v>
      </c>
      <c r="AT8" s="283">
        <f t="shared" si="0"/>
        <v>0</v>
      </c>
      <c r="AU8" s="283">
        <f t="shared" si="1"/>
        <v>1</v>
      </c>
      <c r="AV8" s="283">
        <f t="shared" si="2"/>
        <v>0</v>
      </c>
      <c r="AW8" s="283" cm="1">
        <f t="array" ref="AW8">COUNTIFS($C8:$AG8,"9",$C$4:$AG$4,"1")+SUM(COUNTIFS($C8:$AG8,{"8","9"},$C$4:$AG$4,"2"))+COUNTIFS($C8:$AG8,"8",$C$4:$AG$4,"3")</f>
        <v>2</v>
      </c>
      <c r="AX8" s="283">
        <f t="shared" si="3"/>
        <v>0</v>
      </c>
      <c r="AY8" s="283">
        <f t="shared" si="4"/>
        <v>3</v>
      </c>
      <c r="AZ8" s="283">
        <f>AT8*'Spreadsheet Key'!$A$27+AU8*'Spreadsheet Key'!$A$28+AV8*'Spreadsheet Key'!$A$29+AW8*'Spreadsheet Key'!$A$30+AX8*'Spreadsheet Key'!$A$31</f>
        <v>84</v>
      </c>
      <c r="BB8" s="283" t="e">
        <f t="shared" ref="BB8:BB54" si="5">AR8-AZ8</f>
        <v>#REF!</v>
      </c>
    </row>
    <row r="9" spans="1:58">
      <c r="A9" s="56"/>
      <c r="B9" s="56"/>
      <c r="C9" s="779"/>
      <c r="D9" s="779"/>
      <c r="E9" s="6190" t="s">
        <v>1234</v>
      </c>
      <c r="F9" s="6190"/>
      <c r="G9" s="6190"/>
      <c r="H9" s="6190"/>
      <c r="I9" s="6190"/>
      <c r="J9" s="3685" t="s">
        <v>722</v>
      </c>
      <c r="K9" s="779"/>
      <c r="L9" s="779"/>
      <c r="M9" s="2434" t="s">
        <v>720</v>
      </c>
      <c r="N9" s="779"/>
      <c r="O9" s="779"/>
      <c r="P9" s="779"/>
      <c r="Q9" s="779"/>
      <c r="R9" s="779"/>
      <c r="S9" s="779"/>
      <c r="T9" s="2434"/>
      <c r="U9" s="779"/>
      <c r="V9" s="779"/>
      <c r="W9" s="2434" t="s">
        <v>722</v>
      </c>
      <c r="X9" s="779"/>
      <c r="Y9" s="779"/>
      <c r="Z9" s="779"/>
      <c r="AA9" s="779"/>
      <c r="AB9" s="779"/>
      <c r="AC9" s="779"/>
      <c r="AD9" s="3010" t="s">
        <v>1025</v>
      </c>
      <c r="AE9" s="6244" t="s">
        <v>1231</v>
      </c>
      <c r="AF9" s="6244"/>
      <c r="AG9" s="3010" t="s">
        <v>1025</v>
      </c>
      <c r="AH9" s="3126"/>
      <c r="AI9" s="283" cm="1">
        <f t="array" ref="AI9">SUM(COUNTIFS($C9:$AG9,{"0","4","5","6","7","8","9"}))</f>
        <v>0</v>
      </c>
      <c r="AJ9" s="283" cm="1">
        <f t="array" ref="AJ9">SUM(COUNTIFS($C9:$AG9,{"0","4","5","6","7","8","9"},$C$4:$AG$4,"0"))</f>
        <v>0</v>
      </c>
      <c r="AK9" s="283" cm="1">
        <f t="array" ref="AK9">SUM(COUNTIFS($C9:$AG9,{"0","4","5","6","7","8","9"},$C$4:$AG$4,"1"))</f>
        <v>0</v>
      </c>
      <c r="AL9" s="283" cm="1">
        <f t="array" ref="AL9">SUM(COUNTIFS($C9:$AG9,{"0","4","5","6","7","8","9"},$C$4:$AG$4,"2"))</f>
        <v>0</v>
      </c>
      <c r="AM9" s="283" cm="1">
        <f t="array" ref="AM9">SUM(COUNTIFS($C9:$AG9,{"0","4","5","6","7","8","9"},$C$4:$AG$4,"3"))</f>
        <v>0</v>
      </c>
      <c r="AN9" s="283" cm="1">
        <f t="array" ref="AN9">SUM(COUNTIFS($C9:$AG9,{"1","2","3"}))</f>
        <v>0</v>
      </c>
      <c r="AO9" s="283" cm="1">
        <f t="array" ref="AO9">SUM(COUNTIFS($C9:$AG9,{"4","5","6"}))</f>
        <v>0</v>
      </c>
      <c r="AP9" s="283">
        <f>AJ9*'Spreadsheet Key'!$A$23 + AK9*'Spreadsheet Key'!$A$24 + AL9*'Spreadsheet Key'!$A$25 + AM9*'Spreadsheet Key'!$A$26</f>
        <v>0</v>
      </c>
      <c r="AQ9" s="283" t="e">
        <f>AI9/(#REF!)</f>
        <v>#REF!</v>
      </c>
      <c r="AR9" s="283" t="e">
        <f>AQ9*#REF!</f>
        <v>#REF!</v>
      </c>
      <c r="AT9" s="283">
        <f t="shared" si="0"/>
        <v>0</v>
      </c>
      <c r="AU9" s="283">
        <f t="shared" si="1"/>
        <v>0</v>
      </c>
      <c r="AV9" s="283">
        <f t="shared" si="2"/>
        <v>0</v>
      </c>
      <c r="AW9" s="283" cm="1">
        <f t="array" ref="AW9">COUNTIFS($C9:$AG9,"9",$C$4:$AG$4,"1")+SUM(COUNTIFS($C9:$AG9,{"8","9"},$C$4:$AG$4,"2"))+COUNTIFS($C9:$AG9,"8",$C$4:$AG$4,"3")</f>
        <v>0</v>
      </c>
      <c r="AX9" s="283">
        <f t="shared" si="3"/>
        <v>0</v>
      </c>
      <c r="AY9" s="283">
        <f t="shared" si="4"/>
        <v>0</v>
      </c>
      <c r="AZ9" s="283">
        <f>AT9*'Spreadsheet Key'!$A$27+AU9*'Spreadsheet Key'!$A$28+AV9*'Spreadsheet Key'!$A$29+AW9*'Spreadsheet Key'!$A$30+AX9*'Spreadsheet Key'!$A$31</f>
        <v>0</v>
      </c>
    </row>
    <row r="10" spans="1:58">
      <c r="A10" s="56" t="s">
        <v>606</v>
      </c>
      <c r="B10" s="56" t="s">
        <v>98</v>
      </c>
      <c r="C10" s="2659">
        <v>0</v>
      </c>
      <c r="D10" s="2659">
        <v>0</v>
      </c>
      <c r="E10" s="2659">
        <v>7</v>
      </c>
      <c r="F10" s="2659">
        <v>7</v>
      </c>
      <c r="G10" s="2659">
        <v>7</v>
      </c>
      <c r="H10" s="2659">
        <v>7</v>
      </c>
      <c r="I10" s="2659">
        <v>7</v>
      </c>
      <c r="J10" s="2659">
        <v>9</v>
      </c>
      <c r="K10" s="2659">
        <v>0</v>
      </c>
      <c r="L10" s="2659">
        <v>0</v>
      </c>
      <c r="M10" s="2659">
        <v>8</v>
      </c>
      <c r="N10" s="2659">
        <v>0</v>
      </c>
      <c r="O10" s="2659">
        <v>0</v>
      </c>
      <c r="P10" s="2659">
        <v>0</v>
      </c>
      <c r="Q10" s="2659">
        <v>0</v>
      </c>
      <c r="R10" s="2659">
        <v>0</v>
      </c>
      <c r="S10" s="2659">
        <v>0</v>
      </c>
      <c r="T10" s="2659">
        <v>0</v>
      </c>
      <c r="U10" s="2659">
        <v>0</v>
      </c>
      <c r="V10" s="2659">
        <v>0</v>
      </c>
      <c r="W10" s="2659">
        <v>9</v>
      </c>
      <c r="X10" s="2659">
        <v>0</v>
      </c>
      <c r="Y10" s="2659">
        <v>0</v>
      </c>
      <c r="Z10" s="2659">
        <v>0</v>
      </c>
      <c r="AA10" s="2659">
        <v>0</v>
      </c>
      <c r="AB10" s="2659">
        <v>0</v>
      </c>
      <c r="AC10" s="2659">
        <v>0</v>
      </c>
      <c r="AD10" s="2659">
        <v>1</v>
      </c>
      <c r="AE10" s="2659">
        <v>2</v>
      </c>
      <c r="AF10" s="2659">
        <v>2</v>
      </c>
      <c r="AG10" s="2659">
        <v>3</v>
      </c>
      <c r="AH10" s="3126"/>
      <c r="AI10" s="283" cm="1">
        <f t="array" ref="AI10">SUM(COUNTIFS($C10:$AG10,{"0","4","5","6","7","8","9"}))</f>
        <v>27</v>
      </c>
      <c r="AJ10" s="283" cm="1">
        <f t="array" ref="AJ10">SUM(COUNTIFS($C10:$AG10,{"0","4","5","6","7","8","9"},$C$4:$AG$4,"0"))</f>
        <v>16</v>
      </c>
      <c r="AK10" s="283" cm="1">
        <f t="array" ref="AK10">SUM(COUNTIFS($C10:$AG10,{"0","4","5","6","7","8","9"},$C$4:$AG$4,"1"))</f>
        <v>3</v>
      </c>
      <c r="AL10" s="283" cm="1">
        <f t="array" ref="AL10">SUM(COUNTIFS($C10:$AG10,{"0","4","5","6","7","8","9"},$C$4:$AG$4,"2"))</f>
        <v>4</v>
      </c>
      <c r="AM10" s="283" cm="1">
        <f t="array" ref="AM10">SUM(COUNTIFS($C10:$AG10,{"0","4","5","6","7","8","9"},$C$4:$AG$4,"3"))</f>
        <v>4</v>
      </c>
      <c r="AN10" s="283" cm="1">
        <f t="array" ref="AN10">SUM(COUNTIFS($C10:$AG10,{"1","2","3"}))</f>
        <v>4</v>
      </c>
      <c r="AO10" s="283" cm="1">
        <f t="array" ref="AO10">SUM(COUNTIFS($C10:$AG10,{"4","5","6"}))</f>
        <v>0</v>
      </c>
      <c r="AP10" s="283">
        <f>AJ10*'Spreadsheet Key'!$A$23 + AK10*'Spreadsheet Key'!$A$24 + AL10*'Spreadsheet Key'!$A$25 + AM10*'Spreadsheet Key'!$A$26</f>
        <v>1026</v>
      </c>
      <c r="AQ10" s="283" t="e">
        <f>AI10/(#REF!)</f>
        <v>#REF!</v>
      </c>
      <c r="AR10" s="283" t="e">
        <f>AQ10*#REF!</f>
        <v>#REF!</v>
      </c>
      <c r="AT10" s="283">
        <f t="shared" si="0"/>
        <v>1</v>
      </c>
      <c r="AU10" s="283">
        <f t="shared" si="1"/>
        <v>0</v>
      </c>
      <c r="AV10" s="283">
        <f t="shared" si="2"/>
        <v>0</v>
      </c>
      <c r="AW10" s="283" cm="1">
        <f t="array" ref="AW10">COUNTIFS($C10:$AG10,"9",$C$4:$AG$4,"1")+SUM(COUNTIFS($C10:$AG10,{"8","9"},$C$4:$AG$4,"2"))+COUNTIFS($C10:$AG10,"8",$C$4:$AG$4,"3")</f>
        <v>2</v>
      </c>
      <c r="AX10" s="283">
        <f t="shared" si="3"/>
        <v>0</v>
      </c>
      <c r="AY10" s="283">
        <f t="shared" si="4"/>
        <v>3</v>
      </c>
      <c r="AZ10" s="283">
        <f>AT10*'Spreadsheet Key'!$A$27+AU10*'Spreadsheet Key'!$A$28+AV10*'Spreadsheet Key'!$A$29+AW10*'Spreadsheet Key'!$A$30+AX10*'Spreadsheet Key'!$A$31</f>
        <v>82</v>
      </c>
      <c r="BB10" s="283" t="e">
        <f t="shared" si="5"/>
        <v>#REF!</v>
      </c>
    </row>
    <row r="11" spans="1:58">
      <c r="A11" s="2389"/>
      <c r="B11" s="56"/>
      <c r="C11" s="779"/>
      <c r="D11" s="779"/>
      <c r="E11" s="6190" t="s">
        <v>1234</v>
      </c>
      <c r="F11" s="6190"/>
      <c r="G11" s="6190"/>
      <c r="H11" s="6190"/>
      <c r="I11" s="6190"/>
      <c r="J11" s="779"/>
      <c r="K11" s="2456" t="s">
        <v>720</v>
      </c>
      <c r="L11" s="2"/>
      <c r="M11" s="2949" t="s">
        <v>1235</v>
      </c>
      <c r="N11" s="779"/>
      <c r="O11" s="779"/>
      <c r="P11" s="779"/>
      <c r="Q11" s="779"/>
      <c r="R11" s="3010" t="s">
        <v>1025</v>
      </c>
      <c r="S11" s="5914" t="s">
        <v>1242</v>
      </c>
      <c r="T11" s="5914"/>
      <c r="U11" s="5914"/>
      <c r="V11" s="3010" t="s">
        <v>1025</v>
      </c>
      <c r="W11" s="2"/>
      <c r="X11" s="2894"/>
      <c r="Y11" s="2"/>
      <c r="Z11" s="779"/>
      <c r="AA11" s="779"/>
      <c r="AB11" s="2434" t="s">
        <v>722</v>
      </c>
      <c r="AC11" s="779"/>
      <c r="AD11" s="779"/>
      <c r="AE11" s="779"/>
      <c r="AF11" s="779"/>
      <c r="AG11" s="3010" t="s">
        <v>1025</v>
      </c>
      <c r="AH11" s="3126"/>
      <c r="AI11" s="283" cm="1">
        <f t="array" ref="AI11">SUM(COUNTIFS($C11:$AG11,{"0","4","5","6","7","8","9"}))</f>
        <v>0</v>
      </c>
      <c r="AJ11" s="283" cm="1">
        <f t="array" ref="AJ11">SUM(COUNTIFS($C11:$AG11,{"0","4","5","6","7","8","9"},$C$4:$AG$4,"0"))</f>
        <v>0</v>
      </c>
      <c r="AK11" s="283" cm="1">
        <f t="array" ref="AK11">SUM(COUNTIFS($C11:$AG11,{"0","4","5","6","7","8","9"},$C$4:$AG$4,"1"))</f>
        <v>0</v>
      </c>
      <c r="AL11" s="283" cm="1">
        <f t="array" ref="AL11">SUM(COUNTIFS($C11:$AG11,{"0","4","5","6","7","8","9"},$C$4:$AG$4,"2"))</f>
        <v>0</v>
      </c>
      <c r="AM11" s="283" cm="1">
        <f t="array" ref="AM11">SUM(COUNTIFS($C11:$AG11,{"0","4","5","6","7","8","9"},$C$4:$AG$4,"3"))</f>
        <v>0</v>
      </c>
      <c r="AN11" s="283" cm="1">
        <f t="array" ref="AN11">SUM(COUNTIFS($C11:$AG11,{"1","2","3"}))</f>
        <v>0</v>
      </c>
      <c r="AO11" s="283" cm="1">
        <f t="array" ref="AO11">SUM(COUNTIFS($C11:$AG11,{"4","5","6"}))</f>
        <v>0</v>
      </c>
      <c r="AP11" s="283">
        <f>AJ11*'Spreadsheet Key'!$A$23 + AK11*'Spreadsheet Key'!$A$24 + AL11*'Spreadsheet Key'!$A$25 + AM11*'Spreadsheet Key'!$A$26</f>
        <v>0</v>
      </c>
      <c r="AQ11" s="283" t="e">
        <f>AI11/(#REF!)</f>
        <v>#REF!</v>
      </c>
      <c r="AR11" s="283" t="e">
        <f>AQ11*#REF!</f>
        <v>#REF!</v>
      </c>
      <c r="AT11" s="283">
        <f t="shared" si="0"/>
        <v>0</v>
      </c>
      <c r="AU11" s="283">
        <f t="shared" si="1"/>
        <v>0</v>
      </c>
      <c r="AV11" s="283">
        <f t="shared" si="2"/>
        <v>0</v>
      </c>
      <c r="AW11" s="283" cm="1">
        <f t="array" ref="AW11">COUNTIFS($C11:$AG11,"9",$C$4:$AG$4,"1")+SUM(COUNTIFS($C11:$AG11,{"8","9"},$C$4:$AG$4,"2"))+COUNTIFS($C11:$AG11,"8",$C$4:$AG$4,"3")</f>
        <v>0</v>
      </c>
      <c r="AX11" s="283">
        <f t="shared" si="3"/>
        <v>0</v>
      </c>
      <c r="AY11" s="283">
        <f t="shared" si="4"/>
        <v>0</v>
      </c>
      <c r="AZ11" s="283">
        <f>AT11*'Spreadsheet Key'!$A$27+AU11*'Spreadsheet Key'!$A$28+AV11*'Spreadsheet Key'!$A$29+AW11*'Spreadsheet Key'!$A$30+AX11*'Spreadsheet Key'!$A$31</f>
        <v>0</v>
      </c>
    </row>
    <row r="12" spans="1:58">
      <c r="A12" s="2389" t="s">
        <v>95</v>
      </c>
      <c r="B12" s="56" t="s">
        <v>726</v>
      </c>
      <c r="C12" s="2659">
        <v>0</v>
      </c>
      <c r="D12" s="2659">
        <v>0</v>
      </c>
      <c r="E12" s="2659">
        <v>7</v>
      </c>
      <c r="F12" s="2659">
        <v>7</v>
      </c>
      <c r="G12" s="2659">
        <v>7</v>
      </c>
      <c r="H12" s="2659">
        <v>7</v>
      </c>
      <c r="I12" s="2659">
        <v>7</v>
      </c>
      <c r="J12" s="2659">
        <v>0</v>
      </c>
      <c r="K12" s="2659">
        <v>8</v>
      </c>
      <c r="L12" s="2659">
        <v>0</v>
      </c>
      <c r="M12" s="2659">
        <v>7</v>
      </c>
      <c r="N12" s="2659">
        <v>0</v>
      </c>
      <c r="O12" s="2659">
        <v>0</v>
      </c>
      <c r="P12" s="2659">
        <v>0</v>
      </c>
      <c r="Q12" s="2659">
        <v>0</v>
      </c>
      <c r="R12" s="2659">
        <v>1</v>
      </c>
      <c r="S12" s="2659">
        <v>2</v>
      </c>
      <c r="T12" s="2659">
        <v>2</v>
      </c>
      <c r="U12" s="2659">
        <v>2</v>
      </c>
      <c r="V12" s="2659">
        <v>3</v>
      </c>
      <c r="W12" s="2659">
        <v>0</v>
      </c>
      <c r="X12" s="2659">
        <v>0</v>
      </c>
      <c r="Y12" s="2659">
        <v>0</v>
      </c>
      <c r="Z12" s="2659">
        <v>0</v>
      </c>
      <c r="AA12" s="2659">
        <v>0</v>
      </c>
      <c r="AB12" s="2659">
        <v>9</v>
      </c>
      <c r="AC12" s="2659">
        <v>0</v>
      </c>
      <c r="AD12" s="2659">
        <v>0</v>
      </c>
      <c r="AE12" s="2659">
        <v>0</v>
      </c>
      <c r="AF12" s="2659">
        <v>0</v>
      </c>
      <c r="AG12" s="2659">
        <v>1</v>
      </c>
      <c r="AH12" s="3126"/>
      <c r="AI12" s="283" cm="1">
        <f t="array" ref="AI12">SUM(COUNTIFS($C12:$AG12,{"0","4","5","6","7","8","9"}))</f>
        <v>25</v>
      </c>
      <c r="AJ12" s="283" cm="1">
        <f t="array" ref="AJ12">SUM(COUNTIFS($C12:$AG12,{"0","4","5","6","7","8","9"},$C$4:$AG$4,"0"))</f>
        <v>12</v>
      </c>
      <c r="AK12" s="283" cm="1">
        <f t="array" ref="AK12">SUM(COUNTIFS($C12:$AG12,{"0","4","5","6","7","8","9"},$C$4:$AG$4,"1"))</f>
        <v>4</v>
      </c>
      <c r="AL12" s="283" cm="1">
        <f t="array" ref="AL12">SUM(COUNTIFS($C12:$AG12,{"0","4","5","6","7","8","9"},$C$4:$AG$4,"2"))</f>
        <v>5</v>
      </c>
      <c r="AM12" s="283" cm="1">
        <f t="array" ref="AM12">SUM(COUNTIFS($C12:$AG12,{"0","4","5","6","7","8","9"},$C$4:$AG$4,"3"))</f>
        <v>4</v>
      </c>
      <c r="AN12" s="283" cm="1">
        <f t="array" ref="AN12">SUM(COUNTIFS($C12:$AG12,{"1","2","3"}))</f>
        <v>6</v>
      </c>
      <c r="AO12" s="283" cm="1">
        <f t="array" ref="AO12">SUM(COUNTIFS($C12:$AG12,{"4","5","6"}))</f>
        <v>0</v>
      </c>
      <c r="AP12" s="283">
        <f>AJ12*'Spreadsheet Key'!$A$23 + AK12*'Spreadsheet Key'!$A$24 + AL12*'Spreadsheet Key'!$A$25 + AM12*'Spreadsheet Key'!$A$26</f>
        <v>1064</v>
      </c>
      <c r="AQ12" s="283" t="e">
        <f>AI12/(#REF!)</f>
        <v>#REF!</v>
      </c>
      <c r="AR12" s="283" t="e">
        <f>AQ12*#REF!</f>
        <v>#REF!</v>
      </c>
      <c r="AT12" s="283">
        <f t="shared" si="0"/>
        <v>0</v>
      </c>
      <c r="AU12" s="283">
        <f t="shared" si="1"/>
        <v>1</v>
      </c>
      <c r="AV12" s="283">
        <f t="shared" si="2"/>
        <v>0</v>
      </c>
      <c r="AW12" s="283" cm="1">
        <f t="array" ref="AW12">COUNTIFS($C12:$AG12,"9",$C$4:$AG$4,"1")+SUM(COUNTIFS($C12:$AG12,{"8","9"},$C$4:$AG$4,"2"))+COUNTIFS($C12:$AG12,"8",$C$4:$AG$4,"3")</f>
        <v>1</v>
      </c>
      <c r="AX12" s="283">
        <f t="shared" si="3"/>
        <v>0</v>
      </c>
      <c r="AY12" s="283">
        <f t="shared" si="4"/>
        <v>2</v>
      </c>
      <c r="AZ12" s="283">
        <f>AT12*'Spreadsheet Key'!$A$27+AU12*'Spreadsheet Key'!$A$28+AV12*'Spreadsheet Key'!$A$29+AW12*'Spreadsheet Key'!$A$30+AX12*'Spreadsheet Key'!$A$31</f>
        <v>48</v>
      </c>
      <c r="BB12" s="283" t="e">
        <f t="shared" si="5"/>
        <v>#REF!</v>
      </c>
    </row>
    <row r="13" spans="1:58" s="3139" customFormat="1" ht="15.75">
      <c r="A13" s="56"/>
      <c r="B13" s="56"/>
      <c r="C13" s="2894"/>
      <c r="D13" s="2894"/>
      <c r="E13" s="6190" t="s">
        <v>1234</v>
      </c>
      <c r="F13" s="6190"/>
      <c r="G13" s="6190"/>
      <c r="H13" s="6190"/>
      <c r="I13" s="6190"/>
      <c r="J13" s="2894"/>
      <c r="K13" s="2894"/>
      <c r="L13" s="3010" t="s">
        <v>1025</v>
      </c>
      <c r="M13" s="4850" t="s">
        <v>1243</v>
      </c>
      <c r="N13" s="4850"/>
      <c r="O13" s="3010" t="s">
        <v>1025</v>
      </c>
      <c r="P13" s="2894"/>
      <c r="Q13" s="2894"/>
      <c r="R13" s="2894"/>
      <c r="S13" s="2894"/>
      <c r="T13" s="2894"/>
      <c r="U13" s="2432" t="s">
        <v>720</v>
      </c>
      <c r="V13" s="2894"/>
      <c r="W13" s="2894"/>
      <c r="X13" s="2894"/>
      <c r="Y13" s="2894"/>
      <c r="Z13" s="2894"/>
      <c r="AA13" s="2432" t="s">
        <v>722</v>
      </c>
      <c r="AB13" s="2894"/>
      <c r="AC13" s="2894"/>
      <c r="AD13" s="3010" t="s">
        <v>1025</v>
      </c>
      <c r="AE13" s="6244" t="s">
        <v>1231</v>
      </c>
      <c r="AF13" s="6244"/>
      <c r="AG13" s="3157" t="s">
        <v>1230</v>
      </c>
      <c r="AH13" s="3126"/>
      <c r="AI13" s="283" cm="1">
        <f t="array" ref="AI13">SUM(COUNTIFS($C13:$AG13,{"0","4","5","6","7","8","9"}))</f>
        <v>0</v>
      </c>
      <c r="AJ13" s="283" cm="1">
        <f t="array" ref="AJ13">SUM(COUNTIFS($C13:$AG13,{"0","4","5","6","7","8","9"},$C$4:$AG$4,"0"))</f>
        <v>0</v>
      </c>
      <c r="AK13" s="283" cm="1">
        <f t="array" ref="AK13">SUM(COUNTIFS($C13:$AG13,{"0","4","5","6","7","8","9"},$C$4:$AG$4,"1"))</f>
        <v>0</v>
      </c>
      <c r="AL13" s="283" cm="1">
        <f t="array" ref="AL13">SUM(COUNTIFS($C13:$AG13,{"0","4","5","6","7","8","9"},$C$4:$AG$4,"2"))</f>
        <v>0</v>
      </c>
      <c r="AM13" s="283" cm="1">
        <f t="array" ref="AM13">SUM(COUNTIFS($C13:$AG13,{"0","4","5","6","7","8","9"},$C$4:$AG$4,"3"))</f>
        <v>0</v>
      </c>
      <c r="AN13" s="283" cm="1">
        <f t="array" ref="AN13">SUM(COUNTIFS($C13:$AG13,{"1","2","3"}))</f>
        <v>0</v>
      </c>
      <c r="AO13" s="283" cm="1">
        <f t="array" ref="AO13">SUM(COUNTIFS($C13:$AG13,{"4","5","6"}))</f>
        <v>0</v>
      </c>
      <c r="AP13" s="283">
        <f>AJ13*'Spreadsheet Key'!$A$23 + AK13*'Spreadsheet Key'!$A$24 + AL13*'Spreadsheet Key'!$A$25 + AM13*'Spreadsheet Key'!$A$26</f>
        <v>0</v>
      </c>
      <c r="AQ13" s="283" t="e">
        <f>AI13/(#REF!)</f>
        <v>#REF!</v>
      </c>
      <c r="AR13" s="283" t="e">
        <f>AQ13*#REF!</f>
        <v>#REF!</v>
      </c>
      <c r="AS13" s="283"/>
      <c r="AT13" s="283">
        <f t="shared" si="0"/>
        <v>0</v>
      </c>
      <c r="AU13" s="283">
        <f t="shared" si="1"/>
        <v>0</v>
      </c>
      <c r="AV13" s="283">
        <f t="shared" si="2"/>
        <v>0</v>
      </c>
      <c r="AW13" s="283" cm="1">
        <f t="array" ref="AW13">COUNTIFS($C13:$AG13,"9",$C$4:$AG$4,"1")+SUM(COUNTIFS($C13:$AG13,{"8","9"},$C$4:$AG$4,"2"))+COUNTIFS($C13:$AG13,"8",$C$4:$AG$4,"3")</f>
        <v>0</v>
      </c>
      <c r="AX13" s="283">
        <f t="shared" si="3"/>
        <v>0</v>
      </c>
      <c r="AY13" s="283">
        <f t="shared" si="4"/>
        <v>0</v>
      </c>
      <c r="AZ13" s="283">
        <f>AT13*'Spreadsheet Key'!$A$27+AU13*'Spreadsheet Key'!$A$28+AV13*'Spreadsheet Key'!$A$29+AW13*'Spreadsheet Key'!$A$30+AX13*'Spreadsheet Key'!$A$31</f>
        <v>0</v>
      </c>
      <c r="BA13" s="283"/>
      <c r="BB13" s="283"/>
    </row>
    <row r="14" spans="1:58" s="3139" customFormat="1">
      <c r="A14" s="56" t="s">
        <v>95</v>
      </c>
      <c r="B14" s="56" t="s">
        <v>738</v>
      </c>
      <c r="C14" s="2659">
        <v>0</v>
      </c>
      <c r="D14" s="2659">
        <v>0</v>
      </c>
      <c r="E14" s="2659">
        <v>7</v>
      </c>
      <c r="F14" s="2659">
        <v>7</v>
      </c>
      <c r="G14" s="2659">
        <v>7</v>
      </c>
      <c r="H14" s="2659">
        <v>7</v>
      </c>
      <c r="I14" s="2659">
        <v>7</v>
      </c>
      <c r="J14" s="2659">
        <v>0</v>
      </c>
      <c r="K14" s="2659">
        <v>0</v>
      </c>
      <c r="L14" s="2659">
        <v>1</v>
      </c>
      <c r="M14" s="2659">
        <v>2</v>
      </c>
      <c r="N14" s="2659">
        <v>2</v>
      </c>
      <c r="O14" s="2659">
        <v>3</v>
      </c>
      <c r="P14" s="2659">
        <v>0</v>
      </c>
      <c r="Q14" s="2659">
        <v>0</v>
      </c>
      <c r="R14" s="2659">
        <v>0</v>
      </c>
      <c r="S14" s="2659">
        <v>0</v>
      </c>
      <c r="T14" s="2659">
        <v>0</v>
      </c>
      <c r="U14" s="2659">
        <v>8</v>
      </c>
      <c r="V14" s="2659">
        <v>0</v>
      </c>
      <c r="W14" s="2659">
        <v>0</v>
      </c>
      <c r="X14" s="2659">
        <v>0</v>
      </c>
      <c r="Y14" s="2659">
        <v>0</v>
      </c>
      <c r="Z14" s="2659">
        <v>0</v>
      </c>
      <c r="AA14" s="2659">
        <v>9</v>
      </c>
      <c r="AB14" s="2659">
        <v>0</v>
      </c>
      <c r="AC14" s="2659">
        <v>0</v>
      </c>
      <c r="AD14" s="2659">
        <v>1</v>
      </c>
      <c r="AE14" s="2659">
        <v>2</v>
      </c>
      <c r="AF14" s="2659">
        <v>2</v>
      </c>
      <c r="AG14" s="2659">
        <v>2</v>
      </c>
      <c r="AH14" s="3126"/>
      <c r="AI14" s="283" cm="1">
        <f t="array" ref="AI14">SUM(COUNTIFS($C14:$AG14,{"0","4","5","6","7","8","9"}))</f>
        <v>23</v>
      </c>
      <c r="AJ14" s="283" cm="1">
        <f t="array" ref="AJ14">SUM(COUNTIFS($C14:$AG14,{"0","4","5","6","7","8","9"},$C$4:$AG$4,"0"))</f>
        <v>12</v>
      </c>
      <c r="AK14" s="283" cm="1">
        <f t="array" ref="AK14">SUM(COUNTIFS($C14:$AG14,{"0","4","5","6","7","8","9"},$C$4:$AG$4,"1"))</f>
        <v>3</v>
      </c>
      <c r="AL14" s="283" cm="1">
        <f t="array" ref="AL14">SUM(COUNTIFS($C14:$AG14,{"0","4","5","6","7","8","9"},$C$4:$AG$4,"2"))</f>
        <v>4</v>
      </c>
      <c r="AM14" s="283" cm="1">
        <f t="array" ref="AM14">SUM(COUNTIFS($C14:$AG14,{"0","4","5","6","7","8","9"},$C$4:$AG$4,"3"))</f>
        <v>4</v>
      </c>
      <c r="AN14" s="283" cm="1">
        <f t="array" ref="AN14">SUM(COUNTIFS($C14:$AG14,{"1","2","3"}))</f>
        <v>8</v>
      </c>
      <c r="AO14" s="283" cm="1">
        <f t="array" ref="AO14">SUM(COUNTIFS($C14:$AG14,{"4","5","6"}))</f>
        <v>0</v>
      </c>
      <c r="AP14" s="283">
        <f>AJ14*'Spreadsheet Key'!$A$23 + AK14*'Spreadsheet Key'!$A$24 + AL14*'Spreadsheet Key'!$A$25 + AM14*'Spreadsheet Key'!$A$26</f>
        <v>938</v>
      </c>
      <c r="AQ14" s="283" t="e">
        <f>AI14/(#REF!)</f>
        <v>#REF!</v>
      </c>
      <c r="AR14" s="283" t="e">
        <f>AQ14*#REF!</f>
        <v>#REF!</v>
      </c>
      <c r="AS14" s="283"/>
      <c r="AT14" s="283">
        <f t="shared" si="0"/>
        <v>1</v>
      </c>
      <c r="AU14" s="283">
        <f t="shared" si="1"/>
        <v>1</v>
      </c>
      <c r="AV14" s="283">
        <f t="shared" si="2"/>
        <v>0</v>
      </c>
      <c r="AW14" s="283" cm="1">
        <f t="array" ref="AW14">COUNTIFS($C14:$AG14,"9",$C$4:$AG$4,"1")+SUM(COUNTIFS($C14:$AG14,{"8","9"},$C$4:$AG$4,"2"))+COUNTIFS($C14:$AG14,"8",$C$4:$AG$4,"3")</f>
        <v>0</v>
      </c>
      <c r="AX14" s="283">
        <f t="shared" si="3"/>
        <v>0</v>
      </c>
      <c r="AY14" s="283">
        <f t="shared" si="4"/>
        <v>2</v>
      </c>
      <c r="AZ14" s="283">
        <f>AT14*'Spreadsheet Key'!$A$27+AU14*'Spreadsheet Key'!$A$28+AV14*'Spreadsheet Key'!$A$29+AW14*'Spreadsheet Key'!$A$30+AX14*'Spreadsheet Key'!$A$31</f>
        <v>22</v>
      </c>
      <c r="BA14" s="283"/>
      <c r="BB14" s="283" t="e">
        <f t="shared" si="5"/>
        <v>#REF!</v>
      </c>
    </row>
    <row r="15" spans="1:58">
      <c r="A15" s="56"/>
      <c r="B15" s="56"/>
      <c r="C15" s="2434" t="s">
        <v>722</v>
      </c>
      <c r="D15" s="779"/>
      <c r="E15" s="6190" t="s">
        <v>1234</v>
      </c>
      <c r="F15" s="6190"/>
      <c r="G15" s="6190"/>
      <c r="H15" s="6190"/>
      <c r="I15" s="6190"/>
      <c r="J15" s="779"/>
      <c r="K15" s="779"/>
      <c r="L15" s="2434" t="s">
        <v>722</v>
      </c>
      <c r="M15" s="779"/>
      <c r="N15" s="779"/>
      <c r="O15" s="779"/>
      <c r="P15" s="779"/>
      <c r="Q15" s="779"/>
      <c r="R15" s="2764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2434" t="s">
        <v>720</v>
      </c>
      <c r="AD15" s="779"/>
      <c r="AE15" s="779"/>
      <c r="AF15" s="779"/>
      <c r="AG15" s="779"/>
      <c r="AH15" s="3126"/>
      <c r="AI15" s="283" cm="1">
        <f t="array" ref="AI15">SUM(COUNTIFS($C15:$AG15,{"0","4","5","6","7","8","9"}))</f>
        <v>0</v>
      </c>
      <c r="AJ15" s="283" cm="1">
        <f t="array" ref="AJ15">SUM(COUNTIFS($C15:$AG15,{"0","4","5","6","7","8","9"},$C$4:$AG$4,"0"))</f>
        <v>0</v>
      </c>
      <c r="AK15" s="283" cm="1">
        <f t="array" ref="AK15">SUM(COUNTIFS($C15:$AG15,{"0","4","5","6","7","8","9"},$C$4:$AG$4,"1"))</f>
        <v>0</v>
      </c>
      <c r="AL15" s="283" cm="1">
        <f t="array" ref="AL15">SUM(COUNTIFS($C15:$AG15,{"0","4","5","6","7","8","9"},$C$4:$AG$4,"2"))</f>
        <v>0</v>
      </c>
      <c r="AM15" s="283" cm="1">
        <f t="array" ref="AM15">SUM(COUNTIFS($C15:$AG15,{"0","4","5","6","7","8","9"},$C$4:$AG$4,"3"))</f>
        <v>0</v>
      </c>
      <c r="AN15" s="283" cm="1">
        <f t="array" ref="AN15">SUM(COUNTIFS($C15:$AG15,{"1","2","3"}))</f>
        <v>0</v>
      </c>
      <c r="AO15" s="283" cm="1">
        <f t="array" ref="AO15">SUM(COUNTIFS($C15:$AG15,{"4","5","6"}))</f>
        <v>0</v>
      </c>
      <c r="AP15" s="283">
        <f>AJ15*'Spreadsheet Key'!$A$23 + AK15*'Spreadsheet Key'!$A$24 + AL15*'Spreadsheet Key'!$A$25 + AM15*'Spreadsheet Key'!$A$26</f>
        <v>0</v>
      </c>
      <c r="AQ15" s="283" t="e">
        <f>AI15/(#REF!)</f>
        <v>#REF!</v>
      </c>
      <c r="AR15" s="283" t="e">
        <f>AQ15*#REF!</f>
        <v>#REF!</v>
      </c>
      <c r="AT15" s="283">
        <f t="shared" si="0"/>
        <v>0</v>
      </c>
      <c r="AU15" s="283">
        <f t="shared" si="1"/>
        <v>0</v>
      </c>
      <c r="AV15" s="283">
        <f t="shared" si="2"/>
        <v>0</v>
      </c>
      <c r="AW15" s="283" cm="1">
        <f t="array" ref="AW15">COUNTIFS($C15:$AG15,"9",$C$4:$AG$4,"1")+SUM(COUNTIFS($C15:$AG15,{"8","9"},$C$4:$AG$4,"2"))+COUNTIFS($C15:$AG15,"8",$C$4:$AG$4,"3")</f>
        <v>0</v>
      </c>
      <c r="AX15" s="283">
        <f t="shared" si="3"/>
        <v>0</v>
      </c>
      <c r="AY15" s="283">
        <f t="shared" si="4"/>
        <v>0</v>
      </c>
      <c r="AZ15" s="283">
        <f>AT15*'Spreadsheet Key'!$A$27+AU15*'Spreadsheet Key'!$A$28+AV15*'Spreadsheet Key'!$A$29+AW15*'Spreadsheet Key'!$A$30+AX15*'Spreadsheet Key'!$A$31</f>
        <v>0</v>
      </c>
    </row>
    <row r="16" spans="1:58">
      <c r="A16" s="56" t="s">
        <v>108</v>
      </c>
      <c r="B16" s="56" t="s">
        <v>109</v>
      </c>
      <c r="C16" s="2659">
        <v>9</v>
      </c>
      <c r="D16" s="2659">
        <v>0</v>
      </c>
      <c r="E16" s="2659">
        <v>7</v>
      </c>
      <c r="F16" s="2659">
        <v>7</v>
      </c>
      <c r="G16" s="2659">
        <v>7</v>
      </c>
      <c r="H16" s="2659">
        <v>7</v>
      </c>
      <c r="I16" s="2659">
        <v>7</v>
      </c>
      <c r="J16" s="2659">
        <v>0</v>
      </c>
      <c r="K16" s="2659">
        <v>0</v>
      </c>
      <c r="L16" s="2659">
        <v>9</v>
      </c>
      <c r="M16" s="2659">
        <v>0</v>
      </c>
      <c r="N16" s="2659">
        <v>0</v>
      </c>
      <c r="O16" s="2659">
        <v>0</v>
      </c>
      <c r="P16" s="2659">
        <v>0</v>
      </c>
      <c r="Q16" s="2659">
        <v>0</v>
      </c>
      <c r="R16" s="2659">
        <v>0</v>
      </c>
      <c r="S16" s="2659">
        <v>0</v>
      </c>
      <c r="T16" s="2659">
        <v>0</v>
      </c>
      <c r="U16" s="2659">
        <v>0</v>
      </c>
      <c r="V16" s="2659">
        <v>0</v>
      </c>
      <c r="W16" s="2659">
        <v>0</v>
      </c>
      <c r="X16" s="2659">
        <v>0</v>
      </c>
      <c r="Y16" s="2659">
        <v>0</v>
      </c>
      <c r="Z16" s="2659">
        <v>0</v>
      </c>
      <c r="AA16" s="2659">
        <v>0</v>
      </c>
      <c r="AB16" s="2659">
        <v>0</v>
      </c>
      <c r="AC16" s="2659">
        <v>8</v>
      </c>
      <c r="AD16" s="2659">
        <v>0</v>
      </c>
      <c r="AE16" s="2659">
        <v>0</v>
      </c>
      <c r="AF16" s="2659">
        <v>0</v>
      </c>
      <c r="AG16" s="2659">
        <v>0</v>
      </c>
      <c r="AH16" s="3126"/>
      <c r="AI16" s="283" cm="1">
        <f t="array" ref="AI16">SUM(COUNTIFS($C16:$AG16,{"0","4","5","6","7","8","9"}))</f>
        <v>31</v>
      </c>
      <c r="AJ16" s="283" cm="1">
        <f t="array" ref="AJ16">SUM(COUNTIFS($C16:$AG16,{"0","4","5","6","7","8","9"},$C$4:$AG$4,"0"))</f>
        <v>17</v>
      </c>
      <c r="AK16" s="283" cm="1">
        <f t="array" ref="AK16">SUM(COUNTIFS($C16:$AG16,{"0","4","5","6","7","8","9"},$C$4:$AG$4,"1"))</f>
        <v>4</v>
      </c>
      <c r="AL16" s="283" cm="1">
        <f t="array" ref="AL16">SUM(COUNTIFS($C16:$AG16,{"0","4","5","6","7","8","9"},$C$4:$AG$4,"2"))</f>
        <v>5</v>
      </c>
      <c r="AM16" s="283" cm="1">
        <f t="array" ref="AM16">SUM(COUNTIFS($C16:$AG16,{"0","4","5","6","7","8","9"},$C$4:$AG$4,"3"))</f>
        <v>5</v>
      </c>
      <c r="AN16" s="283" cm="1">
        <f t="array" ref="AN16">SUM(COUNTIFS($C16:$AG16,{"1","2","3"}))</f>
        <v>0</v>
      </c>
      <c r="AO16" s="283" cm="1">
        <f t="array" ref="AO16">SUM(COUNTIFS($C16:$AG16,{"4","5","6"}))</f>
        <v>0</v>
      </c>
      <c r="AP16" s="283">
        <f>AJ16*'Spreadsheet Key'!$A$23 + AK16*'Spreadsheet Key'!$A$24 + AL16*'Spreadsheet Key'!$A$25 + AM16*'Spreadsheet Key'!$A$26</f>
        <v>1230</v>
      </c>
      <c r="AQ16" s="283" t="e">
        <f>AI16/(#REF!)</f>
        <v>#REF!</v>
      </c>
      <c r="AR16" s="283" t="e">
        <f>AQ16*#REF!</f>
        <v>#REF!</v>
      </c>
      <c r="AT16" s="283">
        <f t="shared" si="0"/>
        <v>1</v>
      </c>
      <c r="AU16" s="283">
        <f t="shared" si="1"/>
        <v>1</v>
      </c>
      <c r="AV16" s="283">
        <f t="shared" si="2"/>
        <v>0</v>
      </c>
      <c r="AW16" s="283" cm="1">
        <f t="array" ref="AW16">COUNTIFS($C16:$AG16,"9",$C$4:$AG$4,"1")+SUM(COUNTIFS($C16:$AG16,{"8","9"},$C$4:$AG$4,"2"))+COUNTIFS($C16:$AG16,"8",$C$4:$AG$4,"3")</f>
        <v>1</v>
      </c>
      <c r="AX16" s="283">
        <f t="shared" si="3"/>
        <v>0</v>
      </c>
      <c r="AY16" s="283">
        <f t="shared" si="4"/>
        <v>3</v>
      </c>
      <c r="AZ16" s="283">
        <f>AT16*'Spreadsheet Key'!$A$27+AU16*'Spreadsheet Key'!$A$28+AV16*'Spreadsheet Key'!$A$29+AW16*'Spreadsheet Key'!$A$30+AX16*'Spreadsheet Key'!$A$31</f>
        <v>58</v>
      </c>
      <c r="BB16" s="283" t="e">
        <f t="shared" si="5"/>
        <v>#REF!</v>
      </c>
    </row>
    <row r="17" spans="1:54">
      <c r="A17" s="2389"/>
      <c r="B17" s="2389"/>
      <c r="C17" s="779"/>
      <c r="D17" s="2894"/>
      <c r="E17" s="2894"/>
      <c r="F17" s="2432" t="s">
        <v>720</v>
      </c>
      <c r="G17" s="2894"/>
      <c r="H17" s="2894"/>
      <c r="I17" s="2894"/>
      <c r="J17" s="2894"/>
      <c r="K17" s="2894"/>
      <c r="L17" s="2894"/>
      <c r="M17" s="2894"/>
      <c r="N17" s="2894"/>
      <c r="O17" s="2894"/>
      <c r="P17" s="2894"/>
      <c r="Q17" s="2432" t="s">
        <v>720</v>
      </c>
      <c r="R17" s="2894"/>
      <c r="S17" s="2894"/>
      <c r="T17" s="2894"/>
      <c r="U17" s="2894"/>
      <c r="V17" s="2894"/>
      <c r="W17" s="2894"/>
      <c r="X17" s="2894"/>
      <c r="Y17" s="2894"/>
      <c r="Z17" s="2894"/>
      <c r="AA17" s="2894"/>
      <c r="AB17" s="2894"/>
      <c r="AC17" s="2894"/>
      <c r="AD17" s="2432" t="s">
        <v>722</v>
      </c>
      <c r="AE17" s="2260"/>
      <c r="AF17" s="779"/>
      <c r="AG17" s="779"/>
      <c r="AH17" s="3126"/>
      <c r="AI17" s="283" cm="1">
        <f t="array" ref="AI17">SUM(COUNTIFS($C17:$AG17,{"0","4","5","6","7","8","9"}))</f>
        <v>0</v>
      </c>
      <c r="AJ17" s="283" cm="1">
        <f t="array" ref="AJ17">SUM(COUNTIFS($C17:$AG17,{"0","4","5","6","7","8","9"},$C$4:$AG$4,"0"))</f>
        <v>0</v>
      </c>
      <c r="AK17" s="283" cm="1">
        <f t="array" ref="AK17">SUM(COUNTIFS($C17:$AG17,{"0","4","5","6","7","8","9"},$C$4:$AG$4,"1"))</f>
        <v>0</v>
      </c>
      <c r="AL17" s="283" cm="1">
        <f t="array" ref="AL17">SUM(COUNTIFS($C17:$AG17,{"0","4","5","6","7","8","9"},$C$4:$AG$4,"2"))</f>
        <v>0</v>
      </c>
      <c r="AM17" s="283" cm="1">
        <f t="array" ref="AM17">SUM(COUNTIFS($C17:$AG17,{"0","4","5","6","7","8","9"},$C$4:$AG$4,"3"))</f>
        <v>0</v>
      </c>
      <c r="AN17" s="283" cm="1">
        <f t="array" ref="AN17">SUM(COUNTIFS($C17:$AG17,{"1","2","3"}))</f>
        <v>0</v>
      </c>
      <c r="AO17" s="283" cm="1">
        <f t="array" ref="AO17">SUM(COUNTIFS($C17:$AG17,{"4","5","6"}))</f>
        <v>0</v>
      </c>
      <c r="AP17" s="283">
        <f>AJ17*'Spreadsheet Key'!$A$23 + AK17*'Spreadsheet Key'!$A$24 + AL17*'Spreadsheet Key'!$A$25 + AM17*'Spreadsheet Key'!$A$26</f>
        <v>0</v>
      </c>
      <c r="AQ17" s="283" t="e">
        <f>AI17/(#REF!)</f>
        <v>#REF!</v>
      </c>
      <c r="AR17" s="283" t="e">
        <f>AQ17*#REF!</f>
        <v>#REF!</v>
      </c>
      <c r="AT17" s="283">
        <f t="shared" si="0"/>
        <v>0</v>
      </c>
      <c r="AU17" s="283">
        <f t="shared" si="1"/>
        <v>0</v>
      </c>
      <c r="AV17" s="283">
        <f t="shared" si="2"/>
        <v>0</v>
      </c>
      <c r="AW17" s="283" cm="1">
        <f t="array" ref="AW17">COUNTIFS($C17:$AG17,"9",$C$4:$AG$4,"1")+SUM(COUNTIFS($C17:$AG17,{"8","9"},$C$4:$AG$4,"2"))+COUNTIFS($C17:$AG17,"8",$C$4:$AG$4,"3")</f>
        <v>0</v>
      </c>
      <c r="AX17" s="283">
        <f t="shared" si="3"/>
        <v>0</v>
      </c>
      <c r="AY17" s="283">
        <f t="shared" si="4"/>
        <v>0</v>
      </c>
      <c r="AZ17" s="283">
        <f>AT17*'Spreadsheet Key'!$A$27+AU17*'Spreadsheet Key'!$A$28+AV17*'Spreadsheet Key'!$A$29+AW17*'Spreadsheet Key'!$A$30+AX17*'Spreadsheet Key'!$A$31</f>
        <v>0</v>
      </c>
    </row>
    <row r="18" spans="1:54">
      <c r="A18" s="2389" t="s">
        <v>283</v>
      </c>
      <c r="B18" s="2389" t="s">
        <v>610</v>
      </c>
      <c r="C18" s="2659">
        <v>0</v>
      </c>
      <c r="D18" s="2659">
        <v>0</v>
      </c>
      <c r="E18" s="2659">
        <v>0</v>
      </c>
      <c r="F18" s="2659">
        <v>8</v>
      </c>
      <c r="G18" s="2659">
        <v>0</v>
      </c>
      <c r="H18" s="2659">
        <v>0</v>
      </c>
      <c r="I18" s="2659">
        <v>0</v>
      </c>
      <c r="J18" s="2659">
        <v>0</v>
      </c>
      <c r="K18" s="2659">
        <v>0</v>
      </c>
      <c r="L18" s="2659">
        <v>0</v>
      </c>
      <c r="M18" s="2659">
        <v>0</v>
      </c>
      <c r="N18" s="2659">
        <v>0</v>
      </c>
      <c r="O18" s="2659">
        <v>0</v>
      </c>
      <c r="P18" s="2659">
        <v>0</v>
      </c>
      <c r="Q18" s="2659">
        <v>8</v>
      </c>
      <c r="R18" s="2659">
        <v>0</v>
      </c>
      <c r="S18" s="2659">
        <v>0</v>
      </c>
      <c r="T18" s="2659">
        <v>0</v>
      </c>
      <c r="U18" s="2659">
        <v>0</v>
      </c>
      <c r="V18" s="2659">
        <v>0</v>
      </c>
      <c r="W18" s="2659">
        <v>0</v>
      </c>
      <c r="X18" s="2659">
        <v>0</v>
      </c>
      <c r="Y18" s="2659">
        <v>0</v>
      </c>
      <c r="Z18" s="2659">
        <v>0</v>
      </c>
      <c r="AA18" s="2659">
        <v>0</v>
      </c>
      <c r="AB18" s="2659">
        <v>0</v>
      </c>
      <c r="AC18" s="2659">
        <v>0</v>
      </c>
      <c r="AD18" s="2659">
        <v>9</v>
      </c>
      <c r="AE18" s="2659">
        <v>0</v>
      </c>
      <c r="AF18" s="2659">
        <v>0</v>
      </c>
      <c r="AG18" s="2659">
        <v>0</v>
      </c>
      <c r="AH18" s="3126"/>
      <c r="AI18" s="283" cm="1">
        <f t="array" ref="AI18">SUM(COUNTIFS($C18:$AG18,{"0","4","5","6","7","8","9"}))</f>
        <v>31</v>
      </c>
      <c r="AJ18" s="283" cm="1">
        <f t="array" ref="AJ18">SUM(COUNTIFS($C18:$AG18,{"0","4","5","6","7","8","9"},$C$4:$AG$4,"0"))</f>
        <v>17</v>
      </c>
      <c r="AK18" s="283" cm="1">
        <f t="array" ref="AK18">SUM(COUNTIFS($C18:$AG18,{"0","4","5","6","7","8","9"},$C$4:$AG$4,"1"))</f>
        <v>4</v>
      </c>
      <c r="AL18" s="283" cm="1">
        <f t="array" ref="AL18">SUM(COUNTIFS($C18:$AG18,{"0","4","5","6","7","8","9"},$C$4:$AG$4,"2"))</f>
        <v>5</v>
      </c>
      <c r="AM18" s="283" cm="1">
        <f t="array" ref="AM18">SUM(COUNTIFS($C18:$AG18,{"0","4","5","6","7","8","9"},$C$4:$AG$4,"3"))</f>
        <v>5</v>
      </c>
      <c r="AN18" s="283" cm="1">
        <f t="array" ref="AN18">SUM(COUNTIFS($C18:$AG18,{"1","2","3"}))</f>
        <v>0</v>
      </c>
      <c r="AO18" s="283" cm="1">
        <f t="array" ref="AO18">SUM(COUNTIFS($C18:$AG18,{"4","5","6"}))</f>
        <v>0</v>
      </c>
      <c r="AP18" s="283">
        <f>AJ18*'Spreadsheet Key'!$A$23 + AK18*'Spreadsheet Key'!$A$24 + AL18*'Spreadsheet Key'!$A$25 + AM18*'Spreadsheet Key'!$A$26</f>
        <v>1230</v>
      </c>
      <c r="AQ18" s="283" t="e">
        <f>AI18/(#REF!)</f>
        <v>#REF!</v>
      </c>
      <c r="AR18" s="283" t="e">
        <f>AQ18*#REF!</f>
        <v>#REF!</v>
      </c>
      <c r="AT18" s="283">
        <f t="shared" si="0"/>
        <v>1</v>
      </c>
      <c r="AU18" s="283">
        <f t="shared" si="1"/>
        <v>0</v>
      </c>
      <c r="AV18" s="283">
        <f t="shared" si="2"/>
        <v>0</v>
      </c>
      <c r="AW18" s="283" cm="1">
        <f t="array" ref="AW18">COUNTIFS($C18:$AG18,"9",$C$4:$AG$4,"1")+SUM(COUNTIFS($C18:$AG18,{"8","9"},$C$4:$AG$4,"2"))+COUNTIFS($C18:$AG18,"8",$C$4:$AG$4,"3")</f>
        <v>2</v>
      </c>
      <c r="AX18" s="283">
        <f t="shared" si="3"/>
        <v>0</v>
      </c>
      <c r="AY18" s="283">
        <f t="shared" si="4"/>
        <v>3</v>
      </c>
      <c r="AZ18" s="283">
        <f>AT18*'Spreadsheet Key'!$A$27+AU18*'Spreadsheet Key'!$A$28+AV18*'Spreadsheet Key'!$A$29+AW18*'Spreadsheet Key'!$A$30+AX18*'Spreadsheet Key'!$A$31</f>
        <v>82</v>
      </c>
      <c r="BB18" s="283" t="e">
        <f t="shared" si="5"/>
        <v>#REF!</v>
      </c>
    </row>
    <row r="19" spans="1:54">
      <c r="A19" s="2389"/>
      <c r="B19" s="2389"/>
      <c r="C19" s="6190" t="s">
        <v>1194</v>
      </c>
      <c r="D19" s="6190"/>
      <c r="E19" s="6190"/>
      <c r="F19" s="6190"/>
      <c r="G19" s="6190"/>
      <c r="H19" s="6190"/>
      <c r="I19" s="6190"/>
      <c r="J19" s="6190"/>
      <c r="K19" s="6190"/>
      <c r="L19" s="6190"/>
      <c r="M19" s="3010" t="s">
        <v>1025</v>
      </c>
      <c r="N19" s="779"/>
      <c r="O19" s="779"/>
      <c r="P19" s="2434"/>
      <c r="Q19" s="779"/>
      <c r="R19" s="779"/>
      <c r="S19" s="779"/>
      <c r="T19" s="779"/>
      <c r="U19" s="3685" t="s">
        <v>720</v>
      </c>
      <c r="V19" s="779"/>
      <c r="W19" s="779"/>
      <c r="X19" s="2434" t="s">
        <v>720</v>
      </c>
      <c r="Y19" s="779"/>
      <c r="Z19" s="779"/>
      <c r="AA19" s="779"/>
      <c r="AB19" s="779"/>
      <c r="AC19" s="2434" t="s">
        <v>722</v>
      </c>
      <c r="AD19" s="779"/>
      <c r="AE19" s="779"/>
      <c r="AF19" s="779"/>
      <c r="AG19" s="2434"/>
      <c r="AH19" s="3126"/>
      <c r="AI19" s="283" cm="1">
        <f t="array" ref="AI19">SUM(COUNTIFS($C19:$AG19,{"0","4","5","6","7","8","9"}))</f>
        <v>0</v>
      </c>
      <c r="AJ19" s="283" cm="1">
        <f t="array" ref="AJ19">SUM(COUNTIFS($C19:$AG19,{"0","4","5","6","7","8","9"},$C$4:$AG$4,"0"))</f>
        <v>0</v>
      </c>
      <c r="AK19" s="283" cm="1">
        <f t="array" ref="AK19">SUM(COUNTIFS($C19:$AG19,{"0","4","5","6","7","8","9"},$C$4:$AG$4,"1"))</f>
        <v>0</v>
      </c>
      <c r="AL19" s="283" cm="1">
        <f t="array" ref="AL19">SUM(COUNTIFS($C19:$AG19,{"0","4","5","6","7","8","9"},$C$4:$AG$4,"2"))</f>
        <v>0</v>
      </c>
      <c r="AM19" s="283" cm="1">
        <f t="array" ref="AM19">SUM(COUNTIFS($C19:$AG19,{"0","4","5","6","7","8","9"},$C$4:$AG$4,"3"))</f>
        <v>0</v>
      </c>
      <c r="AN19" s="283" cm="1">
        <f t="array" ref="AN19">SUM(COUNTIFS($C19:$AG19,{"1","2","3"}))</f>
        <v>0</v>
      </c>
      <c r="AO19" s="283" cm="1">
        <f t="array" ref="AO19">SUM(COUNTIFS($C19:$AG19,{"4","5","6"}))</f>
        <v>0</v>
      </c>
      <c r="AP19" s="283">
        <f>AJ19*'Spreadsheet Key'!$A$23 + AK19*'Spreadsheet Key'!$A$24 + AL19*'Spreadsheet Key'!$A$25 + AM19*'Spreadsheet Key'!$A$26</f>
        <v>0</v>
      </c>
      <c r="AQ19" s="283" t="e">
        <f>AI19/(#REF!)</f>
        <v>#REF!</v>
      </c>
      <c r="AR19" s="283" t="e">
        <f>AQ19*#REF!</f>
        <v>#REF!</v>
      </c>
      <c r="AT19" s="283">
        <f t="shared" si="0"/>
        <v>0</v>
      </c>
      <c r="AU19" s="283">
        <f t="shared" si="1"/>
        <v>0</v>
      </c>
      <c r="AV19" s="283">
        <f t="shared" si="2"/>
        <v>0</v>
      </c>
      <c r="AW19" s="283" cm="1">
        <f t="array" ref="AW19">COUNTIFS($C19:$AG19,"9",$C$4:$AG$4,"1")+SUM(COUNTIFS($C19:$AG19,{"8","9"},$C$4:$AG$4,"2"))+COUNTIFS($C19:$AG19,"8",$C$4:$AG$4,"3")</f>
        <v>0</v>
      </c>
      <c r="AX19" s="283">
        <f t="shared" si="3"/>
        <v>0</v>
      </c>
      <c r="AY19" s="283">
        <f t="shared" si="4"/>
        <v>0</v>
      </c>
      <c r="AZ19" s="283">
        <f>AT19*'Spreadsheet Key'!$A$27+AU19*'Spreadsheet Key'!$A$28+AV19*'Spreadsheet Key'!$A$29+AW19*'Spreadsheet Key'!$A$30+AX19*'Spreadsheet Key'!$A$31</f>
        <v>0</v>
      </c>
    </row>
    <row r="20" spans="1:54">
      <c r="A20" s="2389" t="s">
        <v>122</v>
      </c>
      <c r="B20" s="2389" t="s">
        <v>553</v>
      </c>
      <c r="C20" s="2659">
        <v>2</v>
      </c>
      <c r="D20" s="2659">
        <v>2</v>
      </c>
      <c r="E20" s="2659">
        <v>2</v>
      </c>
      <c r="F20" s="2659">
        <v>2</v>
      </c>
      <c r="G20" s="2659">
        <v>2</v>
      </c>
      <c r="H20" s="2659">
        <v>2</v>
      </c>
      <c r="I20" s="2659">
        <v>2</v>
      </c>
      <c r="J20" s="2659">
        <v>2</v>
      </c>
      <c r="K20" s="2659">
        <v>2</v>
      </c>
      <c r="L20" s="2659">
        <v>2</v>
      </c>
      <c r="M20" s="2659">
        <v>3</v>
      </c>
      <c r="N20" s="2659">
        <v>0</v>
      </c>
      <c r="O20" s="2659">
        <v>0</v>
      </c>
      <c r="P20" s="2659">
        <v>0</v>
      </c>
      <c r="Q20" s="2659">
        <v>0</v>
      </c>
      <c r="R20" s="2659">
        <v>0</v>
      </c>
      <c r="S20" s="2659">
        <v>0</v>
      </c>
      <c r="T20" s="2659">
        <v>0</v>
      </c>
      <c r="U20" s="2659">
        <v>8</v>
      </c>
      <c r="V20" s="2659">
        <v>0</v>
      </c>
      <c r="W20" s="2659">
        <v>0</v>
      </c>
      <c r="X20" s="2659">
        <v>8</v>
      </c>
      <c r="Y20" s="2659">
        <v>0</v>
      </c>
      <c r="Z20" s="2659">
        <v>0</v>
      </c>
      <c r="AA20" s="2659">
        <v>0</v>
      </c>
      <c r="AB20" s="2659">
        <v>0</v>
      </c>
      <c r="AC20" s="2659">
        <v>9</v>
      </c>
      <c r="AD20" s="2659">
        <v>0</v>
      </c>
      <c r="AE20" s="2659">
        <v>0</v>
      </c>
      <c r="AF20" s="2659">
        <v>0</v>
      </c>
      <c r="AG20" s="2659">
        <v>0</v>
      </c>
      <c r="AH20" s="3126"/>
      <c r="AI20" s="283" cm="1">
        <f t="array" ref="AI20">SUM(COUNTIFS($C20:$AG20,{"0","4","5","6","7","8","9"}))</f>
        <v>20</v>
      </c>
      <c r="AJ20" s="283" cm="1">
        <f t="array" ref="AJ20">SUM(COUNTIFS($C20:$AG20,{"0","4","5","6","7","8","9"},$C$4:$AG$4,"0"))</f>
        <v>11</v>
      </c>
      <c r="AK20" s="283" cm="1">
        <f t="array" ref="AK20">SUM(COUNTIFS($C20:$AG20,{"0","4","5","6","7","8","9"},$C$4:$AG$4,"1"))</f>
        <v>3</v>
      </c>
      <c r="AL20" s="283" cm="1">
        <f t="array" ref="AL20">SUM(COUNTIFS($C20:$AG20,{"0","4","5","6","7","8","9"},$C$4:$AG$4,"2"))</f>
        <v>3</v>
      </c>
      <c r="AM20" s="283" cm="1">
        <f t="array" ref="AM20">SUM(COUNTIFS($C20:$AG20,{"0","4","5","6","7","8","9"},$C$4:$AG$4,"3"))</f>
        <v>3</v>
      </c>
      <c r="AN20" s="283" cm="1">
        <f t="array" ref="AN20">SUM(COUNTIFS($C20:$AG20,{"1","2","3"}))</f>
        <v>11</v>
      </c>
      <c r="AO20" s="283" cm="1">
        <f t="array" ref="AO20">SUM(COUNTIFS($C20:$AG20,{"4","5","6"}))</f>
        <v>0</v>
      </c>
      <c r="AP20" s="283">
        <f>AJ20*'Spreadsheet Key'!$A$23 + AK20*'Spreadsheet Key'!$A$24 + AL20*'Spreadsheet Key'!$A$25 + AM20*'Spreadsheet Key'!$A$26</f>
        <v>788</v>
      </c>
      <c r="AQ20" s="283" t="e">
        <f>AI20/(#REF!)</f>
        <v>#REF!</v>
      </c>
      <c r="AR20" s="283" t="e">
        <f>AQ20*#REF!</f>
        <v>#REF!</v>
      </c>
      <c r="AT20" s="283">
        <f t="shared" si="0"/>
        <v>1</v>
      </c>
      <c r="AU20" s="283">
        <f t="shared" si="1"/>
        <v>1</v>
      </c>
      <c r="AV20" s="283">
        <f t="shared" si="2"/>
        <v>0</v>
      </c>
      <c r="AW20" s="283" cm="1">
        <f t="array" ref="AW20">COUNTIFS($C20:$AG20,"9",$C$4:$AG$4,"1")+SUM(COUNTIFS($C20:$AG20,{"8","9"},$C$4:$AG$4,"2"))+COUNTIFS($C20:$AG20,"8",$C$4:$AG$4,"3")</f>
        <v>1</v>
      </c>
      <c r="AX20" s="283">
        <f t="shared" si="3"/>
        <v>0</v>
      </c>
      <c r="AY20" s="283">
        <f t="shared" si="4"/>
        <v>3</v>
      </c>
      <c r="AZ20" s="283">
        <f>AT20*'Spreadsheet Key'!$A$27+AU20*'Spreadsheet Key'!$A$28+AV20*'Spreadsheet Key'!$A$29+AW20*'Spreadsheet Key'!$A$30+AX20*'Spreadsheet Key'!$A$31</f>
        <v>58</v>
      </c>
      <c r="BB20" s="283" t="e">
        <f t="shared" si="5"/>
        <v>#REF!</v>
      </c>
    </row>
    <row r="21" spans="1:54">
      <c r="A21" s="2389"/>
      <c r="B21" s="2389"/>
      <c r="C21" s="2434" t="s">
        <v>720</v>
      </c>
      <c r="D21" s="779"/>
      <c r="E21" s="779"/>
      <c r="F21" s="779"/>
      <c r="G21" s="779"/>
      <c r="H21" s="779"/>
      <c r="I21" s="779"/>
      <c r="J21" s="779"/>
      <c r="K21" s="779"/>
      <c r="L21" s="779"/>
      <c r="M21" s="779"/>
      <c r="N21" s="779"/>
      <c r="O21" s="779"/>
      <c r="P21" s="779"/>
      <c r="Q21" s="779"/>
      <c r="R21" s="779"/>
      <c r="S21" s="779"/>
      <c r="T21" s="779"/>
      <c r="U21" s="779"/>
      <c r="V21" s="2434"/>
      <c r="W21" s="779"/>
      <c r="X21" s="779"/>
      <c r="Y21" s="779"/>
      <c r="Z21" s="779"/>
      <c r="AA21" s="2434" t="s">
        <v>720</v>
      </c>
      <c r="AB21" s="779"/>
      <c r="AC21" s="779"/>
      <c r="AD21" s="779"/>
      <c r="AE21" s="779"/>
      <c r="AF21" s="779"/>
      <c r="AG21" s="2434" t="s">
        <v>722</v>
      </c>
      <c r="AH21" s="3126"/>
      <c r="AI21" s="283" cm="1">
        <f t="array" ref="AI21">SUM(COUNTIFS($C21:$AG21,{"0","4","5","6","7","8","9"}))</f>
        <v>0</v>
      </c>
      <c r="AJ21" s="283" cm="1">
        <f t="array" ref="AJ21">SUM(COUNTIFS($C21:$AG21,{"0","4","5","6","7","8","9"},$C$4:$AG$4,"0"))</f>
        <v>0</v>
      </c>
      <c r="AK21" s="283" cm="1">
        <f t="array" ref="AK21">SUM(COUNTIFS($C21:$AG21,{"0","4","5","6","7","8","9"},$C$4:$AG$4,"1"))</f>
        <v>0</v>
      </c>
      <c r="AL21" s="283" cm="1">
        <f t="array" ref="AL21">SUM(COUNTIFS($C21:$AG21,{"0","4","5","6","7","8","9"},$C$4:$AG$4,"2"))</f>
        <v>0</v>
      </c>
      <c r="AM21" s="283" cm="1">
        <f t="array" ref="AM21">SUM(COUNTIFS($C21:$AG21,{"0","4","5","6","7","8","9"},$C$4:$AG$4,"3"))</f>
        <v>0</v>
      </c>
      <c r="AN21" s="283" cm="1">
        <f t="array" ref="AN21">SUM(COUNTIFS($C21:$AG21,{"1","2","3"}))</f>
        <v>0</v>
      </c>
      <c r="AO21" s="283" cm="1">
        <f t="array" ref="AO21">SUM(COUNTIFS($C21:$AG21,{"4","5","6"}))</f>
        <v>0</v>
      </c>
      <c r="AP21" s="283">
        <f>AJ21*'Spreadsheet Key'!$A$23 + AK21*'Spreadsheet Key'!$A$24 + AL21*'Spreadsheet Key'!$A$25 + AM21*'Spreadsheet Key'!$A$26</f>
        <v>0</v>
      </c>
      <c r="AQ21" s="283" t="e">
        <f>AI21/(#REF!)</f>
        <v>#REF!</v>
      </c>
      <c r="AR21" s="283" t="e">
        <f>AQ21*#REF!</f>
        <v>#REF!</v>
      </c>
      <c r="AT21" s="283">
        <f t="shared" si="0"/>
        <v>0</v>
      </c>
      <c r="AU21" s="283">
        <f t="shared" si="1"/>
        <v>0</v>
      </c>
      <c r="AV21" s="283">
        <f t="shared" si="2"/>
        <v>0</v>
      </c>
      <c r="AW21" s="283" cm="1">
        <f t="array" ref="AW21">COUNTIFS($C21:$AG21,"9",$C$4:$AG$4,"1")+SUM(COUNTIFS($C21:$AG21,{"8","9"},$C$4:$AG$4,"2"))+COUNTIFS($C21:$AG21,"8",$C$4:$AG$4,"3")</f>
        <v>0</v>
      </c>
      <c r="AX21" s="283">
        <f t="shared" si="3"/>
        <v>0</v>
      </c>
      <c r="AY21" s="283">
        <f t="shared" si="4"/>
        <v>0</v>
      </c>
      <c r="AZ21" s="283">
        <f>AT21*'Spreadsheet Key'!$A$27+AU21*'Spreadsheet Key'!$A$28+AV21*'Spreadsheet Key'!$A$29+AW21*'Spreadsheet Key'!$A$30+AX21*'Spreadsheet Key'!$A$31</f>
        <v>0</v>
      </c>
    </row>
    <row r="22" spans="1:54">
      <c r="A22" s="2389" t="s">
        <v>293</v>
      </c>
      <c r="B22" s="2389" t="s">
        <v>733</v>
      </c>
      <c r="C22" s="2659">
        <v>8</v>
      </c>
      <c r="D22" s="2659">
        <v>0</v>
      </c>
      <c r="E22" s="2659">
        <v>0</v>
      </c>
      <c r="F22" s="2659">
        <v>0</v>
      </c>
      <c r="G22" s="2659">
        <v>0</v>
      </c>
      <c r="H22" s="2659">
        <v>0</v>
      </c>
      <c r="I22" s="2659">
        <v>0</v>
      </c>
      <c r="J22" s="2659">
        <v>0</v>
      </c>
      <c r="K22" s="2659">
        <v>0</v>
      </c>
      <c r="L22" s="2659">
        <v>0</v>
      </c>
      <c r="M22" s="2659">
        <v>0</v>
      </c>
      <c r="N22" s="2659">
        <v>0</v>
      </c>
      <c r="O22" s="2659">
        <v>0</v>
      </c>
      <c r="P22" s="2659">
        <v>0</v>
      </c>
      <c r="Q22" s="2659">
        <v>0</v>
      </c>
      <c r="R22" s="2659">
        <v>0</v>
      </c>
      <c r="S22" s="2659">
        <v>0</v>
      </c>
      <c r="T22" s="2659">
        <v>0</v>
      </c>
      <c r="U22" s="2659">
        <v>0</v>
      </c>
      <c r="V22" s="2659">
        <v>0</v>
      </c>
      <c r="W22" s="2659">
        <v>0</v>
      </c>
      <c r="X22" s="2659">
        <v>0</v>
      </c>
      <c r="Y22" s="2659">
        <v>0</v>
      </c>
      <c r="Z22" s="2659">
        <v>0</v>
      </c>
      <c r="AA22" s="2659">
        <v>8</v>
      </c>
      <c r="AB22" s="2659">
        <v>0</v>
      </c>
      <c r="AC22" s="2659">
        <v>0</v>
      </c>
      <c r="AD22" s="2659">
        <v>0</v>
      </c>
      <c r="AE22" s="2659">
        <v>0</v>
      </c>
      <c r="AF22" s="2659">
        <v>0</v>
      </c>
      <c r="AG22" s="2659">
        <v>9</v>
      </c>
      <c r="AH22" s="3126"/>
      <c r="AI22" s="283" cm="1">
        <f t="array" ref="AI22">SUM(COUNTIFS($C22:$AG22,{"0","4","5","6","7","8","9"}))</f>
        <v>31</v>
      </c>
      <c r="AJ22" s="283" cm="1">
        <f t="array" ref="AJ22">SUM(COUNTIFS($C22:$AG22,{"0","4","5","6","7","8","9"},$C$4:$AG$4,"0"))</f>
        <v>17</v>
      </c>
      <c r="AK22" s="283" cm="1">
        <f t="array" ref="AK22">SUM(COUNTIFS($C22:$AG22,{"0","4","5","6","7","8","9"},$C$4:$AG$4,"1"))</f>
        <v>4</v>
      </c>
      <c r="AL22" s="283" cm="1">
        <f t="array" ref="AL22">SUM(COUNTIFS($C22:$AG22,{"0","4","5","6","7","8","9"},$C$4:$AG$4,"2"))</f>
        <v>5</v>
      </c>
      <c r="AM22" s="283" cm="1">
        <f t="array" ref="AM22">SUM(COUNTIFS($C22:$AG22,{"0","4","5","6","7","8","9"},$C$4:$AG$4,"3"))</f>
        <v>5</v>
      </c>
      <c r="AN22" s="283" cm="1">
        <f t="array" ref="AN22">SUM(COUNTIFS($C22:$AG22,{"1","2","3"}))</f>
        <v>0</v>
      </c>
      <c r="AO22" s="283" cm="1">
        <f t="array" ref="AO22">SUM(COUNTIFS($C22:$AG22,{"4","5","6"}))</f>
        <v>0</v>
      </c>
      <c r="AP22" s="283">
        <f>AJ22*'Spreadsheet Key'!$A$23 + AK22*'Spreadsheet Key'!$A$24 + AL22*'Spreadsheet Key'!$A$25 + AM22*'Spreadsheet Key'!$A$26</f>
        <v>1230</v>
      </c>
      <c r="AQ22" s="283" t="e">
        <f>AI22/(#REF!)</f>
        <v>#REF!</v>
      </c>
      <c r="AR22" s="283" t="e">
        <f>AQ22*#REF!</f>
        <v>#REF!</v>
      </c>
      <c r="AT22" s="283">
        <f t="shared" si="0"/>
        <v>1</v>
      </c>
      <c r="AU22" s="283">
        <f t="shared" si="1"/>
        <v>1</v>
      </c>
      <c r="AV22" s="283">
        <f t="shared" si="2"/>
        <v>0</v>
      </c>
      <c r="AW22" s="283" cm="1">
        <f t="array" ref="AW22">COUNTIFS($C22:$AG22,"9",$C$4:$AG$4,"1")+SUM(COUNTIFS($C22:$AG22,{"8","9"},$C$4:$AG$4,"2"))+COUNTIFS($C22:$AG22,"8",$C$4:$AG$4,"3")</f>
        <v>1</v>
      </c>
      <c r="AX22" s="283">
        <f t="shared" si="3"/>
        <v>0</v>
      </c>
      <c r="AY22" s="283">
        <f t="shared" si="4"/>
        <v>3</v>
      </c>
      <c r="AZ22" s="283">
        <f>AT22*'Spreadsheet Key'!$A$27+AU22*'Spreadsheet Key'!$A$28+AV22*'Spreadsheet Key'!$A$29+AW22*'Spreadsheet Key'!$A$30+AX22*'Spreadsheet Key'!$A$31</f>
        <v>58</v>
      </c>
      <c r="BB22" s="283" t="e">
        <f t="shared" si="5"/>
        <v>#REF!</v>
      </c>
    </row>
    <row r="23" spans="1:54">
      <c r="A23" s="3112"/>
      <c r="B23" s="3112"/>
      <c r="C23" s="3140"/>
      <c r="D23" s="3154" t="s">
        <v>722</v>
      </c>
      <c r="E23" s="3140"/>
      <c r="F23" s="3140"/>
      <c r="G23" s="3140"/>
      <c r="H23" s="3140"/>
      <c r="I23" s="3140"/>
      <c r="J23" s="3140"/>
      <c r="K23" s="3140"/>
      <c r="L23" s="3140"/>
      <c r="M23" s="3140"/>
      <c r="N23" s="3140"/>
      <c r="O23" s="3140"/>
      <c r="P23" s="3140"/>
      <c r="Q23" s="3140"/>
      <c r="R23" s="3140"/>
      <c r="S23" s="3140"/>
      <c r="T23" s="3140"/>
      <c r="U23" s="3140"/>
      <c r="V23" s="3154" t="s">
        <v>722</v>
      </c>
      <c r="W23" s="3140"/>
      <c r="X23" s="3140"/>
      <c r="Y23" s="3140"/>
      <c r="Z23" s="3140"/>
      <c r="AA23" s="3140"/>
      <c r="AB23" s="3140"/>
      <c r="AC23" s="3140"/>
      <c r="AD23" s="3154" t="s">
        <v>720</v>
      </c>
      <c r="AE23" s="3140"/>
      <c r="AF23" s="3140"/>
      <c r="AG23" s="3140"/>
      <c r="AH23" s="3126"/>
      <c r="AI23" s="283" cm="1">
        <f t="array" ref="AI23">SUM(COUNTIFS($C23:$AG23,{"0","4","5","6","7","8","9"}))</f>
        <v>0</v>
      </c>
      <c r="AJ23" s="283" cm="1">
        <f t="array" ref="AJ23">SUM(COUNTIFS($C23:$AG23,{"0","4","5","6","7","8","9"},$C$4:$AG$4,"0"))</f>
        <v>0</v>
      </c>
      <c r="AK23" s="283" cm="1">
        <f t="array" ref="AK23">SUM(COUNTIFS($C23:$AG23,{"0","4","5","6","7","8","9"},$C$4:$AG$4,"1"))</f>
        <v>0</v>
      </c>
      <c r="AL23" s="283" cm="1">
        <f t="array" ref="AL23">SUM(COUNTIFS($C23:$AG23,{"0","4","5","6","7","8","9"},$C$4:$AG$4,"2"))</f>
        <v>0</v>
      </c>
      <c r="AM23" s="283" cm="1">
        <f t="array" ref="AM23">SUM(COUNTIFS($C23:$AG23,{"0","4","5","6","7","8","9"},$C$4:$AG$4,"3"))</f>
        <v>0</v>
      </c>
      <c r="AN23" s="283" cm="1">
        <f t="array" ref="AN23">SUM(COUNTIFS($C23:$AG23,{"1","2","3"}))</f>
        <v>0</v>
      </c>
      <c r="AO23" s="283" cm="1">
        <f t="array" ref="AO23">SUM(COUNTIFS($C23:$AG23,{"4","5","6"}))</f>
        <v>0</v>
      </c>
      <c r="AP23" s="283">
        <f>AJ23*'Spreadsheet Key'!$A$23 + AK23*'Spreadsheet Key'!$A$24 + AL23*'Spreadsheet Key'!$A$25 + AM23*'Spreadsheet Key'!$A$26</f>
        <v>0</v>
      </c>
      <c r="AQ23" s="283" t="e">
        <f>AI23/(#REF!)</f>
        <v>#REF!</v>
      </c>
      <c r="AR23" s="283" t="e">
        <f>AQ23*#REF!</f>
        <v>#REF!</v>
      </c>
      <c r="AT23" s="283">
        <f t="shared" si="0"/>
        <v>0</v>
      </c>
      <c r="AU23" s="283">
        <f t="shared" si="1"/>
        <v>0</v>
      </c>
      <c r="AV23" s="283">
        <f t="shared" si="2"/>
        <v>0</v>
      </c>
      <c r="AW23" s="283" cm="1">
        <f t="array" ref="AW23">COUNTIFS($C23:$AG23,"9",$C$4:$AG$4,"1")+SUM(COUNTIFS($C23:$AG23,{"8","9"},$C$4:$AG$4,"2"))+COUNTIFS($C23:$AG23,"8",$C$4:$AG$4,"3")</f>
        <v>0</v>
      </c>
      <c r="AX23" s="283">
        <f t="shared" si="3"/>
        <v>0</v>
      </c>
      <c r="AY23" s="283">
        <f t="shared" si="4"/>
        <v>0</v>
      </c>
      <c r="AZ23" s="283">
        <f>AT23*'Spreadsheet Key'!$A$27+AU23*'Spreadsheet Key'!$A$28+AV23*'Spreadsheet Key'!$A$29+AW23*'Spreadsheet Key'!$A$30+AX23*'Spreadsheet Key'!$A$31</f>
        <v>0</v>
      </c>
    </row>
    <row r="24" spans="1:54">
      <c r="A24" s="3112" t="s">
        <v>692</v>
      </c>
      <c r="B24" s="2389" t="s">
        <v>693</v>
      </c>
      <c r="C24" s="2659">
        <v>0</v>
      </c>
      <c r="D24" s="2659">
        <v>9</v>
      </c>
      <c r="E24" s="2659">
        <v>0</v>
      </c>
      <c r="F24" s="2659">
        <v>0</v>
      </c>
      <c r="G24" s="2659">
        <v>0</v>
      </c>
      <c r="H24" s="2659">
        <v>0</v>
      </c>
      <c r="I24" s="2659">
        <v>0</v>
      </c>
      <c r="J24" s="2659">
        <v>0</v>
      </c>
      <c r="K24" s="2659">
        <v>0</v>
      </c>
      <c r="L24" s="2659">
        <v>0</v>
      </c>
      <c r="M24" s="2659">
        <v>0</v>
      </c>
      <c r="N24" s="2659">
        <v>0</v>
      </c>
      <c r="O24" s="2659">
        <v>0</v>
      </c>
      <c r="P24" s="2659">
        <v>0</v>
      </c>
      <c r="Q24" s="2659">
        <v>0</v>
      </c>
      <c r="R24" s="2659">
        <v>0</v>
      </c>
      <c r="S24" s="2659">
        <v>0</v>
      </c>
      <c r="T24" s="2659">
        <v>0</v>
      </c>
      <c r="U24" s="2659">
        <v>0</v>
      </c>
      <c r="V24" s="2659">
        <v>9</v>
      </c>
      <c r="W24" s="2659">
        <v>0</v>
      </c>
      <c r="X24" s="2659">
        <v>0</v>
      </c>
      <c r="Y24" s="2659">
        <v>0</v>
      </c>
      <c r="Z24" s="2659">
        <v>0</v>
      </c>
      <c r="AA24" s="2659">
        <v>0</v>
      </c>
      <c r="AB24" s="2659">
        <v>0</v>
      </c>
      <c r="AC24" s="2659">
        <v>0</v>
      </c>
      <c r="AD24" s="2659">
        <v>8</v>
      </c>
      <c r="AE24" s="2659">
        <v>0</v>
      </c>
      <c r="AF24" s="2659">
        <v>0</v>
      </c>
      <c r="AG24" s="2659">
        <v>0</v>
      </c>
      <c r="AH24" s="3126"/>
      <c r="AI24" s="283" cm="1">
        <f t="array" ref="AI24">SUM(COUNTIFS($C24:$AG24,{"0","4","5","6","7","8","9"}))</f>
        <v>31</v>
      </c>
      <c r="AJ24" s="283" cm="1">
        <f t="array" ref="AJ24">SUM(COUNTIFS($C24:$AG24,{"0","4","5","6","7","8","9"},$C$4:$AG$4,"0"))</f>
        <v>17</v>
      </c>
      <c r="AK24" s="283" cm="1">
        <f t="array" ref="AK24">SUM(COUNTIFS($C24:$AG24,{"0","4","5","6","7","8","9"},$C$4:$AG$4,"1"))</f>
        <v>4</v>
      </c>
      <c r="AL24" s="283" cm="1">
        <f t="array" ref="AL24">SUM(COUNTIFS($C24:$AG24,{"0","4","5","6","7","8","9"},$C$4:$AG$4,"2"))</f>
        <v>5</v>
      </c>
      <c r="AM24" s="283" cm="1">
        <f t="array" ref="AM24">SUM(COUNTIFS($C24:$AG24,{"0","4","5","6","7","8","9"},$C$4:$AG$4,"3"))</f>
        <v>5</v>
      </c>
      <c r="AN24" s="283" cm="1">
        <f t="array" ref="AN24">SUM(COUNTIFS($C24:$AG24,{"1","2","3"}))</f>
        <v>0</v>
      </c>
      <c r="AO24" s="283" cm="1">
        <f t="array" ref="AO24">SUM(COUNTIFS($C24:$AG24,{"4","5","6"}))</f>
        <v>0</v>
      </c>
      <c r="AP24" s="283">
        <f>AJ24*'Spreadsheet Key'!$A$23 + AK24*'Spreadsheet Key'!$A$24 + AL24*'Spreadsheet Key'!$A$25 + AM24*'Spreadsheet Key'!$A$26</f>
        <v>1230</v>
      </c>
      <c r="AQ24" s="283" t="e">
        <f>AI24/(#REF!)</f>
        <v>#REF!</v>
      </c>
      <c r="AR24" s="283" t="e">
        <f>AQ24*#REF!</f>
        <v>#REF!</v>
      </c>
      <c r="AT24" s="283">
        <f t="shared" si="0"/>
        <v>0</v>
      </c>
      <c r="AU24" s="283">
        <f t="shared" si="1"/>
        <v>1</v>
      </c>
      <c r="AV24" s="283">
        <f t="shared" si="2"/>
        <v>1</v>
      </c>
      <c r="AW24" s="283" cm="1">
        <f t="array" ref="AW24">COUNTIFS($C24:$AG24,"9",$C$4:$AG$4,"1")+SUM(COUNTIFS($C24:$AG24,{"8","9"},$C$4:$AG$4,"2"))+COUNTIFS($C24:$AG24,"8",$C$4:$AG$4,"3")</f>
        <v>0</v>
      </c>
      <c r="AX24" s="283">
        <f t="shared" si="3"/>
        <v>1</v>
      </c>
      <c r="AY24" s="283">
        <f t="shared" si="4"/>
        <v>3</v>
      </c>
      <c r="AZ24" s="283">
        <f>AT24*'Spreadsheet Key'!$A$27+AU24*'Spreadsheet Key'!$A$28+AV24*'Spreadsheet Key'!$A$29+AW24*'Spreadsheet Key'!$A$30+AX24*'Spreadsheet Key'!$A$31</f>
        <v>50</v>
      </c>
      <c r="BB24" s="283" t="e">
        <f t="shared" si="5"/>
        <v>#REF!</v>
      </c>
    </row>
    <row r="25" spans="1:54">
      <c r="A25" s="2389"/>
      <c r="B25" s="2389"/>
      <c r="C25" s="779"/>
      <c r="D25" s="779"/>
      <c r="E25" s="779"/>
      <c r="F25" s="779"/>
      <c r="G25" s="779"/>
      <c r="H25" s="779"/>
      <c r="I25" s="2434" t="s">
        <v>720</v>
      </c>
      <c r="J25" s="779"/>
      <c r="K25" s="779"/>
      <c r="L25" s="779"/>
      <c r="M25" s="779"/>
      <c r="N25" s="779"/>
      <c r="O25" s="779"/>
      <c r="P25" s="779"/>
      <c r="Q25" s="779"/>
      <c r="R25" s="779"/>
      <c r="S25" s="2434" t="s">
        <v>722</v>
      </c>
      <c r="T25" s="779"/>
      <c r="U25" s="779"/>
      <c r="V25" s="779"/>
      <c r="W25" s="779"/>
      <c r="X25" s="2434" t="s">
        <v>722</v>
      </c>
      <c r="Y25" s="779"/>
      <c r="Z25" s="779"/>
      <c r="AA25" s="779"/>
      <c r="AB25" s="779"/>
      <c r="AC25" s="779"/>
      <c r="AD25" s="779"/>
      <c r="AE25" s="779"/>
      <c r="AF25" s="779"/>
      <c r="AG25" s="779"/>
      <c r="AH25" s="3126"/>
      <c r="AI25" s="283" cm="1">
        <f t="array" ref="AI25">SUM(COUNTIFS($C25:$AG25,{"0","4","5","6","7","8","9"}))</f>
        <v>0</v>
      </c>
      <c r="AJ25" s="283" cm="1">
        <f t="array" ref="AJ25">SUM(COUNTIFS($C25:$AG25,{"0","4","5","6","7","8","9"},$C$4:$AG$4,"0"))</f>
        <v>0</v>
      </c>
      <c r="AK25" s="283" cm="1">
        <f t="array" ref="AK25">SUM(COUNTIFS($C25:$AG25,{"0","4","5","6","7","8","9"},$C$4:$AG$4,"1"))</f>
        <v>0</v>
      </c>
      <c r="AL25" s="283" cm="1">
        <f t="array" ref="AL25">SUM(COUNTIFS($C25:$AG25,{"0","4","5","6","7","8","9"},$C$4:$AG$4,"2"))</f>
        <v>0</v>
      </c>
      <c r="AM25" s="283" cm="1">
        <f t="array" ref="AM25">SUM(COUNTIFS($C25:$AG25,{"0","4","5","6","7","8","9"},$C$4:$AG$4,"3"))</f>
        <v>0</v>
      </c>
      <c r="AN25" s="283" cm="1">
        <f t="array" ref="AN25">SUM(COUNTIFS($C25:$AG25,{"1","2","3"}))</f>
        <v>0</v>
      </c>
      <c r="AO25" s="283" cm="1">
        <f t="array" ref="AO25">SUM(COUNTIFS($C25:$AG25,{"4","5","6"}))</f>
        <v>0</v>
      </c>
      <c r="AP25" s="283">
        <f>AJ25*'Spreadsheet Key'!$A$23 + AK25*'Spreadsheet Key'!$A$24 + AL25*'Spreadsheet Key'!$A$25 + AM25*'Spreadsheet Key'!$A$26</f>
        <v>0</v>
      </c>
      <c r="AQ25" s="283" t="e">
        <f>AI25/(#REF!)</f>
        <v>#REF!</v>
      </c>
      <c r="AR25" s="283" t="e">
        <f>AQ25*#REF!</f>
        <v>#REF!</v>
      </c>
      <c r="AT25" s="283">
        <f t="shared" si="0"/>
        <v>0</v>
      </c>
      <c r="AU25" s="283">
        <f t="shared" si="1"/>
        <v>0</v>
      </c>
      <c r="AV25" s="283">
        <f t="shared" si="2"/>
        <v>0</v>
      </c>
      <c r="AW25" s="283" cm="1">
        <f t="array" ref="AW25">COUNTIFS($C25:$AG25,"9",$C$4:$AG$4,"1")+SUM(COUNTIFS($C25:$AG25,{"8","9"},$C$4:$AG$4,"2"))+COUNTIFS($C25:$AG25,"8",$C$4:$AG$4,"3")</f>
        <v>0</v>
      </c>
      <c r="AX25" s="283">
        <f t="shared" si="3"/>
        <v>0</v>
      </c>
      <c r="AY25" s="283">
        <f t="shared" si="4"/>
        <v>0</v>
      </c>
      <c r="AZ25" s="283">
        <f>AT25*'Spreadsheet Key'!$A$27+AU25*'Spreadsheet Key'!$A$28+AV25*'Spreadsheet Key'!$A$29+AW25*'Spreadsheet Key'!$A$30+AX25*'Spreadsheet Key'!$A$31</f>
        <v>0</v>
      </c>
    </row>
    <row r="26" spans="1:54">
      <c r="A26" s="2389" t="s">
        <v>127</v>
      </c>
      <c r="B26" s="2389" t="s">
        <v>657</v>
      </c>
      <c r="C26" s="2659">
        <v>0</v>
      </c>
      <c r="D26" s="2659">
        <v>0</v>
      </c>
      <c r="E26" s="2659">
        <v>0</v>
      </c>
      <c r="F26" s="2659">
        <v>0</v>
      </c>
      <c r="G26" s="2659">
        <v>0</v>
      </c>
      <c r="H26" s="2659">
        <v>0</v>
      </c>
      <c r="I26" s="2659">
        <v>8</v>
      </c>
      <c r="J26" s="2659">
        <v>0</v>
      </c>
      <c r="K26" s="2659">
        <v>0</v>
      </c>
      <c r="L26" s="2659">
        <v>0</v>
      </c>
      <c r="M26" s="2659">
        <v>0</v>
      </c>
      <c r="N26" s="2659">
        <v>0</v>
      </c>
      <c r="O26" s="2659">
        <v>0</v>
      </c>
      <c r="P26" s="2659">
        <v>0</v>
      </c>
      <c r="Q26" s="2659">
        <v>0</v>
      </c>
      <c r="R26" s="2659">
        <v>0</v>
      </c>
      <c r="S26" s="2659">
        <v>9</v>
      </c>
      <c r="T26" s="2659">
        <v>0</v>
      </c>
      <c r="U26" s="2659">
        <v>0</v>
      </c>
      <c r="V26" s="2659">
        <v>0</v>
      </c>
      <c r="W26" s="2659">
        <v>0</v>
      </c>
      <c r="X26" s="2659">
        <v>9</v>
      </c>
      <c r="Y26" s="2659">
        <v>0</v>
      </c>
      <c r="Z26" s="2659">
        <v>0</v>
      </c>
      <c r="AA26" s="2659">
        <v>0</v>
      </c>
      <c r="AB26" s="2659">
        <v>0</v>
      </c>
      <c r="AC26" s="2659">
        <v>0</v>
      </c>
      <c r="AD26" s="2659">
        <v>0</v>
      </c>
      <c r="AE26" s="2659">
        <v>0</v>
      </c>
      <c r="AF26" s="2659">
        <v>0</v>
      </c>
      <c r="AG26" s="2659">
        <v>0</v>
      </c>
      <c r="AH26" s="3126"/>
      <c r="AI26" s="283" cm="1">
        <f t="array" ref="AI26">SUM(COUNTIFS($C26:$AG26,{"0","4","5","6","7","8","9"}))</f>
        <v>31</v>
      </c>
      <c r="AJ26" s="283" cm="1">
        <f t="array" ref="AJ26">SUM(COUNTIFS($C26:$AG26,{"0","4","5","6","7","8","9"},$C$4:$AG$4,"0"))</f>
        <v>17</v>
      </c>
      <c r="AK26" s="283" cm="1">
        <f t="array" ref="AK26">SUM(COUNTIFS($C26:$AG26,{"0","4","5","6","7","8","9"},$C$4:$AG$4,"1"))</f>
        <v>4</v>
      </c>
      <c r="AL26" s="283" cm="1">
        <f t="array" ref="AL26">SUM(COUNTIFS($C26:$AG26,{"0","4","5","6","7","8","9"},$C$4:$AG$4,"2"))</f>
        <v>5</v>
      </c>
      <c r="AM26" s="283" cm="1">
        <f t="array" ref="AM26">SUM(COUNTIFS($C26:$AG26,{"0","4","5","6","7","8","9"},$C$4:$AG$4,"3"))</f>
        <v>5</v>
      </c>
      <c r="AN26" s="283" cm="1">
        <f t="array" ref="AN26">SUM(COUNTIFS($C26:$AG26,{"1","2","3"}))</f>
        <v>0</v>
      </c>
      <c r="AO26" s="283" cm="1">
        <f t="array" ref="AO26">SUM(COUNTIFS($C26:$AG26,{"4","5","6"}))</f>
        <v>0</v>
      </c>
      <c r="AP26" s="283">
        <f>AJ26*'Spreadsheet Key'!$A$23 + AK26*'Spreadsheet Key'!$A$24 + AL26*'Spreadsheet Key'!$A$25 + AM26*'Spreadsheet Key'!$A$26</f>
        <v>1230</v>
      </c>
      <c r="AQ26" s="283" t="e">
        <f>AI26/(#REF!)</f>
        <v>#REF!</v>
      </c>
      <c r="AR26" s="283" t="e">
        <f>AQ26*#REF!</f>
        <v>#REF!</v>
      </c>
      <c r="AT26" s="283">
        <f t="shared" si="0"/>
        <v>0</v>
      </c>
      <c r="AU26" s="283">
        <f t="shared" si="1"/>
        <v>1</v>
      </c>
      <c r="AV26" s="283">
        <f t="shared" si="2"/>
        <v>1</v>
      </c>
      <c r="AW26" s="283" cm="1">
        <f t="array" ref="AW26">COUNTIFS($C26:$AG26,"9",$C$4:$AG$4,"1")+SUM(COUNTIFS($C26:$AG26,{"8","9"},$C$4:$AG$4,"2"))+COUNTIFS($C26:$AG26,"8",$C$4:$AG$4,"3")</f>
        <v>1</v>
      </c>
      <c r="AX26" s="283">
        <f t="shared" si="3"/>
        <v>0</v>
      </c>
      <c r="AY26" s="283">
        <f t="shared" si="4"/>
        <v>3</v>
      </c>
      <c r="AZ26" s="283">
        <f>AT26*'Spreadsheet Key'!$A$27+AU26*'Spreadsheet Key'!$A$28+AV26*'Spreadsheet Key'!$A$29+AW26*'Spreadsheet Key'!$A$30+AX26*'Spreadsheet Key'!$A$31</f>
        <v>66</v>
      </c>
      <c r="BB26" s="283" t="e">
        <f t="shared" si="5"/>
        <v>#REF!</v>
      </c>
    </row>
    <row r="27" spans="1:54">
      <c r="A27" s="2389"/>
      <c r="B27" s="2389"/>
      <c r="C27" s="6251" t="s">
        <v>1245</v>
      </c>
      <c r="D27" s="6251"/>
      <c r="E27" s="6251"/>
      <c r="F27" s="6251"/>
      <c r="G27" s="779"/>
      <c r="H27" s="2716"/>
      <c r="I27" s="779"/>
      <c r="J27" s="3685"/>
      <c r="K27" s="779"/>
      <c r="L27" s="779"/>
      <c r="M27" s="779"/>
      <c r="N27" s="779"/>
      <c r="O27" s="779"/>
      <c r="P27" s="2434" t="s">
        <v>720</v>
      </c>
      <c r="Q27" s="779"/>
      <c r="R27" s="779"/>
      <c r="S27" s="779"/>
      <c r="T27" s="3685" t="s">
        <v>720</v>
      </c>
      <c r="U27" s="2434"/>
      <c r="V27" s="779"/>
      <c r="W27" s="779"/>
      <c r="X27" s="779"/>
      <c r="Y27" s="2434"/>
      <c r="Z27" s="2434" t="s">
        <v>722</v>
      </c>
      <c r="AA27" s="779"/>
      <c r="AB27" s="779"/>
      <c r="AC27" s="779"/>
      <c r="AD27" s="779"/>
      <c r="AE27" s="779"/>
      <c r="AF27" s="779"/>
      <c r="AG27" s="779"/>
      <c r="AH27" s="3126"/>
      <c r="AI27" s="283" cm="1">
        <f t="array" ref="AI27">SUM(COUNTIFS($C27:$AG27,{"0","4","5","6","7","8","9"}))</f>
        <v>0</v>
      </c>
      <c r="AJ27" s="283" cm="1">
        <f t="array" ref="AJ27">SUM(COUNTIFS($C27:$AG27,{"0","4","5","6","7","8","9"},$C$4:$AG$4,"0"))</f>
        <v>0</v>
      </c>
      <c r="AK27" s="283" cm="1">
        <f t="array" ref="AK27">SUM(COUNTIFS($C27:$AG27,{"0","4","5","6","7","8","9"},$C$4:$AG$4,"1"))</f>
        <v>0</v>
      </c>
      <c r="AL27" s="283" cm="1">
        <f t="array" ref="AL27">SUM(COUNTIFS($C27:$AG27,{"0","4","5","6","7","8","9"},$C$4:$AG$4,"2"))</f>
        <v>0</v>
      </c>
      <c r="AM27" s="283" cm="1">
        <f t="array" ref="AM27">SUM(COUNTIFS($C27:$AG27,{"0","4","5","6","7","8","9"},$C$4:$AG$4,"3"))</f>
        <v>0</v>
      </c>
      <c r="AN27" s="283" cm="1">
        <f t="array" ref="AN27">SUM(COUNTIFS($C27:$AG27,{"1","2","3"}))</f>
        <v>0</v>
      </c>
      <c r="AO27" s="283" cm="1">
        <f t="array" ref="AO27">SUM(COUNTIFS($C27:$AG27,{"4","5","6"}))</f>
        <v>0</v>
      </c>
      <c r="AP27" s="283">
        <f>AJ27*'Spreadsheet Key'!$A$23 + AK27*'Spreadsheet Key'!$A$24 + AL27*'Spreadsheet Key'!$A$25 + AM27*'Spreadsheet Key'!$A$26</f>
        <v>0</v>
      </c>
      <c r="AQ27" s="283" t="e">
        <f>AI27/(#REF!)</f>
        <v>#REF!</v>
      </c>
      <c r="AR27" s="283" t="e">
        <f>AQ27*#REF!</f>
        <v>#REF!</v>
      </c>
      <c r="AT27" s="283">
        <f t="shared" si="0"/>
        <v>0</v>
      </c>
      <c r="AU27" s="283">
        <f t="shared" si="1"/>
        <v>0</v>
      </c>
      <c r="AV27" s="283">
        <f t="shared" si="2"/>
        <v>0</v>
      </c>
      <c r="AW27" s="283" cm="1">
        <f t="array" ref="AW27">COUNTIFS($C27:$AG27,"9",$C$4:$AG$4,"1")+SUM(COUNTIFS($C27:$AG27,{"8","9"},$C$4:$AG$4,"2"))+COUNTIFS($C27:$AG27,"8",$C$4:$AG$4,"3")</f>
        <v>0</v>
      </c>
      <c r="AX27" s="283">
        <f t="shared" si="3"/>
        <v>0</v>
      </c>
      <c r="AY27" s="283">
        <f t="shared" si="4"/>
        <v>0</v>
      </c>
      <c r="AZ27" s="283">
        <f>AT27*'Spreadsheet Key'!$A$27+AU27*'Spreadsheet Key'!$A$28+AV27*'Spreadsheet Key'!$A$29+AW27*'Spreadsheet Key'!$A$30+AX27*'Spreadsheet Key'!$A$31</f>
        <v>0</v>
      </c>
    </row>
    <row r="28" spans="1:54">
      <c r="A28" s="2389" t="s">
        <v>129</v>
      </c>
      <c r="B28" s="2389" t="s">
        <v>474</v>
      </c>
      <c r="C28" s="2659">
        <v>4</v>
      </c>
      <c r="D28" s="2659">
        <v>5</v>
      </c>
      <c r="E28" s="2659">
        <v>5</v>
      </c>
      <c r="F28" s="2659">
        <v>6</v>
      </c>
      <c r="G28" s="2659">
        <v>0</v>
      </c>
      <c r="H28" s="2659">
        <v>0</v>
      </c>
      <c r="I28" s="2659">
        <v>0</v>
      </c>
      <c r="J28" s="2659">
        <v>0</v>
      </c>
      <c r="K28" s="2659">
        <v>0</v>
      </c>
      <c r="L28" s="2659">
        <v>0</v>
      </c>
      <c r="M28" s="2659">
        <v>0</v>
      </c>
      <c r="N28" s="2659">
        <v>0</v>
      </c>
      <c r="O28" s="2659">
        <v>0</v>
      </c>
      <c r="P28" s="2659">
        <v>8</v>
      </c>
      <c r="Q28" s="2659">
        <v>0</v>
      </c>
      <c r="R28" s="2659">
        <v>0</v>
      </c>
      <c r="S28" s="2659">
        <v>0</v>
      </c>
      <c r="T28" s="2659">
        <v>8</v>
      </c>
      <c r="U28" s="2659">
        <v>0</v>
      </c>
      <c r="V28" s="2659">
        <v>0</v>
      </c>
      <c r="W28" s="2659">
        <v>0</v>
      </c>
      <c r="X28" s="2659">
        <v>0</v>
      </c>
      <c r="Y28" s="2659">
        <v>0</v>
      </c>
      <c r="Z28" s="2659">
        <v>9</v>
      </c>
      <c r="AA28" s="2659">
        <v>0</v>
      </c>
      <c r="AB28" s="2659">
        <v>0</v>
      </c>
      <c r="AC28" s="2659">
        <v>0</v>
      </c>
      <c r="AD28" s="2659">
        <v>0</v>
      </c>
      <c r="AE28" s="2659">
        <v>0</v>
      </c>
      <c r="AF28" s="2659">
        <v>0</v>
      </c>
      <c r="AG28" s="2659">
        <v>0</v>
      </c>
      <c r="AH28" s="3126"/>
      <c r="AI28" s="283" cm="1">
        <f t="array" ref="AI28">SUM(COUNTIFS($C28:$AG28,{"0","4","5","6","7","8","9"}))</f>
        <v>31</v>
      </c>
      <c r="AJ28" s="283" cm="1">
        <f t="array" ref="AJ28">SUM(COUNTIFS($C28:$AG28,{"0","4","5","6","7","8","9"},$C$4:$AG$4,"0"))</f>
        <v>17</v>
      </c>
      <c r="AK28" s="283" cm="1">
        <f t="array" ref="AK28">SUM(COUNTIFS($C28:$AG28,{"0","4","5","6","7","8","9"},$C$4:$AG$4,"1"))</f>
        <v>4</v>
      </c>
      <c r="AL28" s="283" cm="1">
        <f t="array" ref="AL28">SUM(COUNTIFS($C28:$AG28,{"0","4","5","6","7","8","9"},$C$4:$AG$4,"2"))</f>
        <v>5</v>
      </c>
      <c r="AM28" s="283" cm="1">
        <f t="array" ref="AM28">SUM(COUNTIFS($C28:$AG28,{"0","4","5","6","7","8","9"},$C$4:$AG$4,"3"))</f>
        <v>5</v>
      </c>
      <c r="AN28" s="283" cm="1">
        <f t="array" ref="AN28">SUM(COUNTIFS($C28:$AG28,{"1","2","3"}))</f>
        <v>0</v>
      </c>
      <c r="AO28" s="283" cm="1">
        <f t="array" ref="AO28">SUM(COUNTIFS($C28:$AG28,{"4","5","6"}))</f>
        <v>4</v>
      </c>
      <c r="AP28" s="283">
        <f>AJ28*'Spreadsheet Key'!$A$23 + AK28*'Spreadsheet Key'!$A$24 + AL28*'Spreadsheet Key'!$A$25 + AM28*'Spreadsheet Key'!$A$26</f>
        <v>1230</v>
      </c>
      <c r="AQ28" s="283" t="e">
        <f>AI28/(#REF!)</f>
        <v>#REF!</v>
      </c>
      <c r="AR28" s="283" t="e">
        <f>AQ28*#REF!</f>
        <v>#REF!</v>
      </c>
      <c r="AT28" s="283">
        <f t="shared" si="0"/>
        <v>1</v>
      </c>
      <c r="AU28" s="283">
        <f t="shared" si="1"/>
        <v>1</v>
      </c>
      <c r="AV28" s="283">
        <f t="shared" si="2"/>
        <v>1</v>
      </c>
      <c r="AW28" s="283" cm="1">
        <f t="array" ref="AW28">COUNTIFS($C28:$AG28,"9",$C$4:$AG$4,"1")+SUM(COUNTIFS($C28:$AG28,{"8","9"},$C$4:$AG$4,"2"))+COUNTIFS($C28:$AG28,"8",$C$4:$AG$4,"3")</f>
        <v>0</v>
      </c>
      <c r="AX28" s="283">
        <f t="shared" si="3"/>
        <v>0</v>
      </c>
      <c r="AY28" s="283">
        <f t="shared" si="4"/>
        <v>3</v>
      </c>
      <c r="AZ28" s="283">
        <f>AT28*'Spreadsheet Key'!$A$27+AU28*'Spreadsheet Key'!$A$28+AV28*'Spreadsheet Key'!$A$29+AW28*'Spreadsheet Key'!$A$30+AX28*'Spreadsheet Key'!$A$31</f>
        <v>40</v>
      </c>
      <c r="BB28" s="283" t="e">
        <f t="shared" si="5"/>
        <v>#REF!</v>
      </c>
    </row>
    <row r="29" spans="1:54">
      <c r="A29" s="2389"/>
      <c r="B29" s="2389"/>
      <c r="C29" s="779"/>
      <c r="D29" s="779"/>
      <c r="E29" s="2434" t="s">
        <v>722</v>
      </c>
      <c r="F29" s="779"/>
      <c r="G29" s="779"/>
      <c r="H29" s="779"/>
      <c r="I29" s="779"/>
      <c r="J29" s="779"/>
      <c r="K29" s="2434"/>
      <c r="L29" s="779"/>
      <c r="M29" s="779"/>
      <c r="N29" s="779"/>
      <c r="O29" s="2434" t="s">
        <v>722</v>
      </c>
      <c r="P29" s="779"/>
      <c r="Q29" s="779"/>
      <c r="R29" s="779"/>
      <c r="S29" s="3685" t="s">
        <v>720</v>
      </c>
      <c r="T29" s="779"/>
      <c r="U29" s="779"/>
      <c r="V29" s="779"/>
      <c r="W29" s="779"/>
      <c r="X29" s="779"/>
      <c r="Y29" s="2434"/>
      <c r="Z29" s="779"/>
      <c r="AA29" s="779"/>
      <c r="AB29" s="779"/>
      <c r="AC29" s="779"/>
      <c r="AD29" s="3010" t="s">
        <v>1025</v>
      </c>
      <c r="AE29" s="6244" t="s">
        <v>1231</v>
      </c>
      <c r="AF29" s="6244"/>
      <c r="AG29" s="3010" t="s">
        <v>1025</v>
      </c>
      <c r="AH29" s="3126"/>
      <c r="AI29" s="283" cm="1">
        <f t="array" ref="AI29">SUM(COUNTIFS($C29:$AG29,{"0","4","5","6","7","8","9"}))</f>
        <v>0</v>
      </c>
      <c r="AJ29" s="283" cm="1">
        <f t="array" ref="AJ29">SUM(COUNTIFS($C29:$AG29,{"0","4","5","6","7","8","9"},$C$4:$AG$4,"0"))</f>
        <v>0</v>
      </c>
      <c r="AK29" s="283" cm="1">
        <f t="array" ref="AK29">SUM(COUNTIFS($C29:$AG29,{"0","4","5","6","7","8","9"},$C$4:$AG$4,"1"))</f>
        <v>0</v>
      </c>
      <c r="AL29" s="283" cm="1">
        <f t="array" ref="AL29">SUM(COUNTIFS($C29:$AG29,{"0","4","5","6","7","8","9"},$C$4:$AG$4,"2"))</f>
        <v>0</v>
      </c>
      <c r="AM29" s="283" cm="1">
        <f t="array" ref="AM29">SUM(COUNTIFS($C29:$AG29,{"0","4","5","6","7","8","9"},$C$4:$AG$4,"3"))</f>
        <v>0</v>
      </c>
      <c r="AN29" s="283" cm="1">
        <f t="array" ref="AN29">SUM(COUNTIFS($C29:$AG29,{"1","2","3"}))</f>
        <v>0</v>
      </c>
      <c r="AO29" s="283" cm="1">
        <f t="array" ref="AO29">SUM(COUNTIFS($C29:$AG29,{"4","5","6"}))</f>
        <v>0</v>
      </c>
      <c r="AP29" s="283">
        <f>AJ29*'Spreadsheet Key'!$A$23 + AK29*'Spreadsheet Key'!$A$24 + AL29*'Spreadsheet Key'!$A$25 + AM29*'Spreadsheet Key'!$A$26</f>
        <v>0</v>
      </c>
      <c r="AQ29" s="283" t="e">
        <f>AI29/(#REF!)</f>
        <v>#REF!</v>
      </c>
      <c r="AR29" s="283" t="e">
        <f>AQ29*#REF!</f>
        <v>#REF!</v>
      </c>
      <c r="AT29" s="283">
        <f t="shared" si="0"/>
        <v>0</v>
      </c>
      <c r="AU29" s="283">
        <f t="shared" si="1"/>
        <v>0</v>
      </c>
      <c r="AV29" s="283">
        <f t="shared" si="2"/>
        <v>0</v>
      </c>
      <c r="AW29" s="283" cm="1">
        <f t="array" ref="AW29">COUNTIFS($C29:$AG29,"9",$C$4:$AG$4,"1")+SUM(COUNTIFS($C29:$AG29,{"8","9"},$C$4:$AG$4,"2"))+COUNTIFS($C29:$AG29,"8",$C$4:$AG$4,"3")</f>
        <v>0</v>
      </c>
      <c r="AX29" s="283">
        <f t="shared" si="3"/>
        <v>0</v>
      </c>
      <c r="AY29" s="283">
        <f t="shared" si="4"/>
        <v>0</v>
      </c>
      <c r="AZ29" s="283">
        <f>AT29*'Spreadsheet Key'!$A$27+AU29*'Spreadsheet Key'!$A$28+AV29*'Spreadsheet Key'!$A$29+AW29*'Spreadsheet Key'!$A$30+AX29*'Spreadsheet Key'!$A$31</f>
        <v>0</v>
      </c>
    </row>
    <row r="30" spans="1:54">
      <c r="A30" s="2389" t="s">
        <v>155</v>
      </c>
      <c r="B30" s="2389" t="s">
        <v>135</v>
      </c>
      <c r="C30" s="2659">
        <v>0</v>
      </c>
      <c r="D30" s="2659">
        <v>0</v>
      </c>
      <c r="E30" s="2659">
        <v>9</v>
      </c>
      <c r="F30" s="2659">
        <v>0</v>
      </c>
      <c r="G30" s="2659">
        <v>0</v>
      </c>
      <c r="H30" s="2659">
        <v>0</v>
      </c>
      <c r="I30" s="2659">
        <v>0</v>
      </c>
      <c r="J30" s="2659">
        <v>0</v>
      </c>
      <c r="K30" s="2659">
        <v>0</v>
      </c>
      <c r="L30" s="2659">
        <v>0</v>
      </c>
      <c r="M30" s="2659">
        <v>0</v>
      </c>
      <c r="N30" s="2659">
        <v>0</v>
      </c>
      <c r="O30" s="2659">
        <v>9</v>
      </c>
      <c r="P30" s="2659">
        <v>0</v>
      </c>
      <c r="Q30" s="2659">
        <v>0</v>
      </c>
      <c r="R30" s="2659">
        <v>0</v>
      </c>
      <c r="S30" s="2659">
        <v>8</v>
      </c>
      <c r="T30" s="2659">
        <v>0</v>
      </c>
      <c r="U30" s="2659">
        <v>0</v>
      </c>
      <c r="V30" s="2659">
        <v>0</v>
      </c>
      <c r="W30" s="2659">
        <v>0</v>
      </c>
      <c r="X30" s="2659">
        <v>0</v>
      </c>
      <c r="Y30" s="2659">
        <v>0</v>
      </c>
      <c r="Z30" s="2659">
        <v>0</v>
      </c>
      <c r="AA30" s="2659">
        <v>0</v>
      </c>
      <c r="AB30" s="2659">
        <v>0</v>
      </c>
      <c r="AC30" s="2659">
        <v>0</v>
      </c>
      <c r="AD30" s="2659">
        <v>1</v>
      </c>
      <c r="AE30" s="2659">
        <v>2</v>
      </c>
      <c r="AF30" s="2659">
        <v>2</v>
      </c>
      <c r="AG30" s="2659">
        <v>3</v>
      </c>
      <c r="AH30" s="3126"/>
      <c r="AI30" s="283" cm="1">
        <f t="array" ref="AI30">SUM(COUNTIFS($C30:$AG30,{"0","4","5","6","7","8","9"}))</f>
        <v>27</v>
      </c>
      <c r="AJ30" s="283" cm="1">
        <f t="array" ref="AJ30">SUM(COUNTIFS($C30:$AG30,{"0","4","5","6","7","8","9"},$C$4:$AG$4,"0"))</f>
        <v>16</v>
      </c>
      <c r="AK30" s="283" cm="1">
        <f t="array" ref="AK30">SUM(COUNTIFS($C30:$AG30,{"0","4","5","6","7","8","9"},$C$4:$AG$4,"1"))</f>
        <v>3</v>
      </c>
      <c r="AL30" s="283" cm="1">
        <f t="array" ref="AL30">SUM(COUNTIFS($C30:$AG30,{"0","4","5","6","7","8","9"},$C$4:$AG$4,"2"))</f>
        <v>4</v>
      </c>
      <c r="AM30" s="283" cm="1">
        <f t="array" ref="AM30">SUM(COUNTIFS($C30:$AG30,{"0","4","5","6","7","8","9"},$C$4:$AG$4,"3"))</f>
        <v>4</v>
      </c>
      <c r="AN30" s="283" cm="1">
        <f t="array" ref="AN30">SUM(COUNTIFS($C30:$AG30,{"1","2","3"}))</f>
        <v>4</v>
      </c>
      <c r="AO30" s="283" cm="1">
        <f t="array" ref="AO30">SUM(COUNTIFS($C30:$AG30,{"4","5","6"}))</f>
        <v>0</v>
      </c>
      <c r="AP30" s="283">
        <f>AJ30*'Spreadsheet Key'!$A$23 + AK30*'Spreadsheet Key'!$A$24 + AL30*'Spreadsheet Key'!$A$25 + AM30*'Spreadsheet Key'!$A$26</f>
        <v>1026</v>
      </c>
      <c r="AQ30" s="283" t="e">
        <f>AI30/(#REF!)</f>
        <v>#REF!</v>
      </c>
      <c r="AR30" s="283" t="e">
        <f>AQ30*#REF!</f>
        <v>#REF!</v>
      </c>
      <c r="AT30" s="283">
        <f t="shared" si="0"/>
        <v>1</v>
      </c>
      <c r="AU30" s="283">
        <f t="shared" si="1"/>
        <v>2</v>
      </c>
      <c r="AV30" s="283">
        <f t="shared" si="2"/>
        <v>0</v>
      </c>
      <c r="AW30" s="283" cm="1">
        <f t="array" ref="AW30">COUNTIFS($C30:$AG30,"9",$C$4:$AG$4,"1")+SUM(COUNTIFS($C30:$AG30,{"8","9"},$C$4:$AG$4,"2"))+COUNTIFS($C30:$AG30,"8",$C$4:$AG$4,"3")</f>
        <v>0</v>
      </c>
      <c r="AX30" s="283">
        <f t="shared" si="3"/>
        <v>0</v>
      </c>
      <c r="AY30" s="283">
        <f t="shared" si="4"/>
        <v>3</v>
      </c>
      <c r="AZ30" s="283">
        <f>AT30*'Spreadsheet Key'!$A$27+AU30*'Spreadsheet Key'!$A$28+AV30*'Spreadsheet Key'!$A$29+AW30*'Spreadsheet Key'!$A$30+AX30*'Spreadsheet Key'!$A$31</f>
        <v>34</v>
      </c>
      <c r="BB30" s="283" t="e">
        <f t="shared" si="5"/>
        <v>#REF!</v>
      </c>
    </row>
    <row r="31" spans="1:54">
      <c r="A31" s="2389"/>
      <c r="B31" s="2389"/>
      <c r="C31" s="779"/>
      <c r="D31" s="779"/>
      <c r="E31" s="779"/>
      <c r="F31" s="779"/>
      <c r="G31" s="779"/>
      <c r="H31" s="2434" t="s">
        <v>722</v>
      </c>
      <c r="I31" s="779"/>
      <c r="J31" s="779"/>
      <c r="K31" s="779"/>
      <c r="L31" s="779"/>
      <c r="M31" s="779"/>
      <c r="N31" s="779"/>
      <c r="O31" s="779"/>
      <c r="P31" s="779"/>
      <c r="Q31" s="779"/>
      <c r="R31" s="779"/>
      <c r="S31" s="779"/>
      <c r="T31" s="779"/>
      <c r="U31" s="2434" t="s">
        <v>722</v>
      </c>
      <c r="V31" s="779"/>
      <c r="W31" s="779"/>
      <c r="X31" s="779"/>
      <c r="Y31" s="2434" t="s">
        <v>720</v>
      </c>
      <c r="Z31" s="779"/>
      <c r="AA31" s="779"/>
      <c r="AB31" s="779"/>
      <c r="AC31" s="779"/>
      <c r="AD31" s="3010" t="s">
        <v>1025</v>
      </c>
      <c r="AE31" s="6244" t="s">
        <v>1231</v>
      </c>
      <c r="AF31" s="6244"/>
      <c r="AG31" s="3010" t="s">
        <v>1025</v>
      </c>
      <c r="AH31" s="3126"/>
      <c r="AI31" s="283" cm="1">
        <f t="array" ref="AI31">SUM(COUNTIFS($C31:$AG31,{"0","4","5","6","7","8","9"}))</f>
        <v>0</v>
      </c>
      <c r="AJ31" s="283" cm="1">
        <f t="array" ref="AJ31">SUM(COUNTIFS($C31:$AG31,{"0","4","5","6","7","8","9"},$C$4:$AG$4,"0"))</f>
        <v>0</v>
      </c>
      <c r="AK31" s="283" cm="1">
        <f t="array" ref="AK31">SUM(COUNTIFS($C31:$AG31,{"0","4","5","6","7","8","9"},$C$4:$AG$4,"1"))</f>
        <v>0</v>
      </c>
      <c r="AL31" s="283" cm="1">
        <f t="array" ref="AL31">SUM(COUNTIFS($C31:$AG31,{"0","4","5","6","7","8","9"},$C$4:$AG$4,"2"))</f>
        <v>0</v>
      </c>
      <c r="AM31" s="283" cm="1">
        <f t="array" ref="AM31">SUM(COUNTIFS($C31:$AG31,{"0","4","5","6","7","8","9"},$C$4:$AG$4,"3"))</f>
        <v>0</v>
      </c>
      <c r="AN31" s="283" cm="1">
        <f t="array" ref="AN31">SUM(COUNTIFS($C31:$AG31,{"1","2","3"}))</f>
        <v>0</v>
      </c>
      <c r="AO31" s="283" cm="1">
        <f t="array" ref="AO31">SUM(COUNTIFS($C31:$AG31,{"4","5","6"}))</f>
        <v>0</v>
      </c>
      <c r="AP31" s="283">
        <f>AJ31*'Spreadsheet Key'!$A$23 + AK31*'Spreadsheet Key'!$A$24 + AL31*'Spreadsheet Key'!$A$25 + AM31*'Spreadsheet Key'!$A$26</f>
        <v>0</v>
      </c>
      <c r="AQ31" s="283" t="e">
        <f>AI31/(#REF!)</f>
        <v>#REF!</v>
      </c>
      <c r="AR31" s="283" t="e">
        <f>AQ31*#REF!</f>
        <v>#REF!</v>
      </c>
      <c r="AT31" s="283">
        <f t="shared" si="0"/>
        <v>0</v>
      </c>
      <c r="AU31" s="283">
        <f t="shared" si="1"/>
        <v>0</v>
      </c>
      <c r="AV31" s="283">
        <f t="shared" si="2"/>
        <v>0</v>
      </c>
      <c r="AW31" s="283" cm="1">
        <f t="array" ref="AW31">COUNTIFS($C31:$AG31,"9",$C$4:$AG$4,"1")+SUM(COUNTIFS($C31:$AG31,{"8","9"},$C$4:$AG$4,"2"))+COUNTIFS($C31:$AG31,"8",$C$4:$AG$4,"3")</f>
        <v>0</v>
      </c>
      <c r="AX31" s="283">
        <f t="shared" si="3"/>
        <v>0</v>
      </c>
      <c r="AY31" s="283">
        <f t="shared" si="4"/>
        <v>0</v>
      </c>
      <c r="AZ31" s="283">
        <f>AT31*'Spreadsheet Key'!$A$27+AU31*'Spreadsheet Key'!$A$28+AV31*'Spreadsheet Key'!$A$29+AW31*'Spreadsheet Key'!$A$30+AX31*'Spreadsheet Key'!$A$31</f>
        <v>0</v>
      </c>
    </row>
    <row r="32" spans="1:54">
      <c r="A32" s="2389" t="s">
        <v>1056</v>
      </c>
      <c r="B32" s="2389" t="s">
        <v>334</v>
      </c>
      <c r="C32" s="2659">
        <v>0</v>
      </c>
      <c r="D32" s="2659">
        <v>0</v>
      </c>
      <c r="E32" s="2659">
        <v>0</v>
      </c>
      <c r="F32" s="2659">
        <v>0</v>
      </c>
      <c r="G32" s="2659">
        <v>0</v>
      </c>
      <c r="H32" s="2659">
        <v>9</v>
      </c>
      <c r="I32" s="2659">
        <v>0</v>
      </c>
      <c r="J32" s="2659">
        <v>0</v>
      </c>
      <c r="K32" s="2659">
        <v>0</v>
      </c>
      <c r="L32" s="2659">
        <v>0</v>
      </c>
      <c r="M32" s="2659">
        <v>0</v>
      </c>
      <c r="N32" s="2659">
        <v>0</v>
      </c>
      <c r="O32" s="2659">
        <v>0</v>
      </c>
      <c r="P32" s="2659">
        <v>0</v>
      </c>
      <c r="Q32" s="2659">
        <v>0</v>
      </c>
      <c r="R32" s="2659">
        <v>0</v>
      </c>
      <c r="S32" s="2659">
        <v>0</v>
      </c>
      <c r="T32" s="2659">
        <v>0</v>
      </c>
      <c r="U32" s="2659">
        <v>9</v>
      </c>
      <c r="V32" s="2659">
        <v>0</v>
      </c>
      <c r="W32" s="2659">
        <v>0</v>
      </c>
      <c r="X32" s="2659">
        <v>0</v>
      </c>
      <c r="Y32" s="2659">
        <v>8</v>
      </c>
      <c r="Z32" s="2659">
        <v>0</v>
      </c>
      <c r="AA32" s="2659">
        <v>0</v>
      </c>
      <c r="AB32" s="2659">
        <v>0</v>
      </c>
      <c r="AC32" s="2659">
        <v>0</v>
      </c>
      <c r="AD32" s="2659">
        <v>1</v>
      </c>
      <c r="AE32" s="2659">
        <v>2</v>
      </c>
      <c r="AF32" s="2659">
        <v>2</v>
      </c>
      <c r="AG32" s="2659">
        <v>3</v>
      </c>
      <c r="AH32" s="3126"/>
      <c r="AI32" s="283" cm="1">
        <f t="array" ref="AI32">SUM(COUNTIFS($C32:$AG32,{"0","4","5","6","7","8","9"}))</f>
        <v>27</v>
      </c>
      <c r="AJ32" s="283" cm="1">
        <f t="array" ref="AJ32">SUM(COUNTIFS($C32:$AG32,{"0","4","5","6","7","8","9"},$C$4:$AG$4,"0"))</f>
        <v>16</v>
      </c>
      <c r="AK32" s="283" cm="1">
        <f t="array" ref="AK32">SUM(COUNTIFS($C32:$AG32,{"0","4","5","6","7","8","9"},$C$4:$AG$4,"1"))</f>
        <v>3</v>
      </c>
      <c r="AL32" s="283" cm="1">
        <f t="array" ref="AL32">SUM(COUNTIFS($C32:$AG32,{"0","4","5","6","7","8","9"},$C$4:$AG$4,"2"))</f>
        <v>4</v>
      </c>
      <c r="AM32" s="283" cm="1">
        <f t="array" ref="AM32">SUM(COUNTIFS($C32:$AG32,{"0","4","5","6","7","8","9"},$C$4:$AG$4,"3"))</f>
        <v>4</v>
      </c>
      <c r="AN32" s="283" cm="1">
        <f t="array" ref="AN32">SUM(COUNTIFS($C32:$AG32,{"1","2","3"}))</f>
        <v>4</v>
      </c>
      <c r="AO32" s="283" cm="1">
        <f t="array" ref="AO32">SUM(COUNTIFS($C32:$AG32,{"4","5","6"}))</f>
        <v>0</v>
      </c>
      <c r="AP32" s="283">
        <f>AJ32*'Spreadsheet Key'!$A$23 + AK32*'Spreadsheet Key'!$A$24 + AL32*'Spreadsheet Key'!$A$25 + AM32*'Spreadsheet Key'!$A$26</f>
        <v>1026</v>
      </c>
      <c r="AQ32" s="283" t="e">
        <f>AI32/(#REF!)</f>
        <v>#REF!</v>
      </c>
      <c r="AR32" s="283" t="e">
        <f>AQ32*#REF!</f>
        <v>#REF!</v>
      </c>
      <c r="AT32" s="283">
        <f t="shared" si="0"/>
        <v>0</v>
      </c>
      <c r="AU32" s="283">
        <f t="shared" si="1"/>
        <v>2</v>
      </c>
      <c r="AV32" s="283">
        <f t="shared" si="2"/>
        <v>0</v>
      </c>
      <c r="AW32" s="283" cm="1">
        <f t="array" ref="AW32">COUNTIFS($C32:$AG32,"9",$C$4:$AG$4,"1")+SUM(COUNTIFS($C32:$AG32,{"8","9"},$C$4:$AG$4,"2"))+COUNTIFS($C32:$AG32,"8",$C$4:$AG$4,"3")</f>
        <v>1</v>
      </c>
      <c r="AX32" s="283">
        <f t="shared" si="3"/>
        <v>0</v>
      </c>
      <c r="AY32" s="283">
        <f t="shared" si="4"/>
        <v>3</v>
      </c>
      <c r="AZ32" s="283">
        <f>AT32*'Spreadsheet Key'!$A$27+AU32*'Spreadsheet Key'!$A$28+AV32*'Spreadsheet Key'!$A$29+AW32*'Spreadsheet Key'!$A$30+AX32*'Spreadsheet Key'!$A$31</f>
        <v>60</v>
      </c>
      <c r="BB32" s="283" t="e">
        <f t="shared" si="5"/>
        <v>#REF!</v>
      </c>
    </row>
    <row r="33" spans="1:54">
      <c r="A33" s="56"/>
      <c r="B33" s="56"/>
      <c r="C33" s="3010" t="s">
        <v>1025</v>
      </c>
      <c r="D33" s="779"/>
      <c r="E33" s="2434" t="s">
        <v>720</v>
      </c>
      <c r="F33" s="779"/>
      <c r="G33" s="4475" t="s">
        <v>1248</v>
      </c>
      <c r="H33" s="4475"/>
      <c r="I33" s="4475"/>
      <c r="J33" s="4475"/>
      <c r="K33" s="4475"/>
      <c r="L33" s="4475"/>
      <c r="M33" s="4475"/>
      <c r="N33" s="4475"/>
      <c r="O33" s="4475"/>
      <c r="P33" s="4475"/>
      <c r="Q33" s="4475"/>
      <c r="R33" s="4475"/>
      <c r="S33" s="4475"/>
      <c r="T33" s="4475"/>
      <c r="U33" s="4475"/>
      <c r="V33" s="4475"/>
      <c r="W33" s="4475"/>
      <c r="X33" s="4475"/>
      <c r="Y33" s="4475"/>
      <c r="Z33" s="4475"/>
      <c r="AA33" s="779"/>
      <c r="AB33" s="779"/>
      <c r="AC33" s="779"/>
      <c r="AD33" s="2434"/>
      <c r="AE33" s="2434" t="s">
        <v>722</v>
      </c>
      <c r="AF33" s="779"/>
      <c r="AG33" s="779"/>
      <c r="AH33" s="3126"/>
      <c r="AI33" s="283" cm="1">
        <f t="array" ref="AI33">SUM(COUNTIFS($C33:$AG33,{"0","4","5","6","7","8","9"}))</f>
        <v>0</v>
      </c>
      <c r="AJ33" s="283" cm="1">
        <f t="array" ref="AJ33">SUM(COUNTIFS($C33:$AG33,{"0","4","5","6","7","8","9"},$C$4:$AG$4,"0"))</f>
        <v>0</v>
      </c>
      <c r="AK33" s="283" cm="1">
        <f t="array" ref="AK33">SUM(COUNTIFS($C33:$AG33,{"0","4","5","6","7","8","9"},$C$4:$AG$4,"1"))</f>
        <v>0</v>
      </c>
      <c r="AL33" s="283" cm="1">
        <f t="array" ref="AL33">SUM(COUNTIFS($C33:$AG33,{"0","4","5","6","7","8","9"},$C$4:$AG$4,"2"))</f>
        <v>0</v>
      </c>
      <c r="AM33" s="283" cm="1">
        <f t="array" ref="AM33">SUM(COUNTIFS($C33:$AG33,{"0","4","5","6","7","8","9"},$C$4:$AG$4,"3"))</f>
        <v>0</v>
      </c>
      <c r="AN33" s="283" cm="1">
        <f t="array" ref="AN33">SUM(COUNTIFS($C33:$AG33,{"1","2","3"}))</f>
        <v>0</v>
      </c>
      <c r="AO33" s="283" cm="1">
        <f t="array" ref="AO33">SUM(COUNTIFS($C33:$AG33,{"4","5","6"}))</f>
        <v>0</v>
      </c>
      <c r="AP33" s="283">
        <f>AJ33*'Spreadsheet Key'!$A$23 + AK33*'Spreadsheet Key'!$A$24 + AL33*'Spreadsheet Key'!$A$25 + AM33*'Spreadsheet Key'!$A$26</f>
        <v>0</v>
      </c>
      <c r="AQ33" s="283" t="e">
        <f>AI33/(#REF!)</f>
        <v>#REF!</v>
      </c>
      <c r="AR33" s="283" t="e">
        <f>AQ33*#REF!</f>
        <v>#REF!</v>
      </c>
      <c r="AT33" s="283">
        <f t="shared" si="0"/>
        <v>0</v>
      </c>
      <c r="AU33" s="283">
        <f t="shared" si="1"/>
        <v>0</v>
      </c>
      <c r="AV33" s="283">
        <f t="shared" si="2"/>
        <v>0</v>
      </c>
      <c r="AW33" s="283" cm="1">
        <f t="array" ref="AW33">COUNTIFS($C33:$AG33,"9",$C$4:$AG$4,"1")+SUM(COUNTIFS($C33:$AG33,{"8","9"},$C$4:$AG$4,"2"))+COUNTIFS($C33:$AG33,"8",$C$4:$AG$4,"3")</f>
        <v>0</v>
      </c>
      <c r="AX33" s="283">
        <f t="shared" si="3"/>
        <v>0</v>
      </c>
      <c r="AY33" s="283">
        <f t="shared" si="4"/>
        <v>0</v>
      </c>
      <c r="AZ33" s="283">
        <f>AT33*'Spreadsheet Key'!$A$27+AU33*'Spreadsheet Key'!$A$28+AV33*'Spreadsheet Key'!$A$29+AW33*'Spreadsheet Key'!$A$30+AX33*'Spreadsheet Key'!$A$31</f>
        <v>0</v>
      </c>
    </row>
    <row r="34" spans="1:54">
      <c r="A34" s="56" t="s">
        <v>95</v>
      </c>
      <c r="B34" s="56" t="s">
        <v>620</v>
      </c>
      <c r="C34" s="2659">
        <v>3</v>
      </c>
      <c r="D34" s="2659">
        <v>0</v>
      </c>
      <c r="E34" s="2659">
        <v>8</v>
      </c>
      <c r="F34" s="2659">
        <v>0</v>
      </c>
      <c r="G34" s="2659">
        <v>1</v>
      </c>
      <c r="H34" s="2659">
        <v>2</v>
      </c>
      <c r="I34" s="2659">
        <v>2</v>
      </c>
      <c r="J34" s="2659">
        <v>2</v>
      </c>
      <c r="K34" s="2659">
        <v>2</v>
      </c>
      <c r="L34" s="2659">
        <v>2</v>
      </c>
      <c r="M34" s="2659">
        <v>2</v>
      </c>
      <c r="N34" s="2659">
        <v>2</v>
      </c>
      <c r="O34" s="2659">
        <v>2</v>
      </c>
      <c r="P34" s="2659">
        <v>2</v>
      </c>
      <c r="Q34" s="2659">
        <v>2</v>
      </c>
      <c r="R34" s="2659">
        <v>2</v>
      </c>
      <c r="S34" s="2659">
        <v>2</v>
      </c>
      <c r="T34" s="2659">
        <v>2</v>
      </c>
      <c r="U34" s="2659">
        <v>2</v>
      </c>
      <c r="V34" s="2659">
        <v>2</v>
      </c>
      <c r="W34" s="2659">
        <v>2</v>
      </c>
      <c r="X34" s="2659">
        <v>2</v>
      </c>
      <c r="Y34" s="2659">
        <v>2</v>
      </c>
      <c r="Z34" s="2659">
        <v>3</v>
      </c>
      <c r="AA34" s="2659">
        <v>0</v>
      </c>
      <c r="AB34" s="2659">
        <v>0</v>
      </c>
      <c r="AC34" s="2659">
        <v>0</v>
      </c>
      <c r="AD34" s="2659">
        <v>0</v>
      </c>
      <c r="AE34" s="2659">
        <v>9</v>
      </c>
      <c r="AF34" s="2659">
        <v>0</v>
      </c>
      <c r="AG34" s="2659">
        <v>0</v>
      </c>
      <c r="AH34" s="3126"/>
      <c r="AI34" s="283" cm="1">
        <f t="array" ref="AI34">SUM(COUNTIFS($C34:$AG34,{"0","4","5","6","7","8","9"}))</f>
        <v>10</v>
      </c>
      <c r="AJ34" s="283" cm="1">
        <f t="array" ref="AJ34">SUM(COUNTIFS($C34:$AG34,{"0","4","5","6","7","8","9"},$C$4:$AG$4,"0"))</f>
        <v>6</v>
      </c>
      <c r="AK34" s="283" cm="1">
        <f t="array" ref="AK34">SUM(COUNTIFS($C34:$AG34,{"0","4","5","6","7","8","9"},$C$4:$AG$4,"1"))</f>
        <v>1</v>
      </c>
      <c r="AL34" s="283" cm="1">
        <f t="array" ref="AL34">SUM(COUNTIFS($C34:$AG34,{"0","4","5","6","7","8","9"},$C$4:$AG$4,"2"))</f>
        <v>1</v>
      </c>
      <c r="AM34" s="283" cm="1">
        <f t="array" ref="AM34">SUM(COUNTIFS($C34:$AG34,{"0","4","5","6","7","8","9"},$C$4:$AG$4,"3"))</f>
        <v>2</v>
      </c>
      <c r="AN34" s="283" cm="1">
        <f t="array" ref="AN34">SUM(COUNTIFS($C34:$AG34,{"1","2","3"}))</f>
        <v>21</v>
      </c>
      <c r="AO34" s="283" cm="1">
        <f t="array" ref="AO34">SUM(COUNTIFS($C34:$AG34,{"4","5","6"}))</f>
        <v>0</v>
      </c>
      <c r="AP34" s="283">
        <f>AJ34*'Spreadsheet Key'!$A$23 + AK34*'Spreadsheet Key'!$A$24 + AL34*'Spreadsheet Key'!$A$25 + AM34*'Spreadsheet Key'!$A$26</f>
        <v>370</v>
      </c>
      <c r="AQ34" s="283" t="e">
        <f>AI34/(#REF!)</f>
        <v>#REF!</v>
      </c>
      <c r="AR34" s="283" t="e">
        <f>AQ34*#REF!</f>
        <v>#REF!</v>
      </c>
      <c r="AT34" s="283">
        <f t="shared" si="0"/>
        <v>1</v>
      </c>
      <c r="AU34" s="283">
        <f t="shared" si="1"/>
        <v>0</v>
      </c>
      <c r="AV34" s="283">
        <f t="shared" si="2"/>
        <v>0</v>
      </c>
      <c r="AW34" s="283" cm="1">
        <f t="array" ref="AW34">COUNTIFS($C34:$AG34,"9",$C$4:$AG$4,"1")+SUM(COUNTIFS($C34:$AG34,{"8","9"},$C$4:$AG$4,"2"))+COUNTIFS($C34:$AG34,"8",$C$4:$AG$4,"3")</f>
        <v>1</v>
      </c>
      <c r="AX34" s="283">
        <f t="shared" si="3"/>
        <v>0</v>
      </c>
      <c r="AY34" s="283">
        <f t="shared" si="4"/>
        <v>2</v>
      </c>
      <c r="AZ34" s="283">
        <f>AT34*'Spreadsheet Key'!$A$27+AU34*'Spreadsheet Key'!$A$28+AV34*'Spreadsheet Key'!$A$29+AW34*'Spreadsheet Key'!$A$30+AX34*'Spreadsheet Key'!$A$31</f>
        <v>46</v>
      </c>
      <c r="BB34" s="283" t="e">
        <f t="shared" si="5"/>
        <v>#REF!</v>
      </c>
    </row>
    <row r="35" spans="1:54" s="3139" customFormat="1">
      <c r="A35" s="56"/>
      <c r="B35" s="56"/>
      <c r="C35" s="3678" t="s">
        <v>1025</v>
      </c>
      <c r="D35" s="779"/>
      <c r="E35" s="6190" t="s">
        <v>1234</v>
      </c>
      <c r="F35" s="6190"/>
      <c r="G35" s="6190"/>
      <c r="H35" s="6190"/>
      <c r="I35" s="6190"/>
      <c r="J35" s="2434" t="s">
        <v>722</v>
      </c>
      <c r="K35" s="779"/>
      <c r="L35" s="779"/>
      <c r="M35" s="2949" t="s">
        <v>1235</v>
      </c>
      <c r="N35" s="779"/>
      <c r="O35" s="779"/>
      <c r="P35" s="3685" t="s">
        <v>1249</v>
      </c>
      <c r="Q35" s="779"/>
      <c r="R35" s="779"/>
      <c r="S35" s="779"/>
      <c r="T35" s="2434" t="s">
        <v>720</v>
      </c>
      <c r="U35" s="779"/>
      <c r="V35" s="779"/>
      <c r="W35" s="4475" t="s">
        <v>1250</v>
      </c>
      <c r="X35" s="4475"/>
      <c r="Y35" s="4475"/>
      <c r="Z35" s="4475"/>
      <c r="AA35" s="4475"/>
      <c r="AB35" s="4475"/>
      <c r="AC35" s="4475"/>
      <c r="AD35" s="4475"/>
      <c r="AE35" s="4475"/>
      <c r="AF35" s="4475"/>
      <c r="AG35" s="4475"/>
      <c r="AH35" s="3126"/>
      <c r="AI35" s="283" cm="1">
        <f t="array" ref="AI35">SUM(COUNTIFS($C35:$AG35,{"0","4","5","6","7","8","9"}))</f>
        <v>0</v>
      </c>
      <c r="AJ35" s="283" cm="1">
        <f t="array" ref="AJ35">SUM(COUNTIFS($C35:$AG35,{"0","4","5","6","7","8","9"},$C$4:$AG$4,"0"))</f>
        <v>0</v>
      </c>
      <c r="AK35" s="283" cm="1">
        <f t="array" ref="AK35">SUM(COUNTIFS($C35:$AG35,{"0","4","5","6","7","8","9"},$C$4:$AG$4,"1"))</f>
        <v>0</v>
      </c>
      <c r="AL35" s="283" cm="1">
        <f t="array" ref="AL35">SUM(COUNTIFS($C35:$AG35,{"0","4","5","6","7","8","9"},$C$4:$AG$4,"2"))</f>
        <v>0</v>
      </c>
      <c r="AM35" s="283" cm="1">
        <f t="array" ref="AM35">SUM(COUNTIFS($C35:$AG35,{"0","4","5","6","7","8","9"},$C$4:$AG$4,"3"))</f>
        <v>0</v>
      </c>
      <c r="AN35" s="283" cm="1">
        <f t="array" ref="AN35">SUM(COUNTIFS($C35:$AG35,{"1","2","3"}))</f>
        <v>0</v>
      </c>
      <c r="AO35" s="283" cm="1">
        <f t="array" ref="AO35">SUM(COUNTIFS($C35:$AG35,{"4","5","6"}))</f>
        <v>0</v>
      </c>
      <c r="AP35" s="283">
        <f>AJ35*'Spreadsheet Key'!$A$23 + AK35*'Spreadsheet Key'!$A$24 + AL35*'Spreadsheet Key'!$A$25 + AM35*'Spreadsheet Key'!$A$26</f>
        <v>0</v>
      </c>
      <c r="AQ35" s="283" t="e">
        <f>AI35/(#REF!)</f>
        <v>#REF!</v>
      </c>
      <c r="AR35" s="283" t="e">
        <f>AQ35*#REF!</f>
        <v>#REF!</v>
      </c>
      <c r="AS35" s="283"/>
      <c r="AT35" s="283">
        <f t="shared" si="0"/>
        <v>0</v>
      </c>
      <c r="AU35" s="283">
        <f t="shared" si="1"/>
        <v>0</v>
      </c>
      <c r="AV35" s="283">
        <f t="shared" si="2"/>
        <v>0</v>
      </c>
      <c r="AW35" s="283" cm="1">
        <f t="array" ref="AW35">COUNTIFS($C35:$AG35,"9",$C$4:$AG$4,"1")+SUM(COUNTIFS($C35:$AG35,{"8","9"},$C$4:$AG$4,"2"))+COUNTIFS($C35:$AG35,"8",$C$4:$AG$4,"3")</f>
        <v>0</v>
      </c>
      <c r="AX35" s="283">
        <f t="shared" si="3"/>
        <v>0</v>
      </c>
      <c r="AY35" s="283">
        <f t="shared" si="4"/>
        <v>0</v>
      </c>
      <c r="AZ35" s="283">
        <f>AT35*'Spreadsheet Key'!$A$27+AU35*'Spreadsheet Key'!$A$28+AV35*'Spreadsheet Key'!$A$29+AW35*'Spreadsheet Key'!$A$30+AX35*'Spreadsheet Key'!$A$31</f>
        <v>0</v>
      </c>
      <c r="BA35" s="283"/>
      <c r="BB35" s="283"/>
    </row>
    <row r="36" spans="1:54" s="3139" customFormat="1">
      <c r="A36" s="56" t="s">
        <v>95</v>
      </c>
      <c r="B36" s="56" t="s">
        <v>1037</v>
      </c>
      <c r="C36" s="2659">
        <v>6</v>
      </c>
      <c r="D36" s="2659">
        <v>0</v>
      </c>
      <c r="E36" s="2659">
        <v>7</v>
      </c>
      <c r="F36" s="2659">
        <v>7</v>
      </c>
      <c r="G36" s="2659">
        <v>7</v>
      </c>
      <c r="H36" s="2659">
        <v>7</v>
      </c>
      <c r="I36" s="2659">
        <v>7</v>
      </c>
      <c r="J36" s="2659">
        <v>9</v>
      </c>
      <c r="K36" s="2659">
        <v>0</v>
      </c>
      <c r="L36" s="2659">
        <v>0</v>
      </c>
      <c r="M36" s="2659">
        <v>7</v>
      </c>
      <c r="N36" s="2659">
        <v>0</v>
      </c>
      <c r="O36" s="2659">
        <v>0</v>
      </c>
      <c r="P36" s="2659">
        <v>7</v>
      </c>
      <c r="Q36" s="2659">
        <v>0</v>
      </c>
      <c r="R36" s="2659">
        <v>0</v>
      </c>
      <c r="S36" s="2659">
        <v>0</v>
      </c>
      <c r="T36" s="2659">
        <v>8</v>
      </c>
      <c r="U36" s="2659">
        <v>0</v>
      </c>
      <c r="V36" s="2659">
        <v>0</v>
      </c>
      <c r="W36" s="2659">
        <v>1</v>
      </c>
      <c r="X36" s="2659">
        <v>2</v>
      </c>
      <c r="Y36" s="2659">
        <v>2</v>
      </c>
      <c r="Z36" s="2659">
        <v>2</v>
      </c>
      <c r="AA36" s="2659">
        <v>2</v>
      </c>
      <c r="AB36" s="2659">
        <v>2</v>
      </c>
      <c r="AC36" s="2659">
        <v>2</v>
      </c>
      <c r="AD36" s="2659">
        <v>2</v>
      </c>
      <c r="AE36" s="2659">
        <v>2</v>
      </c>
      <c r="AF36" s="2659">
        <v>2</v>
      </c>
      <c r="AG36" s="2659">
        <v>2</v>
      </c>
      <c r="AH36" s="3126"/>
      <c r="AI36" s="283" cm="1">
        <f t="array" ref="AI36">SUM(COUNTIFS($C36:$AG36,{"0","4","5","6","7","8","9"}))</f>
        <v>20</v>
      </c>
      <c r="AJ36" s="283" cm="1">
        <f t="array" ref="AJ36">SUM(COUNTIFS($C36:$AG36,{"0","4","5","6","7","8","9"},$C$4:$AG$4,"0"))</f>
        <v>12</v>
      </c>
      <c r="AK36" s="283" cm="1">
        <f t="array" ref="AK36">SUM(COUNTIFS($C36:$AG36,{"0","4","5","6","7","8","9"},$C$4:$AG$4,"1"))</f>
        <v>2</v>
      </c>
      <c r="AL36" s="283" cm="1">
        <f t="array" ref="AL36">SUM(COUNTIFS($C36:$AG36,{"0","4","5","6","7","8","9"},$C$4:$AG$4,"2"))</f>
        <v>3</v>
      </c>
      <c r="AM36" s="283" cm="1">
        <f t="array" ref="AM36">SUM(COUNTIFS($C36:$AG36,{"0","4","5","6","7","8","9"},$C$4:$AG$4,"3"))</f>
        <v>3</v>
      </c>
      <c r="AN36" s="283" cm="1">
        <f t="array" ref="AN36">SUM(COUNTIFS($C36:$AG36,{"1","2","3"}))</f>
        <v>11</v>
      </c>
      <c r="AO36" s="283" cm="1">
        <f t="array" ref="AO36">SUM(COUNTIFS($C36:$AG36,{"4","5","6"}))</f>
        <v>1</v>
      </c>
      <c r="AP36" s="283">
        <f>AJ36*'Spreadsheet Key'!$A$23 + AK36*'Spreadsheet Key'!$A$24 + AL36*'Spreadsheet Key'!$A$25 + AM36*'Spreadsheet Key'!$A$26</f>
        <v>756</v>
      </c>
      <c r="AQ36" s="283" t="e">
        <f>AI36/(#REF!)</f>
        <v>#REF!</v>
      </c>
      <c r="AR36" s="283" t="e">
        <f>AQ36*#REF!</f>
        <v>#REF!</v>
      </c>
      <c r="AS36" s="283"/>
      <c r="AT36" s="283">
        <f t="shared" si="0"/>
        <v>1</v>
      </c>
      <c r="AU36" s="283">
        <f t="shared" si="1"/>
        <v>0</v>
      </c>
      <c r="AV36" s="283">
        <f t="shared" si="2"/>
        <v>0</v>
      </c>
      <c r="AW36" s="283" cm="1">
        <f t="array" ref="AW36">COUNTIFS($C36:$AG36,"9",$C$4:$AG$4,"1")+SUM(COUNTIFS($C36:$AG36,{"8","9"},$C$4:$AG$4,"2"))+COUNTIFS($C36:$AG36,"8",$C$4:$AG$4,"3")</f>
        <v>1</v>
      </c>
      <c r="AX36" s="283">
        <f t="shared" si="3"/>
        <v>0</v>
      </c>
      <c r="AY36" s="283">
        <f t="shared" si="4"/>
        <v>2</v>
      </c>
      <c r="AZ36" s="283">
        <f>AT36*'Spreadsheet Key'!$A$27+AU36*'Spreadsheet Key'!$A$28+AV36*'Spreadsheet Key'!$A$29+AW36*'Spreadsheet Key'!$A$30+AX36*'Spreadsheet Key'!$A$31</f>
        <v>46</v>
      </c>
      <c r="BA36" s="283"/>
      <c r="BB36" s="283" t="e">
        <f t="shared" si="5"/>
        <v>#REF!</v>
      </c>
    </row>
    <row r="37" spans="1:54" s="3139" customFormat="1">
      <c r="A37" s="56"/>
      <c r="B37" s="56"/>
      <c r="C37" s="3678" t="s">
        <v>1025</v>
      </c>
      <c r="D37" s="779"/>
      <c r="E37" s="6190" t="s">
        <v>1234</v>
      </c>
      <c r="F37" s="6190"/>
      <c r="G37" s="6190"/>
      <c r="H37" s="6190"/>
      <c r="I37" s="6190"/>
      <c r="J37" s="779"/>
      <c r="K37" s="2434" t="s">
        <v>722</v>
      </c>
      <c r="L37" s="779"/>
      <c r="M37" s="2949" t="s">
        <v>1235</v>
      </c>
      <c r="N37" s="779"/>
      <c r="O37" s="2434" t="s">
        <v>720</v>
      </c>
      <c r="P37" s="779"/>
      <c r="Q37" s="779"/>
      <c r="R37" s="779"/>
      <c r="S37" s="3010" t="s">
        <v>1025</v>
      </c>
      <c r="T37" s="6099" t="s">
        <v>1233</v>
      </c>
      <c r="U37" s="6099"/>
      <c r="V37" s="6099"/>
      <c r="W37" s="3010" t="s">
        <v>1025</v>
      </c>
      <c r="X37" s="779"/>
      <c r="Y37" s="3010" t="s">
        <v>1025</v>
      </c>
      <c r="Z37" s="6190" t="s">
        <v>1246</v>
      </c>
      <c r="AA37" s="6190"/>
      <c r="AB37" s="6190"/>
      <c r="AC37" s="6190"/>
      <c r="AD37" s="6190"/>
      <c r="AE37" s="4475" t="s">
        <v>1247</v>
      </c>
      <c r="AF37" s="4475"/>
      <c r="AG37" s="4475"/>
      <c r="AH37" s="3126"/>
      <c r="AI37" s="283" cm="1">
        <f t="array" ref="AI37">SUM(COUNTIFS($C37:$AG37,{"0","4","5","6","7","8","9"}))</f>
        <v>0</v>
      </c>
      <c r="AJ37" s="283" cm="1">
        <f t="array" ref="AJ37">SUM(COUNTIFS($C37:$AG37,{"0","4","5","6","7","8","9"},$C$4:$AG$4,"0"))</f>
        <v>0</v>
      </c>
      <c r="AK37" s="283" cm="1">
        <f t="array" ref="AK37">SUM(COUNTIFS($C37:$AG37,{"0","4","5","6","7","8","9"},$C$4:$AG$4,"1"))</f>
        <v>0</v>
      </c>
      <c r="AL37" s="283" cm="1">
        <f t="array" ref="AL37">SUM(COUNTIFS($C37:$AG37,{"0","4","5","6","7","8","9"},$C$4:$AG$4,"2"))</f>
        <v>0</v>
      </c>
      <c r="AM37" s="283" cm="1">
        <f t="array" ref="AM37">SUM(COUNTIFS($C37:$AG37,{"0","4","5","6","7","8","9"},$C$4:$AG$4,"3"))</f>
        <v>0</v>
      </c>
      <c r="AN37" s="283" cm="1">
        <f t="array" ref="AN37">SUM(COUNTIFS($C37:$AG37,{"1","2","3"}))</f>
        <v>0</v>
      </c>
      <c r="AO37" s="283" cm="1">
        <f t="array" ref="AO37">SUM(COUNTIFS($C37:$AG37,{"4","5","6"}))</f>
        <v>0</v>
      </c>
      <c r="AP37" s="283">
        <f>AJ37*'Spreadsheet Key'!$A$23 + AK37*'Spreadsheet Key'!$A$24 + AL37*'Spreadsheet Key'!$A$25 + AM37*'Spreadsheet Key'!$A$26</f>
        <v>0</v>
      </c>
      <c r="AQ37" s="283" t="e">
        <f>AI37/(#REF!)</f>
        <v>#REF!</v>
      </c>
      <c r="AR37" s="283" t="e">
        <f>AQ37*#REF!</f>
        <v>#REF!</v>
      </c>
      <c r="AS37" s="283"/>
      <c r="AT37" s="283">
        <f t="shared" si="0"/>
        <v>0</v>
      </c>
      <c r="AU37" s="283">
        <f t="shared" si="1"/>
        <v>0</v>
      </c>
      <c r="AV37" s="283">
        <f t="shared" si="2"/>
        <v>0</v>
      </c>
      <c r="AW37" s="283" cm="1">
        <f t="array" ref="AW37">COUNTIFS($C37:$AG37,"9",$C$4:$AG$4,"1")+SUM(COUNTIFS($C37:$AG37,{"8","9"},$C$4:$AG$4,"2"))+COUNTIFS($C37:$AG37,"8",$C$4:$AG$4,"3")</f>
        <v>0</v>
      </c>
      <c r="AX37" s="283">
        <f t="shared" si="3"/>
        <v>0</v>
      </c>
      <c r="AY37" s="283">
        <f t="shared" si="4"/>
        <v>0</v>
      </c>
      <c r="AZ37" s="283">
        <f>AT37*'Spreadsheet Key'!$A$27+AU37*'Spreadsheet Key'!$A$28+AV37*'Spreadsheet Key'!$A$29+AW37*'Spreadsheet Key'!$A$30+AX37*'Spreadsheet Key'!$A$31</f>
        <v>0</v>
      </c>
      <c r="BA37" s="283"/>
      <c r="BB37" s="283"/>
    </row>
    <row r="38" spans="1:54" s="3139" customFormat="1">
      <c r="A38" s="56" t="s">
        <v>95</v>
      </c>
      <c r="B38" s="56" t="s">
        <v>1058</v>
      </c>
      <c r="C38" s="2659">
        <v>6</v>
      </c>
      <c r="D38" s="2659">
        <v>0</v>
      </c>
      <c r="E38" s="2659">
        <v>7</v>
      </c>
      <c r="F38" s="2659">
        <v>7</v>
      </c>
      <c r="G38" s="2659">
        <v>7</v>
      </c>
      <c r="H38" s="2659">
        <v>7</v>
      </c>
      <c r="I38" s="2659">
        <v>7</v>
      </c>
      <c r="J38" s="2659">
        <v>0</v>
      </c>
      <c r="K38" s="2659">
        <v>9</v>
      </c>
      <c r="L38" s="2659">
        <v>0</v>
      </c>
      <c r="M38" s="2659">
        <v>7</v>
      </c>
      <c r="N38" s="2659">
        <v>0</v>
      </c>
      <c r="O38" s="2659">
        <v>8</v>
      </c>
      <c r="P38" s="2659">
        <v>0</v>
      </c>
      <c r="Q38" s="2659">
        <v>0</v>
      </c>
      <c r="R38" s="2659">
        <v>0</v>
      </c>
      <c r="S38" s="2659">
        <v>1</v>
      </c>
      <c r="T38" s="2659">
        <v>2</v>
      </c>
      <c r="U38" s="2659">
        <v>2</v>
      </c>
      <c r="V38" s="2659">
        <v>2</v>
      </c>
      <c r="W38" s="2659">
        <v>3</v>
      </c>
      <c r="X38" s="2659">
        <v>0</v>
      </c>
      <c r="Y38" s="2659">
        <v>1</v>
      </c>
      <c r="Z38" s="2659">
        <v>2</v>
      </c>
      <c r="AA38" s="2659">
        <v>2</v>
      </c>
      <c r="AB38" s="2659">
        <v>2</v>
      </c>
      <c r="AC38" s="2659">
        <v>2</v>
      </c>
      <c r="AD38" s="2659">
        <v>2</v>
      </c>
      <c r="AE38" s="2659">
        <v>2</v>
      </c>
      <c r="AF38" s="2659">
        <v>2</v>
      </c>
      <c r="AG38" s="2659">
        <v>2</v>
      </c>
      <c r="AH38" s="3126"/>
      <c r="AI38" s="283" cm="1">
        <f t="array" ref="AI38">SUM(COUNTIFS($C38:$AG38,{"0","4","5","6","7","8","9"}))</f>
        <v>17</v>
      </c>
      <c r="AJ38" s="283" cm="1">
        <f t="array" ref="AJ38">SUM(COUNTIFS($C38:$AG38,{"0","4","5","6","7","8","9"},$C$4:$AG$4,"0"))</f>
        <v>8</v>
      </c>
      <c r="AK38" s="283" cm="1">
        <f t="array" ref="AK38">SUM(COUNTIFS($C38:$AG38,{"0","4","5","6","7","8","9"},$C$4:$AG$4,"1"))</f>
        <v>2</v>
      </c>
      <c r="AL38" s="283" cm="1">
        <f t="array" ref="AL38">SUM(COUNTIFS($C38:$AG38,{"0","4","5","6","7","8","9"},$C$4:$AG$4,"2"))</f>
        <v>4</v>
      </c>
      <c r="AM38" s="283" cm="1">
        <f t="array" ref="AM38">SUM(COUNTIFS($C38:$AG38,{"0","4","5","6","7","8","9"},$C$4:$AG$4,"3"))</f>
        <v>3</v>
      </c>
      <c r="AN38" s="283" cm="1">
        <f t="array" ref="AN38">SUM(COUNTIFS($C38:$AG38,{"1","2","3"}))</f>
        <v>14</v>
      </c>
      <c r="AO38" s="283" cm="1">
        <f t="array" ref="AO38">SUM(COUNTIFS($C38:$AG38,{"4","5","6"}))</f>
        <v>1</v>
      </c>
      <c r="AP38" s="283">
        <f>AJ38*'Spreadsheet Key'!$A$23 + AK38*'Spreadsheet Key'!$A$24 + AL38*'Spreadsheet Key'!$A$25 + AM38*'Spreadsheet Key'!$A$26</f>
        <v>740</v>
      </c>
      <c r="AQ38" s="283" t="e">
        <f>AI38/(#REF!)</f>
        <v>#REF!</v>
      </c>
      <c r="AR38" s="283" t="e">
        <f>AQ38*#REF!</f>
        <v>#REF!</v>
      </c>
      <c r="AS38" s="283"/>
      <c r="AT38" s="283">
        <f t="shared" si="0"/>
        <v>1</v>
      </c>
      <c r="AU38" s="283">
        <f t="shared" si="1"/>
        <v>0</v>
      </c>
      <c r="AV38" s="283">
        <f t="shared" si="2"/>
        <v>0</v>
      </c>
      <c r="AW38" s="283" cm="1">
        <f t="array" ref="AW38">COUNTIFS($C38:$AG38,"9",$C$4:$AG$4,"1")+SUM(COUNTIFS($C38:$AG38,{"8","9"},$C$4:$AG$4,"2"))+COUNTIFS($C38:$AG38,"8",$C$4:$AG$4,"3")</f>
        <v>0</v>
      </c>
      <c r="AX38" s="283">
        <f t="shared" si="3"/>
        <v>1</v>
      </c>
      <c r="AY38" s="283">
        <f t="shared" si="4"/>
        <v>2</v>
      </c>
      <c r="AZ38" s="283">
        <f>AT38*'Spreadsheet Key'!$A$27+AU38*'Spreadsheet Key'!$A$28+AV38*'Spreadsheet Key'!$A$29+AW38*'Spreadsheet Key'!$A$30+AX38*'Spreadsheet Key'!$A$31</f>
        <v>30</v>
      </c>
      <c r="BA38" s="283"/>
      <c r="BB38" s="283" t="e">
        <f t="shared" si="5"/>
        <v>#REF!</v>
      </c>
    </row>
    <row r="39" spans="1:54">
      <c r="A39" s="3584"/>
      <c r="B39" s="3584"/>
      <c r="C39" s="3140"/>
      <c r="D39" s="3140"/>
      <c r="E39" s="6253" t="s">
        <v>1234</v>
      </c>
      <c r="F39" s="6253"/>
      <c r="G39" s="6253"/>
      <c r="H39" s="6253"/>
      <c r="I39" s="6253"/>
      <c r="J39" s="3140"/>
      <c r="K39" s="3140"/>
      <c r="L39" s="3154"/>
      <c r="M39" s="3141" t="s">
        <v>1235</v>
      </c>
      <c r="N39" s="3140"/>
      <c r="O39" s="3140"/>
      <c r="P39" s="3154" t="s">
        <v>722</v>
      </c>
      <c r="Q39" s="3140"/>
      <c r="R39" s="3140"/>
      <c r="S39" s="3142" t="s">
        <v>1025</v>
      </c>
      <c r="T39" s="6252" t="s">
        <v>1233</v>
      </c>
      <c r="U39" s="6252"/>
      <c r="V39" s="6252"/>
      <c r="W39" s="3142" t="s">
        <v>1025</v>
      </c>
      <c r="X39" s="3140"/>
      <c r="Y39" s="3140"/>
      <c r="Z39" s="3154" t="s">
        <v>720</v>
      </c>
      <c r="AA39" s="3140"/>
      <c r="AB39" s="3140"/>
      <c r="AC39" s="3140"/>
      <c r="AD39" s="3140"/>
      <c r="AE39" s="3154"/>
      <c r="AF39" s="3154" t="s">
        <v>720</v>
      </c>
      <c r="AG39" s="3140"/>
      <c r="AH39" s="3126"/>
      <c r="AI39" s="283" cm="1">
        <f t="array" ref="AI39">SUM(COUNTIFS($C39:$AG39,{"0","4","5","6","7","8","9"}))</f>
        <v>0</v>
      </c>
      <c r="AJ39" s="283" cm="1">
        <f t="array" ref="AJ39">SUM(COUNTIFS($C39:$AG39,{"0","4","5","6","7","8","9"},$C$4:$AG$4,"0"))</f>
        <v>0</v>
      </c>
      <c r="AK39" s="283" cm="1">
        <f t="array" ref="AK39">SUM(COUNTIFS($C39:$AG39,{"0","4","5","6","7","8","9"},$C$4:$AG$4,"1"))</f>
        <v>0</v>
      </c>
      <c r="AL39" s="283" cm="1">
        <f t="array" ref="AL39">SUM(COUNTIFS($C39:$AG39,{"0","4","5","6","7","8","9"},$C$4:$AG$4,"2"))</f>
        <v>0</v>
      </c>
      <c r="AM39" s="283" cm="1">
        <f t="array" ref="AM39">SUM(COUNTIFS($C39:$AG39,{"0","4","5","6","7","8","9"},$C$4:$AG$4,"3"))</f>
        <v>0</v>
      </c>
      <c r="AN39" s="283" cm="1">
        <f t="array" ref="AN39">SUM(COUNTIFS($C39:$AG39,{"1","2","3"}))</f>
        <v>0</v>
      </c>
      <c r="AO39" s="283" cm="1">
        <f t="array" ref="AO39">SUM(COUNTIFS($C39:$AG39,{"4","5","6"}))</f>
        <v>0</v>
      </c>
      <c r="AP39" s="283">
        <f>AJ39*'Spreadsheet Key'!$A$23 + AK39*'Spreadsheet Key'!$A$24 + AL39*'Spreadsheet Key'!$A$25 + AM39*'Spreadsheet Key'!$A$26</f>
        <v>0</v>
      </c>
      <c r="AQ39" s="283" t="e">
        <f>AI39/(#REF!)</f>
        <v>#REF!</v>
      </c>
      <c r="AR39" s="283" t="e">
        <f>AQ39*#REF!</f>
        <v>#REF!</v>
      </c>
      <c r="AT39" s="283">
        <f t="shared" si="0"/>
        <v>0</v>
      </c>
      <c r="AU39" s="283">
        <f t="shared" si="1"/>
        <v>0</v>
      </c>
      <c r="AV39" s="283">
        <f t="shared" si="2"/>
        <v>0</v>
      </c>
      <c r="AW39" s="283" cm="1">
        <f t="array" ref="AW39">COUNTIFS($C39:$AG39,"9",$C$4:$AG$4,"1")+SUM(COUNTIFS($C39:$AG39,{"8","9"},$C$4:$AG$4,"2"))+COUNTIFS($C39:$AG39,"8",$C$4:$AG$4,"3")</f>
        <v>0</v>
      </c>
      <c r="AX39" s="283">
        <f t="shared" si="3"/>
        <v>0</v>
      </c>
      <c r="AY39" s="283">
        <f t="shared" si="4"/>
        <v>0</v>
      </c>
      <c r="AZ39" s="283">
        <f>AT39*'Spreadsheet Key'!$A$27+AU39*'Spreadsheet Key'!$A$28+AV39*'Spreadsheet Key'!$A$29+AW39*'Spreadsheet Key'!$A$30+AX39*'Spreadsheet Key'!$A$31</f>
        <v>0</v>
      </c>
    </row>
    <row r="40" spans="1:54">
      <c r="A40" s="56" t="s">
        <v>739</v>
      </c>
      <c r="B40" s="56" t="s">
        <v>740</v>
      </c>
      <c r="C40" s="2659">
        <v>0</v>
      </c>
      <c r="D40" s="2659">
        <v>0</v>
      </c>
      <c r="E40" s="2659">
        <v>7</v>
      </c>
      <c r="F40" s="2659">
        <v>7</v>
      </c>
      <c r="G40" s="2659">
        <v>7</v>
      </c>
      <c r="H40" s="2659">
        <v>7</v>
      </c>
      <c r="I40" s="2659">
        <v>7</v>
      </c>
      <c r="J40" s="2659">
        <v>0</v>
      </c>
      <c r="K40" s="2659">
        <v>0</v>
      </c>
      <c r="L40" s="2659">
        <v>0</v>
      </c>
      <c r="M40" s="2659">
        <v>7</v>
      </c>
      <c r="N40" s="2659">
        <v>0</v>
      </c>
      <c r="O40" s="2659">
        <v>0</v>
      </c>
      <c r="P40" s="2659">
        <v>9</v>
      </c>
      <c r="Q40" s="2659">
        <v>0</v>
      </c>
      <c r="R40" s="2659">
        <v>0</v>
      </c>
      <c r="S40" s="2659">
        <v>1</v>
      </c>
      <c r="T40" s="2659">
        <v>2</v>
      </c>
      <c r="U40" s="2659">
        <v>2</v>
      </c>
      <c r="V40" s="2659">
        <v>2</v>
      </c>
      <c r="W40" s="2659">
        <v>3</v>
      </c>
      <c r="X40" s="2659">
        <v>0</v>
      </c>
      <c r="Y40" s="2659">
        <v>0</v>
      </c>
      <c r="Z40" s="2659">
        <v>8</v>
      </c>
      <c r="AA40" s="2659">
        <v>0</v>
      </c>
      <c r="AB40" s="2659">
        <v>0</v>
      </c>
      <c r="AC40" s="2659">
        <v>0</v>
      </c>
      <c r="AD40" s="2659">
        <v>0</v>
      </c>
      <c r="AE40" s="2659">
        <v>0</v>
      </c>
      <c r="AF40" s="2659">
        <v>8</v>
      </c>
      <c r="AG40" s="2659">
        <v>0</v>
      </c>
      <c r="AH40" s="3126"/>
      <c r="AI40" s="283" cm="1">
        <f t="array" ref="AI40">SUM(COUNTIFS($C40:$AG40,{"0","4","5","6","7","8","9"}))</f>
        <v>26</v>
      </c>
      <c r="AJ40" s="283" cm="1">
        <f t="array" ref="AJ40">SUM(COUNTIFS($C40:$AG40,{"0","4","5","6","7","8","9"},$C$4:$AG$4,"0"))</f>
        <v>13</v>
      </c>
      <c r="AK40" s="283" cm="1">
        <f t="array" ref="AK40">SUM(COUNTIFS($C40:$AG40,{"0","4","5","6","7","8","9"},$C$4:$AG$4,"1"))</f>
        <v>3</v>
      </c>
      <c r="AL40" s="283" cm="1">
        <f t="array" ref="AL40">SUM(COUNTIFS($C40:$AG40,{"0","4","5","6","7","8","9"},$C$4:$AG$4,"2"))</f>
        <v>5</v>
      </c>
      <c r="AM40" s="283" cm="1">
        <f t="array" ref="AM40">SUM(COUNTIFS($C40:$AG40,{"0","4","5","6","7","8","9"},$C$4:$AG$4,"3"))</f>
        <v>5</v>
      </c>
      <c r="AN40" s="283" cm="1">
        <f t="array" ref="AN40">SUM(COUNTIFS($C40:$AG40,{"1","2","3"}))</f>
        <v>5</v>
      </c>
      <c r="AO40" s="283" cm="1">
        <f t="array" ref="AO40">SUM(COUNTIFS($C40:$AG40,{"4","5","6"}))</f>
        <v>0</v>
      </c>
      <c r="AP40" s="283">
        <f>AJ40*'Spreadsheet Key'!$A$23 + AK40*'Spreadsheet Key'!$A$24 + AL40*'Spreadsheet Key'!$A$25 + AM40*'Spreadsheet Key'!$A$26</f>
        <v>1088</v>
      </c>
      <c r="AQ40" s="283" t="e">
        <f>AI40/(#REF!)</f>
        <v>#REF!</v>
      </c>
      <c r="AR40" s="283" t="e">
        <f>AQ40*#REF!</f>
        <v>#REF!</v>
      </c>
      <c r="AT40" s="283">
        <f t="shared" si="0"/>
        <v>1</v>
      </c>
      <c r="AU40" s="283">
        <f t="shared" si="1"/>
        <v>0</v>
      </c>
      <c r="AV40" s="283">
        <f t="shared" si="2"/>
        <v>0</v>
      </c>
      <c r="AW40" s="283" cm="1">
        <f t="array" ref="AW40">COUNTIFS($C40:$AG40,"9",$C$4:$AG$4,"1")+SUM(COUNTIFS($C40:$AG40,{"8","9"},$C$4:$AG$4,"2"))+COUNTIFS($C40:$AG40,"8",$C$4:$AG$4,"3")</f>
        <v>2</v>
      </c>
      <c r="AX40" s="283">
        <f t="shared" si="3"/>
        <v>0</v>
      </c>
      <c r="AY40" s="283">
        <f t="shared" si="4"/>
        <v>3</v>
      </c>
      <c r="AZ40" s="283">
        <f>AT40*'Spreadsheet Key'!$A$27+AU40*'Spreadsheet Key'!$A$28+AV40*'Spreadsheet Key'!$A$29+AW40*'Spreadsheet Key'!$A$30+AX40*'Spreadsheet Key'!$A$31</f>
        <v>82</v>
      </c>
      <c r="BB40" s="283" t="e">
        <f t="shared" si="5"/>
        <v>#REF!</v>
      </c>
    </row>
    <row r="41" spans="1:54">
      <c r="A41" s="56"/>
      <c r="B41" s="56"/>
      <c r="C41" s="779"/>
      <c r="D41" s="779"/>
      <c r="E41" s="779"/>
      <c r="F41" s="779"/>
      <c r="G41" s="2434"/>
      <c r="H41" s="779"/>
      <c r="I41" s="2434" t="s">
        <v>722</v>
      </c>
      <c r="J41" s="779"/>
      <c r="K41" s="779"/>
      <c r="L41" s="779"/>
      <c r="M41" s="779"/>
      <c r="N41" s="779"/>
      <c r="O41" s="3685" t="s">
        <v>720</v>
      </c>
      <c r="P41" s="779"/>
      <c r="Q41" s="779"/>
      <c r="R41" s="779"/>
      <c r="S41" s="3010" t="s">
        <v>1025</v>
      </c>
      <c r="T41" s="6099" t="s">
        <v>1233</v>
      </c>
      <c r="U41" s="6099"/>
      <c r="V41" s="6099"/>
      <c r="W41" s="3010" t="s">
        <v>1025</v>
      </c>
      <c r="X41" s="779"/>
      <c r="Y41" s="779"/>
      <c r="Z41" s="779"/>
      <c r="AA41" s="779"/>
      <c r="AB41" s="779"/>
      <c r="AC41" s="779"/>
      <c r="AD41" s="3010" t="s">
        <v>1025</v>
      </c>
      <c r="AE41" s="6244" t="s">
        <v>1231</v>
      </c>
      <c r="AF41" s="6244"/>
      <c r="AG41" s="3010" t="s">
        <v>1025</v>
      </c>
      <c r="AH41" s="3126"/>
      <c r="AI41" s="283" cm="1">
        <f t="array" ref="AI41">SUM(COUNTIFS($C41:$AG41,{"0","4","5","6","7","8","9"}))</f>
        <v>0</v>
      </c>
      <c r="AJ41" s="283" cm="1">
        <f t="array" ref="AJ41">SUM(COUNTIFS($C41:$AG41,{"0","4","5","6","7","8","9"},$C$4:$AG$4,"0"))</f>
        <v>0</v>
      </c>
      <c r="AK41" s="283" cm="1">
        <f t="array" ref="AK41">SUM(COUNTIFS($C41:$AG41,{"0","4","5","6","7","8","9"},$C$4:$AG$4,"1"))</f>
        <v>0</v>
      </c>
      <c r="AL41" s="283" cm="1">
        <f t="array" ref="AL41">SUM(COUNTIFS($C41:$AG41,{"0","4","5","6","7","8","9"},$C$4:$AG$4,"2"))</f>
        <v>0</v>
      </c>
      <c r="AM41" s="283" cm="1">
        <f t="array" ref="AM41">SUM(COUNTIFS($C41:$AG41,{"0","4","5","6","7","8","9"},$C$4:$AG$4,"3"))</f>
        <v>0</v>
      </c>
      <c r="AN41" s="283" cm="1">
        <f t="array" ref="AN41">SUM(COUNTIFS($C41:$AG41,{"1","2","3"}))</f>
        <v>0</v>
      </c>
      <c r="AO41" s="283" cm="1">
        <f t="array" ref="AO41">SUM(COUNTIFS($C41:$AG41,{"4","5","6"}))</f>
        <v>0</v>
      </c>
      <c r="AP41" s="283">
        <f>AJ41*'Spreadsheet Key'!$A$23 + AK41*'Spreadsheet Key'!$A$24 + AL41*'Spreadsheet Key'!$A$25 + AM41*'Spreadsheet Key'!$A$26</f>
        <v>0</v>
      </c>
      <c r="AQ41" s="283" t="e">
        <f>AI41/(#REF!)</f>
        <v>#REF!</v>
      </c>
      <c r="AR41" s="283" t="e">
        <f>AQ41*#REF!</f>
        <v>#REF!</v>
      </c>
      <c r="AT41" s="283">
        <f t="shared" si="0"/>
        <v>0</v>
      </c>
      <c r="AU41" s="283">
        <f t="shared" si="1"/>
        <v>0</v>
      </c>
      <c r="AV41" s="283">
        <f t="shared" si="2"/>
        <v>0</v>
      </c>
      <c r="AW41" s="283" cm="1">
        <f t="array" ref="AW41">COUNTIFS($C41:$AG41,"9",$C$4:$AG$4,"1")+SUM(COUNTIFS($C41:$AG41,{"8","9"},$C$4:$AG$4,"2"))+COUNTIFS($C41:$AG41,"8",$C$4:$AG$4,"3")</f>
        <v>0</v>
      </c>
      <c r="AX41" s="283">
        <f t="shared" si="3"/>
        <v>0</v>
      </c>
      <c r="AY41" s="283">
        <f t="shared" si="4"/>
        <v>0</v>
      </c>
      <c r="AZ41" s="283">
        <f>AT41*'Spreadsheet Key'!$A$27+AU41*'Spreadsheet Key'!$A$28+AV41*'Spreadsheet Key'!$A$29+AW41*'Spreadsheet Key'!$A$30+AX41*'Spreadsheet Key'!$A$31</f>
        <v>0</v>
      </c>
    </row>
    <row r="42" spans="1:54">
      <c r="A42" s="56" t="s">
        <v>145</v>
      </c>
      <c r="B42" s="56" t="s">
        <v>148</v>
      </c>
      <c r="C42" s="2659">
        <v>0</v>
      </c>
      <c r="D42" s="2659">
        <v>0</v>
      </c>
      <c r="E42" s="2659">
        <v>0</v>
      </c>
      <c r="F42" s="2659">
        <v>0</v>
      </c>
      <c r="G42" s="2659">
        <v>0</v>
      </c>
      <c r="H42" s="2659">
        <v>0</v>
      </c>
      <c r="I42" s="2659">
        <v>9</v>
      </c>
      <c r="J42" s="2659">
        <v>0</v>
      </c>
      <c r="K42" s="2659">
        <v>0</v>
      </c>
      <c r="L42" s="2659">
        <v>0</v>
      </c>
      <c r="M42" s="2659">
        <v>0</v>
      </c>
      <c r="N42" s="2659">
        <v>0</v>
      </c>
      <c r="O42" s="2659">
        <v>8</v>
      </c>
      <c r="P42" s="2659">
        <v>0</v>
      </c>
      <c r="Q42" s="2659">
        <v>0</v>
      </c>
      <c r="R42" s="2659">
        <v>0</v>
      </c>
      <c r="S42" s="2659">
        <v>1</v>
      </c>
      <c r="T42" s="2659">
        <v>2</v>
      </c>
      <c r="U42" s="2659">
        <v>2</v>
      </c>
      <c r="V42" s="2659">
        <v>2</v>
      </c>
      <c r="W42" s="2659">
        <v>3</v>
      </c>
      <c r="X42" s="2659">
        <v>0</v>
      </c>
      <c r="Y42" s="2659">
        <v>0</v>
      </c>
      <c r="Z42" s="2659">
        <v>0</v>
      </c>
      <c r="AA42" s="2659">
        <v>0</v>
      </c>
      <c r="AB42" s="2659">
        <v>0</v>
      </c>
      <c r="AC42" s="2659">
        <v>0</v>
      </c>
      <c r="AD42" s="2659">
        <v>1</v>
      </c>
      <c r="AE42" s="2659">
        <v>2</v>
      </c>
      <c r="AF42" s="2659">
        <v>2</v>
      </c>
      <c r="AG42" s="2659">
        <v>3</v>
      </c>
      <c r="AH42" s="3126"/>
      <c r="AI42" s="283" cm="1">
        <f t="array" ref="AI42">SUM(COUNTIFS($C42:$AG42,{"0","4","5","6","7","8","9"}))</f>
        <v>22</v>
      </c>
      <c r="AJ42" s="283" cm="1">
        <f t="array" ref="AJ42">SUM(COUNTIFS($C42:$AG42,{"0","4","5","6","7","8","9"},$C$4:$AG$4,"0"))</f>
        <v>12</v>
      </c>
      <c r="AK42" s="283" cm="1">
        <f t="array" ref="AK42">SUM(COUNTIFS($C42:$AG42,{"0","4","5","6","7","8","9"},$C$4:$AG$4,"1"))</f>
        <v>2</v>
      </c>
      <c r="AL42" s="283" cm="1">
        <f t="array" ref="AL42">SUM(COUNTIFS($C42:$AG42,{"0","4","5","6","7","8","9"},$C$4:$AG$4,"2"))</f>
        <v>4</v>
      </c>
      <c r="AM42" s="283" cm="1">
        <f t="array" ref="AM42">SUM(COUNTIFS($C42:$AG42,{"0","4","5","6","7","8","9"},$C$4:$AG$4,"3"))</f>
        <v>4</v>
      </c>
      <c r="AN42" s="283" cm="1">
        <f t="array" ref="AN42">SUM(COUNTIFS($C42:$AG42,{"1","2","3"}))</f>
        <v>9</v>
      </c>
      <c r="AO42" s="283" cm="1">
        <f t="array" ref="AO42">SUM(COUNTIFS($C42:$AG42,{"4","5","6"}))</f>
        <v>0</v>
      </c>
      <c r="AP42" s="283">
        <f>AJ42*'Spreadsheet Key'!$A$23 + AK42*'Spreadsheet Key'!$A$24 + AL42*'Spreadsheet Key'!$A$25 + AM42*'Spreadsheet Key'!$A$26</f>
        <v>884</v>
      </c>
      <c r="AQ42" s="283" t="e">
        <f>AI42/(#REF!)</f>
        <v>#REF!</v>
      </c>
      <c r="AR42" s="283" t="e">
        <f>AQ42*#REF!</f>
        <v>#REF!</v>
      </c>
      <c r="AT42" s="283">
        <f t="shared" si="0"/>
        <v>1</v>
      </c>
      <c r="AU42" s="283">
        <f t="shared" si="1"/>
        <v>0</v>
      </c>
      <c r="AV42" s="283">
        <f t="shared" si="2"/>
        <v>0</v>
      </c>
      <c r="AW42" s="283" cm="1">
        <f t="array" ref="AW42">COUNTIFS($C42:$AG42,"9",$C$4:$AG$4,"1")+SUM(COUNTIFS($C42:$AG42,{"8","9"},$C$4:$AG$4,"2"))+COUNTIFS($C42:$AG42,"8",$C$4:$AG$4,"3")</f>
        <v>1</v>
      </c>
      <c r="AX42" s="283">
        <f t="shared" si="3"/>
        <v>0</v>
      </c>
      <c r="AY42" s="283">
        <f t="shared" si="4"/>
        <v>2</v>
      </c>
      <c r="AZ42" s="283">
        <f>AT42*'Spreadsheet Key'!$A$27+AU42*'Spreadsheet Key'!$A$28+AV42*'Spreadsheet Key'!$A$29+AW42*'Spreadsheet Key'!$A$30+AX42*'Spreadsheet Key'!$A$31</f>
        <v>46</v>
      </c>
      <c r="BB42" s="283" t="e">
        <f t="shared" si="5"/>
        <v>#REF!</v>
      </c>
    </row>
    <row r="43" spans="1:54">
      <c r="A43" s="56"/>
      <c r="B43" s="56"/>
      <c r="C43" s="779"/>
      <c r="D43" s="779"/>
      <c r="E43" s="779"/>
      <c r="F43" s="779"/>
      <c r="G43" s="2434" t="s">
        <v>720</v>
      </c>
      <c r="H43" s="779"/>
      <c r="I43" s="779"/>
      <c r="J43" s="779"/>
      <c r="K43" s="779"/>
      <c r="L43" s="779"/>
      <c r="M43" s="779"/>
      <c r="N43" s="779"/>
      <c r="O43" s="779"/>
      <c r="P43" s="779"/>
      <c r="Q43" s="2434" t="s">
        <v>722</v>
      </c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779"/>
      <c r="AG43" s="2434" t="s">
        <v>720</v>
      </c>
      <c r="AH43" s="3126"/>
      <c r="AI43" s="283" cm="1">
        <f t="array" ref="AI43">SUM(COUNTIFS($C43:$AG43,{"0","4","5","6","7","8","9"}))</f>
        <v>0</v>
      </c>
      <c r="AJ43" s="283" cm="1">
        <f t="array" ref="AJ43">SUM(COUNTIFS($C43:$AG43,{"0","4","5","6","7","8","9"},$C$4:$AG$4,"0"))</f>
        <v>0</v>
      </c>
      <c r="AK43" s="283" cm="1">
        <f t="array" ref="AK43">SUM(COUNTIFS($C43:$AG43,{"0","4","5","6","7","8","9"},$C$4:$AG$4,"1"))</f>
        <v>0</v>
      </c>
      <c r="AL43" s="283" cm="1">
        <f t="array" ref="AL43">SUM(COUNTIFS($C43:$AG43,{"0","4","5","6","7","8","9"},$C$4:$AG$4,"2"))</f>
        <v>0</v>
      </c>
      <c r="AM43" s="283" cm="1">
        <f t="array" ref="AM43">SUM(COUNTIFS($C43:$AG43,{"0","4","5","6","7","8","9"},$C$4:$AG$4,"3"))</f>
        <v>0</v>
      </c>
      <c r="AN43" s="283" cm="1">
        <f t="array" ref="AN43">SUM(COUNTIFS($C43:$AG43,{"1","2","3"}))</f>
        <v>0</v>
      </c>
      <c r="AO43" s="283" cm="1">
        <f t="array" ref="AO43">SUM(COUNTIFS($C43:$AG43,{"4","5","6"}))</f>
        <v>0</v>
      </c>
      <c r="AP43" s="283">
        <f>AJ43*'Spreadsheet Key'!$A$23 + AK43*'Spreadsheet Key'!$A$24 + AL43*'Spreadsheet Key'!$A$25 + AM43*'Spreadsheet Key'!$A$26</f>
        <v>0</v>
      </c>
      <c r="AQ43" s="283" t="e">
        <f>AI43/(#REF!)</f>
        <v>#REF!</v>
      </c>
      <c r="AR43" s="283" t="e">
        <f>AQ43*#REF!</f>
        <v>#REF!</v>
      </c>
      <c r="AT43" s="283">
        <f t="shared" si="0"/>
        <v>0</v>
      </c>
      <c r="AU43" s="283">
        <f t="shared" si="1"/>
        <v>0</v>
      </c>
      <c r="AV43" s="283">
        <f t="shared" si="2"/>
        <v>0</v>
      </c>
      <c r="AW43" s="283" cm="1">
        <f t="array" ref="AW43">COUNTIFS($C43:$AG43,"9",$C$4:$AG$4,"1")+SUM(COUNTIFS($C43:$AG43,{"8","9"},$C$4:$AG$4,"2"))+COUNTIFS($C43:$AG43,"8",$C$4:$AG$4,"3")</f>
        <v>0</v>
      </c>
      <c r="AX43" s="283">
        <f t="shared" si="3"/>
        <v>0</v>
      </c>
      <c r="AY43" s="283">
        <f t="shared" si="4"/>
        <v>0</v>
      </c>
      <c r="AZ43" s="283">
        <f>AT43*'Spreadsheet Key'!$A$27+AU43*'Spreadsheet Key'!$A$28+AV43*'Spreadsheet Key'!$A$29+AW43*'Spreadsheet Key'!$A$30+AX43*'Spreadsheet Key'!$A$31</f>
        <v>0</v>
      </c>
    </row>
    <row r="44" spans="1:54">
      <c r="A44" s="56" t="s">
        <v>1038</v>
      </c>
      <c r="B44" s="56" t="s">
        <v>618</v>
      </c>
      <c r="C44" s="2659">
        <v>0</v>
      </c>
      <c r="D44" s="2659">
        <v>0</v>
      </c>
      <c r="E44" s="2659">
        <v>0</v>
      </c>
      <c r="F44" s="2659">
        <v>0</v>
      </c>
      <c r="G44" s="2659">
        <v>8</v>
      </c>
      <c r="H44" s="2659">
        <v>0</v>
      </c>
      <c r="I44" s="2659">
        <v>0</v>
      </c>
      <c r="J44" s="2659">
        <v>0</v>
      </c>
      <c r="K44" s="2659">
        <v>0</v>
      </c>
      <c r="L44" s="2659">
        <v>0</v>
      </c>
      <c r="M44" s="2659">
        <v>0</v>
      </c>
      <c r="N44" s="2659">
        <v>0</v>
      </c>
      <c r="O44" s="2659">
        <v>0</v>
      </c>
      <c r="P44" s="2659">
        <v>0</v>
      </c>
      <c r="Q44" s="2659">
        <v>9</v>
      </c>
      <c r="R44" s="2659">
        <v>0</v>
      </c>
      <c r="S44" s="2659">
        <v>0</v>
      </c>
      <c r="T44" s="2659">
        <v>0</v>
      </c>
      <c r="U44" s="2659">
        <v>0</v>
      </c>
      <c r="V44" s="2659">
        <v>0</v>
      </c>
      <c r="W44" s="2659">
        <v>0</v>
      </c>
      <c r="X44" s="2659">
        <v>0</v>
      </c>
      <c r="Y44" s="2659">
        <v>0</v>
      </c>
      <c r="Z44" s="2659">
        <v>0</v>
      </c>
      <c r="AA44" s="2659">
        <v>0</v>
      </c>
      <c r="AB44" s="2659">
        <v>0</v>
      </c>
      <c r="AC44" s="2659">
        <v>0</v>
      </c>
      <c r="AD44" s="2659">
        <v>0</v>
      </c>
      <c r="AE44" s="2659">
        <v>0</v>
      </c>
      <c r="AF44" s="2659">
        <v>0</v>
      </c>
      <c r="AG44" s="2659">
        <v>8</v>
      </c>
      <c r="AH44" s="3126"/>
      <c r="AI44" s="283" cm="1">
        <f t="array" ref="AI44">SUM(COUNTIFS($C44:$AG44,{"0","4","5","6","7","8","9"}))</f>
        <v>31</v>
      </c>
      <c r="AJ44" s="283" cm="1">
        <f t="array" ref="AJ44">SUM(COUNTIFS($C44:$AG44,{"0","4","5","6","7","8","9"},$C$4:$AG$4,"0"))</f>
        <v>17</v>
      </c>
      <c r="AK44" s="283" cm="1">
        <f t="array" ref="AK44">SUM(COUNTIFS($C44:$AG44,{"0","4","5","6","7","8","9"},$C$4:$AG$4,"1"))</f>
        <v>4</v>
      </c>
      <c r="AL44" s="283" cm="1">
        <f t="array" ref="AL44">SUM(COUNTIFS($C44:$AG44,{"0","4","5","6","7","8","9"},$C$4:$AG$4,"2"))</f>
        <v>5</v>
      </c>
      <c r="AM44" s="283" cm="1">
        <f t="array" ref="AM44">SUM(COUNTIFS($C44:$AG44,{"0","4","5","6","7","8","9"},$C$4:$AG$4,"3"))</f>
        <v>5</v>
      </c>
      <c r="AN44" s="283" cm="1">
        <f t="array" ref="AN44">SUM(COUNTIFS($C44:$AG44,{"1","2","3"}))</f>
        <v>0</v>
      </c>
      <c r="AO44" s="283" cm="1">
        <f t="array" ref="AO44">SUM(COUNTIFS($C44:$AG44,{"4","5","6"}))</f>
        <v>0</v>
      </c>
      <c r="AP44" s="283">
        <f>AJ44*'Spreadsheet Key'!$A$23 + AK44*'Spreadsheet Key'!$A$24 + AL44*'Spreadsheet Key'!$A$25 + AM44*'Spreadsheet Key'!$A$26</f>
        <v>1230</v>
      </c>
      <c r="AQ44" s="283" t="e">
        <f>AI44/(#REF!)</f>
        <v>#REF!</v>
      </c>
      <c r="AR44" s="283" t="e">
        <f>AQ44*#REF!</f>
        <v>#REF!</v>
      </c>
      <c r="AT44" s="283">
        <f t="shared" si="0"/>
        <v>2</v>
      </c>
      <c r="AU44" s="283">
        <f t="shared" si="1"/>
        <v>0</v>
      </c>
      <c r="AV44" s="283">
        <f t="shared" si="2"/>
        <v>0</v>
      </c>
      <c r="AW44" s="283" cm="1">
        <f t="array" ref="AW44">COUNTIFS($C44:$AG44,"9",$C$4:$AG$4,"1")+SUM(COUNTIFS($C44:$AG44,{"8","9"},$C$4:$AG$4,"2"))+COUNTIFS($C44:$AG44,"8",$C$4:$AG$4,"3")</f>
        <v>1</v>
      </c>
      <c r="AX44" s="283">
        <f t="shared" si="3"/>
        <v>0</v>
      </c>
      <c r="AY44" s="283">
        <f t="shared" si="4"/>
        <v>3</v>
      </c>
      <c r="AZ44" s="283">
        <f>AT44*'Spreadsheet Key'!$A$27+AU44*'Spreadsheet Key'!$A$28+AV44*'Spreadsheet Key'!$A$29+AW44*'Spreadsheet Key'!$A$30+AX44*'Spreadsheet Key'!$A$31</f>
        <v>56</v>
      </c>
      <c r="BB44" s="283" t="e">
        <f t="shared" si="5"/>
        <v>#REF!</v>
      </c>
    </row>
    <row r="45" spans="1:54">
      <c r="A45" s="56"/>
      <c r="B45" s="56"/>
      <c r="C45" s="779"/>
      <c r="D45" s="779"/>
      <c r="E45" s="779"/>
      <c r="F45" s="2434" t="s">
        <v>722</v>
      </c>
      <c r="G45" s="779"/>
      <c r="H45" s="779"/>
      <c r="I45" s="779"/>
      <c r="J45" s="779"/>
      <c r="K45" s="779"/>
      <c r="L45" s="779"/>
      <c r="M45" s="2434" t="s">
        <v>722</v>
      </c>
      <c r="N45" s="779"/>
      <c r="O45" s="779"/>
      <c r="P45" s="779"/>
      <c r="Q45" s="779"/>
      <c r="R45" s="2858" t="s">
        <v>722</v>
      </c>
      <c r="S45" s="779"/>
      <c r="T45" s="779"/>
      <c r="U45" s="779"/>
      <c r="V45" s="779"/>
      <c r="W45" s="779"/>
      <c r="X45" s="779"/>
      <c r="Y45" s="779"/>
      <c r="Z45" s="2659"/>
      <c r="AA45" s="2659"/>
      <c r="AB45" s="2659"/>
      <c r="AC45" s="2659"/>
      <c r="AD45" s="2659"/>
      <c r="AE45" s="779"/>
      <c r="AF45" s="2434"/>
      <c r="AG45" s="779"/>
      <c r="AH45" s="3126"/>
      <c r="AI45" s="283" cm="1">
        <f t="array" ref="AI45">SUM(COUNTIFS($C45:$AG45,{"0","4","5","6","7","8","9"}))</f>
        <v>0</v>
      </c>
      <c r="AJ45" s="283" cm="1">
        <f t="array" ref="AJ45">SUM(COUNTIFS($C45:$AG45,{"0","4","5","6","7","8","9"},$C$4:$AG$4,"0"))</f>
        <v>0</v>
      </c>
      <c r="AK45" s="283" cm="1">
        <f t="array" ref="AK45">SUM(COUNTIFS($C45:$AG45,{"0","4","5","6","7","8","9"},$C$4:$AG$4,"1"))</f>
        <v>0</v>
      </c>
      <c r="AL45" s="283" cm="1">
        <f t="array" ref="AL45">SUM(COUNTIFS($C45:$AG45,{"0","4","5","6","7","8","9"},$C$4:$AG$4,"2"))</f>
        <v>0</v>
      </c>
      <c r="AM45" s="283" cm="1">
        <f t="array" ref="AM45">SUM(COUNTIFS($C45:$AG45,{"0","4","5","6","7","8","9"},$C$4:$AG$4,"3"))</f>
        <v>0</v>
      </c>
      <c r="AN45" s="283" cm="1">
        <f t="array" ref="AN45">SUM(COUNTIFS($C45:$AG45,{"1","2","3"}))</f>
        <v>0</v>
      </c>
      <c r="AO45" s="283" cm="1">
        <f t="array" ref="AO45">SUM(COUNTIFS($C45:$AG45,{"4","5","6"}))</f>
        <v>0</v>
      </c>
      <c r="AP45" s="283">
        <f>AJ45*'Spreadsheet Key'!$A$23 + AK45*'Spreadsheet Key'!$A$24 + AL45*'Spreadsheet Key'!$A$25 + AM45*'Spreadsheet Key'!$A$26</f>
        <v>0</v>
      </c>
      <c r="AQ45" s="283" t="e">
        <f>AI45/(#REF!)</f>
        <v>#REF!</v>
      </c>
      <c r="AR45" s="283" t="e">
        <f>AQ45*#REF!</f>
        <v>#REF!</v>
      </c>
      <c r="AT45" s="283">
        <f t="shared" si="0"/>
        <v>0</v>
      </c>
      <c r="AU45" s="283">
        <f t="shared" si="1"/>
        <v>0</v>
      </c>
      <c r="AV45" s="283">
        <f t="shared" si="2"/>
        <v>0</v>
      </c>
      <c r="AW45" s="283" cm="1">
        <f t="array" ref="AW45">COUNTIFS($C45:$AG45,"9",$C$4:$AG$4,"1")+SUM(COUNTIFS($C45:$AG45,{"8","9"},$C$4:$AG$4,"2"))+COUNTIFS($C45:$AG45,"8",$C$4:$AG$4,"3")</f>
        <v>0</v>
      </c>
      <c r="AX45" s="283">
        <f t="shared" si="3"/>
        <v>0</v>
      </c>
      <c r="AY45" s="283">
        <f t="shared" si="4"/>
        <v>0</v>
      </c>
      <c r="AZ45" s="283">
        <f>AT45*'Spreadsheet Key'!$A$27+AU45*'Spreadsheet Key'!$A$28+AV45*'Spreadsheet Key'!$A$29+AW45*'Spreadsheet Key'!$A$30+AX45*'Spreadsheet Key'!$A$31</f>
        <v>0</v>
      </c>
    </row>
    <row r="46" spans="1:54">
      <c r="A46" s="56" t="s">
        <v>149</v>
      </c>
      <c r="B46" s="56" t="s">
        <v>151</v>
      </c>
      <c r="C46" s="2659">
        <v>0</v>
      </c>
      <c r="D46" s="2659">
        <v>0</v>
      </c>
      <c r="E46" s="2659">
        <v>0</v>
      </c>
      <c r="F46" s="2659">
        <v>9</v>
      </c>
      <c r="G46" s="2659">
        <v>0</v>
      </c>
      <c r="H46" s="2659">
        <v>0</v>
      </c>
      <c r="I46" s="2659">
        <v>0</v>
      </c>
      <c r="J46" s="2659">
        <v>0</v>
      </c>
      <c r="K46" s="2659">
        <v>0</v>
      </c>
      <c r="L46" s="2659">
        <v>0</v>
      </c>
      <c r="M46" s="2659">
        <v>9</v>
      </c>
      <c r="N46" s="2659">
        <v>0</v>
      </c>
      <c r="O46" s="2659">
        <v>0</v>
      </c>
      <c r="P46" s="2659">
        <v>0</v>
      </c>
      <c r="Q46" s="2659">
        <v>0</v>
      </c>
      <c r="R46" s="2659">
        <v>9</v>
      </c>
      <c r="S46" s="2659">
        <v>0</v>
      </c>
      <c r="T46" s="2659">
        <v>0</v>
      </c>
      <c r="U46" s="2659">
        <v>0</v>
      </c>
      <c r="V46" s="2659">
        <v>0</v>
      </c>
      <c r="W46" s="2659">
        <v>0</v>
      </c>
      <c r="X46" s="2659">
        <v>0</v>
      </c>
      <c r="Y46" s="2659">
        <v>0</v>
      </c>
      <c r="Z46" s="2659">
        <v>0</v>
      </c>
      <c r="AA46" s="2659">
        <v>0</v>
      </c>
      <c r="AB46" s="2659">
        <v>0</v>
      </c>
      <c r="AC46" s="2659">
        <v>0</v>
      </c>
      <c r="AD46" s="2659">
        <v>0</v>
      </c>
      <c r="AE46" s="2659">
        <v>0</v>
      </c>
      <c r="AF46" s="2659"/>
      <c r="AG46" s="2659">
        <v>0</v>
      </c>
      <c r="AH46" s="3126"/>
      <c r="AI46" s="283" cm="1">
        <f t="array" ref="AI46">SUM(COUNTIFS($C46:$AG46,{"0","4","5","6","7","8","9"}))</f>
        <v>30</v>
      </c>
      <c r="AJ46" s="283" cm="1">
        <f t="array" ref="AJ46">SUM(COUNTIFS($C46:$AG46,{"0","4","5","6","7","8","9"},$C$4:$AG$4,"0"))</f>
        <v>17</v>
      </c>
      <c r="AK46" s="283" cm="1">
        <f t="array" ref="AK46">SUM(COUNTIFS($C46:$AG46,{"0","4","5","6","7","8","9"},$C$4:$AG$4,"1"))</f>
        <v>4</v>
      </c>
      <c r="AL46" s="283" cm="1">
        <f t="array" ref="AL46">SUM(COUNTIFS($C46:$AG46,{"0","4","5","6","7","8","9"},$C$4:$AG$4,"2"))</f>
        <v>5</v>
      </c>
      <c r="AM46" s="283" cm="1">
        <f t="array" ref="AM46">SUM(COUNTIFS($C46:$AG46,{"0","4","5","6","7","8","9"},$C$4:$AG$4,"3"))</f>
        <v>4</v>
      </c>
      <c r="AN46" s="283" cm="1">
        <f t="array" ref="AN46">SUM(COUNTIFS($C46:$AG46,{"1","2","3"}))</f>
        <v>0</v>
      </c>
      <c r="AO46" s="283" cm="1">
        <f t="array" ref="AO46">SUM(COUNTIFS($C46:$AG46,{"4","5","6"}))</f>
        <v>0</v>
      </c>
      <c r="AP46" s="283">
        <f>AJ46*'Spreadsheet Key'!$A$23 + AK46*'Spreadsheet Key'!$A$24 + AL46*'Spreadsheet Key'!$A$25 + AM46*'Spreadsheet Key'!$A$26</f>
        <v>1174</v>
      </c>
      <c r="AQ46" s="283" t="e">
        <f>AI46/(#REF!)</f>
        <v>#REF!</v>
      </c>
      <c r="AR46" s="283" t="e">
        <f>AQ46*#REF!</f>
        <v>#REF!</v>
      </c>
      <c r="AT46" s="283">
        <f t="shared" si="0"/>
        <v>0</v>
      </c>
      <c r="AU46" s="283">
        <f t="shared" si="1"/>
        <v>2</v>
      </c>
      <c r="AV46" s="283">
        <f t="shared" si="2"/>
        <v>0</v>
      </c>
      <c r="AW46" s="283" cm="1">
        <f t="array" ref="AW46">COUNTIFS($C46:$AG46,"9",$C$4:$AG$4,"1")+SUM(COUNTIFS($C46:$AG46,{"8","9"},$C$4:$AG$4,"2"))+COUNTIFS($C46:$AG46,"8",$C$4:$AG$4,"3")</f>
        <v>0</v>
      </c>
      <c r="AX46" s="283">
        <f t="shared" si="3"/>
        <v>1</v>
      </c>
      <c r="AY46" s="283">
        <f t="shared" si="4"/>
        <v>3</v>
      </c>
      <c r="AZ46" s="283">
        <f>AT46*'Spreadsheet Key'!$A$27+AU46*'Spreadsheet Key'!$A$28+AV46*'Spreadsheet Key'!$A$29+AW46*'Spreadsheet Key'!$A$30+AX46*'Spreadsheet Key'!$A$31</f>
        <v>44</v>
      </c>
      <c r="BB46" s="283" t="e">
        <f t="shared" si="5"/>
        <v>#REF!</v>
      </c>
    </row>
    <row r="47" spans="1:54">
      <c r="A47" s="2795"/>
      <c r="B47" s="2"/>
      <c r="C47" s="779"/>
      <c r="D47" s="779"/>
      <c r="E47" s="779"/>
      <c r="F47" s="779"/>
      <c r="G47" s="779"/>
      <c r="H47" s="779"/>
      <c r="I47" s="779"/>
      <c r="J47" s="779"/>
      <c r="K47" s="3685" t="s">
        <v>720</v>
      </c>
      <c r="L47" s="779"/>
      <c r="M47" s="779"/>
      <c r="N47" s="779"/>
      <c r="O47" s="779"/>
      <c r="P47" s="779"/>
      <c r="Q47" s="779"/>
      <c r="R47" s="3010" t="s">
        <v>1025</v>
      </c>
      <c r="S47" s="6190" t="s">
        <v>1253</v>
      </c>
      <c r="T47" s="6190"/>
      <c r="U47" s="6190"/>
      <c r="V47" s="6190"/>
      <c r="W47" s="6190"/>
      <c r="X47" s="3010" t="s">
        <v>1025</v>
      </c>
      <c r="Y47" s="2434" t="s">
        <v>722</v>
      </c>
      <c r="Z47" s="2434"/>
      <c r="AA47" s="779"/>
      <c r="AB47" s="779"/>
      <c r="AC47" s="779"/>
      <c r="AD47" s="779"/>
      <c r="AE47" s="779"/>
      <c r="AF47" s="2434" t="s">
        <v>722</v>
      </c>
      <c r="AG47" s="779"/>
      <c r="AH47" s="3126"/>
      <c r="AI47" s="283" cm="1">
        <f t="array" ref="AI47">SUM(COUNTIFS($C47:$AG47,{"0","4","5","6","7","8","9"}))</f>
        <v>0</v>
      </c>
      <c r="AJ47" s="283" cm="1">
        <f t="array" ref="AJ47">SUM(COUNTIFS($C47:$AG47,{"0","4","5","6","7","8","9"},$C$4:$AG$4,"0"))</f>
        <v>0</v>
      </c>
      <c r="AK47" s="283" cm="1">
        <f t="array" ref="AK47">SUM(COUNTIFS($C47:$AG47,{"0","4","5","6","7","8","9"},$C$4:$AG$4,"1"))</f>
        <v>0</v>
      </c>
      <c r="AL47" s="283" cm="1">
        <f t="array" ref="AL47">SUM(COUNTIFS($C47:$AG47,{"0","4","5","6","7","8","9"},$C$4:$AG$4,"2"))</f>
        <v>0</v>
      </c>
      <c r="AM47" s="283" cm="1">
        <f t="array" ref="AM47">SUM(COUNTIFS($C47:$AG47,{"0","4","5","6","7","8","9"},$C$4:$AG$4,"3"))</f>
        <v>0</v>
      </c>
      <c r="AN47" s="283" cm="1">
        <f t="array" ref="AN47">SUM(COUNTIFS($C47:$AG47,{"1","2","3"}))</f>
        <v>0</v>
      </c>
      <c r="AO47" s="283" cm="1">
        <f t="array" ref="AO47">SUM(COUNTIFS($C47:$AG47,{"4","5","6"}))</f>
        <v>0</v>
      </c>
      <c r="AP47" s="283">
        <f>AJ47*'Spreadsheet Key'!$A$23 + AK47*'Spreadsheet Key'!$A$24 + AL47*'Spreadsheet Key'!$A$25 + AM47*'Spreadsheet Key'!$A$26</f>
        <v>0</v>
      </c>
      <c r="AQ47" s="283" t="e">
        <f>AI47/(#REF!)</f>
        <v>#REF!</v>
      </c>
      <c r="AR47" s="283" t="e">
        <f>AQ47*#REF!</f>
        <v>#REF!</v>
      </c>
      <c r="AT47" s="283">
        <f t="shared" si="0"/>
        <v>0</v>
      </c>
      <c r="AU47" s="283">
        <f t="shared" si="1"/>
        <v>0</v>
      </c>
      <c r="AV47" s="283">
        <f t="shared" si="2"/>
        <v>0</v>
      </c>
      <c r="AW47" s="283" cm="1">
        <f t="array" ref="AW47">COUNTIFS($C47:$AG47,"9",$C$4:$AG$4,"1")+SUM(COUNTIFS($C47:$AG47,{"8","9"},$C$4:$AG$4,"2"))+COUNTIFS($C47:$AG47,"8",$C$4:$AG$4,"3")</f>
        <v>0</v>
      </c>
      <c r="AX47" s="283">
        <f t="shared" si="3"/>
        <v>0</v>
      </c>
      <c r="AY47" s="283">
        <f t="shared" si="4"/>
        <v>0</v>
      </c>
      <c r="AZ47" s="283">
        <f>AT47*'Spreadsheet Key'!$A$27+AU47*'Spreadsheet Key'!$A$28+AV47*'Spreadsheet Key'!$A$29+AW47*'Spreadsheet Key'!$A$30+AX47*'Spreadsheet Key'!$A$31</f>
        <v>0</v>
      </c>
    </row>
    <row r="48" spans="1:54">
      <c r="A48" s="2795" t="s">
        <v>602</v>
      </c>
      <c r="B48" s="2" t="s">
        <v>660</v>
      </c>
      <c r="C48" s="2659">
        <v>0</v>
      </c>
      <c r="D48" s="2659">
        <v>0</v>
      </c>
      <c r="E48" s="2659">
        <v>0</v>
      </c>
      <c r="F48" s="2659">
        <v>0</v>
      </c>
      <c r="G48" s="2659">
        <v>0</v>
      </c>
      <c r="H48" s="2659">
        <v>0</v>
      </c>
      <c r="I48" s="2659">
        <v>0</v>
      </c>
      <c r="J48" s="2659">
        <v>0</v>
      </c>
      <c r="K48" s="2659">
        <v>8</v>
      </c>
      <c r="L48" s="2659">
        <v>0</v>
      </c>
      <c r="M48" s="2659">
        <v>0</v>
      </c>
      <c r="N48" s="2659">
        <v>0</v>
      </c>
      <c r="O48" s="2659">
        <v>0</v>
      </c>
      <c r="P48" s="2659">
        <v>0</v>
      </c>
      <c r="Q48" s="2659">
        <v>0</v>
      </c>
      <c r="R48" s="2659">
        <v>1</v>
      </c>
      <c r="S48" s="2659">
        <v>2</v>
      </c>
      <c r="T48" s="2659">
        <v>2</v>
      </c>
      <c r="U48" s="2659">
        <v>2</v>
      </c>
      <c r="V48" s="2659">
        <v>2</v>
      </c>
      <c r="W48" s="2659">
        <v>2</v>
      </c>
      <c r="X48" s="2659">
        <v>3</v>
      </c>
      <c r="Y48" s="2659">
        <v>9</v>
      </c>
      <c r="Z48" s="2659">
        <v>0</v>
      </c>
      <c r="AA48" s="2659">
        <v>0</v>
      </c>
      <c r="AB48" s="2659">
        <v>0</v>
      </c>
      <c r="AC48" s="2659">
        <v>0</v>
      </c>
      <c r="AD48" s="2659">
        <v>0</v>
      </c>
      <c r="AE48" s="2659">
        <v>0</v>
      </c>
      <c r="AF48" s="2659">
        <v>9</v>
      </c>
      <c r="AG48" s="2659">
        <v>0</v>
      </c>
      <c r="AH48" s="3126"/>
      <c r="AI48" s="283" cm="1">
        <f t="array" ref="AI48">SUM(COUNTIFS($C48:$AG48,{"0","4","5","6","7","8","9"}))</f>
        <v>24</v>
      </c>
      <c r="AJ48" s="283" cm="1">
        <f t="array" ref="AJ48">SUM(COUNTIFS($C48:$AG48,{"0","4","5","6","7","8","9"},$C$4:$AG$4,"0"))</f>
        <v>13</v>
      </c>
      <c r="AK48" s="283" cm="1">
        <f t="array" ref="AK48">SUM(COUNTIFS($C48:$AG48,{"0","4","5","6","7","8","9"},$C$4:$AG$4,"1"))</f>
        <v>3</v>
      </c>
      <c r="AL48" s="283" cm="1">
        <f t="array" ref="AL48">SUM(COUNTIFS($C48:$AG48,{"0","4","5","6","7","8","9"},$C$4:$AG$4,"2"))</f>
        <v>4</v>
      </c>
      <c r="AM48" s="283" cm="1">
        <f t="array" ref="AM48">SUM(COUNTIFS($C48:$AG48,{"0","4","5","6","7","8","9"},$C$4:$AG$4,"3"))</f>
        <v>4</v>
      </c>
      <c r="AN48" s="283" cm="1">
        <f t="array" ref="AN48">SUM(COUNTIFS($C48:$AG48,{"1","2","3"}))</f>
        <v>7</v>
      </c>
      <c r="AO48" s="283" cm="1">
        <f t="array" ref="AO48">SUM(COUNTIFS($C48:$AG48,{"4","5","6"}))</f>
        <v>0</v>
      </c>
      <c r="AP48" s="283">
        <f>AJ48*'Spreadsheet Key'!$A$23 + AK48*'Spreadsheet Key'!$A$24 + AL48*'Spreadsheet Key'!$A$25 + AM48*'Spreadsheet Key'!$A$26</f>
        <v>960</v>
      </c>
      <c r="AQ48" s="283" t="e">
        <f>AI48/(#REF!)</f>
        <v>#REF!</v>
      </c>
      <c r="AR48" s="283" t="e">
        <f>AQ48*#REF!</f>
        <v>#REF!</v>
      </c>
      <c r="AT48" s="283">
        <f t="shared" si="0"/>
        <v>0</v>
      </c>
      <c r="AU48" s="283">
        <f t="shared" si="1"/>
        <v>0</v>
      </c>
      <c r="AV48" s="283">
        <f t="shared" si="2"/>
        <v>0</v>
      </c>
      <c r="AW48" s="283" cm="1">
        <f t="array" ref="AW48">COUNTIFS($C48:$AG48,"9",$C$4:$AG$4,"1")+SUM(COUNTIFS($C48:$AG48,{"8","9"},$C$4:$AG$4,"2"))+COUNTIFS($C48:$AG48,"8",$C$4:$AG$4,"3")</f>
        <v>1</v>
      </c>
      <c r="AX48" s="283">
        <f t="shared" si="3"/>
        <v>2</v>
      </c>
      <c r="AY48" s="283">
        <f t="shared" si="4"/>
        <v>3</v>
      </c>
      <c r="AZ48" s="283">
        <f>AT48*'Spreadsheet Key'!$A$27+AU48*'Spreadsheet Key'!$A$28+AV48*'Spreadsheet Key'!$A$29+AW48*'Spreadsheet Key'!$A$30+AX48*'Spreadsheet Key'!$A$31</f>
        <v>76</v>
      </c>
      <c r="BB48" s="283" t="e">
        <f t="shared" si="5"/>
        <v>#REF!</v>
      </c>
    </row>
    <row r="49" spans="1:54" ht="15.75">
      <c r="A49" s="56"/>
      <c r="B49" s="56"/>
      <c r="C49" s="779"/>
      <c r="D49" s="779"/>
      <c r="E49" s="6190" t="s">
        <v>1234</v>
      </c>
      <c r="F49" s="6190"/>
      <c r="G49" s="6190"/>
      <c r="H49" s="6190"/>
      <c r="I49" s="6190"/>
      <c r="J49" s="779"/>
      <c r="K49" s="2434"/>
      <c r="L49" s="3010" t="s">
        <v>1025</v>
      </c>
      <c r="M49" s="4850" t="s">
        <v>1243</v>
      </c>
      <c r="N49" s="4850"/>
      <c r="O49" s="3010" t="s">
        <v>1025</v>
      </c>
      <c r="P49" s="779"/>
      <c r="Q49" s="779"/>
      <c r="R49" s="779"/>
      <c r="S49" s="3010" t="s">
        <v>1025</v>
      </c>
      <c r="T49" s="6099" t="s">
        <v>1233</v>
      </c>
      <c r="U49" s="6099"/>
      <c r="V49" s="6099"/>
      <c r="W49" s="3010" t="s">
        <v>1025</v>
      </c>
      <c r="X49" s="779"/>
      <c r="Y49" s="779"/>
      <c r="Z49" s="2659"/>
      <c r="AA49" s="3685" t="s">
        <v>722</v>
      </c>
      <c r="AB49" s="2659"/>
      <c r="AC49" s="2659"/>
      <c r="AD49" s="2659"/>
      <c r="AE49" s="2434" t="s">
        <v>720</v>
      </c>
      <c r="AF49" s="2434"/>
      <c r="AG49" s="3010" t="s">
        <v>1025</v>
      </c>
      <c r="AH49" s="3126"/>
      <c r="AI49" s="283" cm="1">
        <f t="array" ref="AI49">SUM(COUNTIFS($C49:$AG49,{"0","4","5","6","7","8","9"}))</f>
        <v>0</v>
      </c>
      <c r="AJ49" s="283" cm="1">
        <f t="array" ref="AJ49">SUM(COUNTIFS($C49:$AG49,{"0","4","5","6","7","8","9"},$C$4:$AG$4,"0"))</f>
        <v>0</v>
      </c>
      <c r="AK49" s="283" cm="1">
        <f t="array" ref="AK49">SUM(COUNTIFS($C49:$AG49,{"0","4","5","6","7","8","9"},$C$4:$AG$4,"1"))</f>
        <v>0</v>
      </c>
      <c r="AL49" s="283" cm="1">
        <f t="array" ref="AL49">SUM(COUNTIFS($C49:$AG49,{"0","4","5","6","7","8","9"},$C$4:$AG$4,"2"))</f>
        <v>0</v>
      </c>
      <c r="AM49" s="283" cm="1">
        <f t="array" ref="AM49">SUM(COUNTIFS($C49:$AG49,{"0","4","5","6","7","8","9"},$C$4:$AG$4,"3"))</f>
        <v>0</v>
      </c>
      <c r="AN49" s="283" cm="1">
        <f t="array" ref="AN49">SUM(COUNTIFS($C49:$AG49,{"1","2","3"}))</f>
        <v>0</v>
      </c>
      <c r="AO49" s="283" cm="1">
        <f t="array" ref="AO49">SUM(COUNTIFS($C49:$AG49,{"4","5","6"}))</f>
        <v>0</v>
      </c>
      <c r="AP49" s="283">
        <f>AJ49*'Spreadsheet Key'!$A$23 + AK49*'Spreadsheet Key'!$A$24 + AL49*'Spreadsheet Key'!$A$25 + AM49*'Spreadsheet Key'!$A$26</f>
        <v>0</v>
      </c>
      <c r="AQ49" s="283" t="e">
        <f>AI49/(#REF!)</f>
        <v>#REF!</v>
      </c>
      <c r="AR49" s="283" t="e">
        <f>AQ49*#REF!</f>
        <v>#REF!</v>
      </c>
      <c r="AT49" s="283">
        <f t="shared" si="0"/>
        <v>0</v>
      </c>
      <c r="AU49" s="283">
        <f t="shared" si="1"/>
        <v>0</v>
      </c>
      <c r="AV49" s="283">
        <f t="shared" si="2"/>
        <v>0</v>
      </c>
      <c r="AW49" s="283" cm="1">
        <f t="array" ref="AW49">COUNTIFS($C49:$AG49,"9",$C$4:$AG$4,"1")+SUM(COUNTIFS($C49:$AG49,{"8","9"},$C$4:$AG$4,"2"))+COUNTIFS($C49:$AG49,"8",$C$4:$AG$4,"3")</f>
        <v>0</v>
      </c>
      <c r="AX49" s="283">
        <f t="shared" si="3"/>
        <v>0</v>
      </c>
      <c r="AY49" s="283">
        <f t="shared" si="4"/>
        <v>0</v>
      </c>
      <c r="AZ49" s="283">
        <f>AT49*'Spreadsheet Key'!$A$27+AU49*'Spreadsheet Key'!$A$28+AV49*'Spreadsheet Key'!$A$29+AW49*'Spreadsheet Key'!$A$30+AX49*'Spreadsheet Key'!$A$31</f>
        <v>0</v>
      </c>
    </row>
    <row r="50" spans="1:54">
      <c r="A50" s="56" t="s">
        <v>81</v>
      </c>
      <c r="B50" s="56" t="s">
        <v>396</v>
      </c>
      <c r="C50" s="2659">
        <v>0</v>
      </c>
      <c r="D50" s="2659">
        <v>0</v>
      </c>
      <c r="E50" s="2659">
        <v>7</v>
      </c>
      <c r="F50" s="2659">
        <v>7</v>
      </c>
      <c r="G50" s="2659">
        <v>7</v>
      </c>
      <c r="H50" s="2659">
        <v>7</v>
      </c>
      <c r="I50" s="2659">
        <v>7</v>
      </c>
      <c r="J50" s="2659">
        <v>0</v>
      </c>
      <c r="K50" s="2659">
        <v>0</v>
      </c>
      <c r="L50" s="2659">
        <v>1</v>
      </c>
      <c r="M50" s="2659">
        <v>2</v>
      </c>
      <c r="N50" s="2659">
        <v>2</v>
      </c>
      <c r="O50" s="2659">
        <v>3</v>
      </c>
      <c r="P50" s="2659">
        <v>0</v>
      </c>
      <c r="Q50" s="2659">
        <v>0</v>
      </c>
      <c r="R50" s="2659">
        <v>0</v>
      </c>
      <c r="S50" s="2659">
        <v>1</v>
      </c>
      <c r="T50" s="2659">
        <v>2</v>
      </c>
      <c r="U50" s="2659">
        <v>2</v>
      </c>
      <c r="V50" s="2659">
        <v>2</v>
      </c>
      <c r="W50" s="2659">
        <v>3</v>
      </c>
      <c r="X50" s="2659">
        <v>0</v>
      </c>
      <c r="Y50" s="2659">
        <v>0</v>
      </c>
      <c r="Z50" s="2659">
        <v>0</v>
      </c>
      <c r="AA50" s="2659">
        <v>9</v>
      </c>
      <c r="AB50" s="2659">
        <v>0</v>
      </c>
      <c r="AC50" s="2659">
        <v>0</v>
      </c>
      <c r="AD50" s="2659">
        <v>0</v>
      </c>
      <c r="AE50" s="2659">
        <v>8</v>
      </c>
      <c r="AF50" s="2659">
        <v>0</v>
      </c>
      <c r="AG50" s="2659">
        <v>1</v>
      </c>
      <c r="AH50" s="3126"/>
      <c r="AI50" s="283" cm="1">
        <f t="array" ref="AI50">SUM(COUNTIFS($C50:$AG50,{"0","4","5","6","7","8","9"}))</f>
        <v>21</v>
      </c>
      <c r="AJ50" s="283" cm="1">
        <f t="array" ref="AJ50">SUM(COUNTIFS($C50:$AG50,{"0","4","5","6","7","8","9"},$C$4:$AG$4,"0"))</f>
        <v>8</v>
      </c>
      <c r="AK50" s="283" cm="1">
        <f t="array" ref="AK50">SUM(COUNTIFS($C50:$AG50,{"0","4","5","6","7","8","9"},$C$4:$AG$4,"1"))</f>
        <v>3</v>
      </c>
      <c r="AL50" s="283" cm="1">
        <f t="array" ref="AL50">SUM(COUNTIFS($C50:$AG50,{"0","4","5","6","7","8","9"},$C$4:$AG$4,"2"))</f>
        <v>5</v>
      </c>
      <c r="AM50" s="283" cm="1">
        <f t="array" ref="AM50">SUM(COUNTIFS($C50:$AG50,{"0","4","5","6","7","8","9"},$C$4:$AG$4,"3"))</f>
        <v>5</v>
      </c>
      <c r="AN50" s="283" cm="1">
        <f t="array" ref="AN50">SUM(COUNTIFS($C50:$AG50,{"1","2","3"}))</f>
        <v>10</v>
      </c>
      <c r="AO50" s="283" cm="1">
        <f t="array" ref="AO50">SUM(COUNTIFS($C50:$AG50,{"4","5","6"}))</f>
        <v>0</v>
      </c>
      <c r="AP50" s="283">
        <f>AJ50*'Spreadsheet Key'!$A$23 + AK50*'Spreadsheet Key'!$A$24 + AL50*'Spreadsheet Key'!$A$25 + AM50*'Spreadsheet Key'!$A$26</f>
        <v>978</v>
      </c>
      <c r="AQ50" s="283" t="e">
        <f>AI50/(#REF!)</f>
        <v>#REF!</v>
      </c>
      <c r="AR50" s="283" t="e">
        <f>AQ50*#REF!</f>
        <v>#REF!</v>
      </c>
      <c r="AT50" s="283">
        <f t="shared" si="0"/>
        <v>0</v>
      </c>
      <c r="AU50" s="283">
        <f t="shared" si="1"/>
        <v>1</v>
      </c>
      <c r="AV50" s="283">
        <f t="shared" si="2"/>
        <v>0</v>
      </c>
      <c r="AW50" s="283" cm="1">
        <f t="array" ref="AW50">COUNTIFS($C50:$AG50,"9",$C$4:$AG$4,"1")+SUM(COUNTIFS($C50:$AG50,{"8","9"},$C$4:$AG$4,"2"))+COUNTIFS($C50:$AG50,"8",$C$4:$AG$4,"3")</f>
        <v>1</v>
      </c>
      <c r="AX50" s="283">
        <f t="shared" si="3"/>
        <v>0</v>
      </c>
      <c r="AY50" s="283">
        <f t="shared" si="4"/>
        <v>2</v>
      </c>
      <c r="AZ50" s="283">
        <f>AT50*'Spreadsheet Key'!$A$27+AU50*'Spreadsheet Key'!$A$28+AV50*'Spreadsheet Key'!$A$29+AW50*'Spreadsheet Key'!$A$30+AX50*'Spreadsheet Key'!$A$31</f>
        <v>48</v>
      </c>
      <c r="BB50" s="283" t="e">
        <f t="shared" si="5"/>
        <v>#REF!</v>
      </c>
    </row>
    <row r="51" spans="1:54">
      <c r="A51" s="56"/>
      <c r="B51" s="56"/>
      <c r="C51" s="779"/>
      <c r="D51" s="779"/>
      <c r="E51" s="779"/>
      <c r="F51" s="779"/>
      <c r="G51" s="779"/>
      <c r="H51" s="2434" t="s">
        <v>720</v>
      </c>
      <c r="I51" s="779"/>
      <c r="J51" s="779"/>
      <c r="K51" s="779"/>
      <c r="L51" s="779"/>
      <c r="M51" s="779"/>
      <c r="N51" s="779"/>
      <c r="O51" s="779"/>
      <c r="P51" s="779"/>
      <c r="Q51" s="779"/>
      <c r="R51" s="2434" t="s">
        <v>720</v>
      </c>
      <c r="S51" s="779"/>
      <c r="T51" s="779"/>
      <c r="U51" s="779"/>
      <c r="V51" s="3685" t="s">
        <v>720</v>
      </c>
      <c r="W51" s="779"/>
      <c r="X51" s="3628" t="s">
        <v>251</v>
      </c>
      <c r="Y51" s="6214" t="s">
        <v>754</v>
      </c>
      <c r="Z51" s="6214"/>
      <c r="AA51" s="6214"/>
      <c r="AB51" s="6214"/>
      <c r="AC51" s="3628" t="s">
        <v>1025</v>
      </c>
      <c r="AD51" s="779"/>
      <c r="AE51" s="779"/>
      <c r="AF51" s="779"/>
      <c r="AG51" s="779"/>
      <c r="AH51" s="3126"/>
      <c r="AI51" s="283" cm="1">
        <f t="array" ref="AI51">SUM(COUNTIFS($C51:$AG51,{"0","4","5","6","7","8","9"}))</f>
        <v>0</v>
      </c>
      <c r="AJ51" s="283" cm="1">
        <f t="array" ref="AJ51">SUM(COUNTIFS($C51:$AG51,{"0","4","5","6","7","8","9"},$C$4:$AG$4,"0"))</f>
        <v>0</v>
      </c>
      <c r="AK51" s="283" cm="1">
        <f t="array" ref="AK51">SUM(COUNTIFS($C51:$AG51,{"0","4","5","6","7","8","9"},$C$4:$AG$4,"1"))</f>
        <v>0</v>
      </c>
      <c r="AL51" s="283" cm="1">
        <f t="array" ref="AL51">SUM(COUNTIFS($C51:$AG51,{"0","4","5","6","7","8","9"},$C$4:$AG$4,"2"))</f>
        <v>0</v>
      </c>
      <c r="AM51" s="283" cm="1">
        <f t="array" ref="AM51">SUM(COUNTIFS($C51:$AG51,{"0","4","5","6","7","8","9"},$C$4:$AG$4,"3"))</f>
        <v>0</v>
      </c>
      <c r="AN51" s="283" cm="1">
        <f t="array" ref="AN51">SUM(COUNTIFS($C51:$AG51,{"1","2","3"}))</f>
        <v>0</v>
      </c>
      <c r="AO51" s="283" cm="1">
        <f t="array" ref="AO51">SUM(COUNTIFS($C51:$AG51,{"4","5","6"}))</f>
        <v>0</v>
      </c>
      <c r="AP51" s="283">
        <f>AJ51*'Spreadsheet Key'!$A$23 + AK51*'Spreadsheet Key'!$A$24 + AL51*'Spreadsheet Key'!$A$25 + AM51*'Spreadsheet Key'!$A$26</f>
        <v>0</v>
      </c>
      <c r="AQ51" s="283" t="e">
        <f>AI51/(#REF!)</f>
        <v>#REF!</v>
      </c>
      <c r="AR51" s="283" t="e">
        <f>AQ51*#REF!</f>
        <v>#REF!</v>
      </c>
      <c r="AT51" s="283">
        <f t="shared" si="0"/>
        <v>0</v>
      </c>
      <c r="AU51" s="283">
        <f t="shared" si="1"/>
        <v>0</v>
      </c>
      <c r="AV51" s="283">
        <f t="shared" si="2"/>
        <v>0</v>
      </c>
      <c r="AW51" s="283" cm="1">
        <f t="array" ref="AW51">COUNTIFS($C51:$AG51,"9",$C$4:$AG$4,"1")+SUM(COUNTIFS($C51:$AG51,{"8","9"},$C$4:$AG$4,"2"))+COUNTIFS($C51:$AG51,"8",$C$4:$AG$4,"3")</f>
        <v>0</v>
      </c>
      <c r="AX51" s="283">
        <f t="shared" si="3"/>
        <v>0</v>
      </c>
      <c r="AY51" s="283">
        <f t="shared" si="4"/>
        <v>0</v>
      </c>
      <c r="AZ51" s="283">
        <f>AT51*'Spreadsheet Key'!$A$27+AU51*'Spreadsheet Key'!$A$28+AV51*'Spreadsheet Key'!$A$29+AW51*'Spreadsheet Key'!$A$30+AX51*'Spreadsheet Key'!$A$31</f>
        <v>0</v>
      </c>
    </row>
    <row r="52" spans="1:54">
      <c r="A52" s="56" t="s">
        <v>95</v>
      </c>
      <c r="B52" s="56" t="s">
        <v>303</v>
      </c>
      <c r="C52" s="2659">
        <v>0</v>
      </c>
      <c r="D52" s="2659">
        <v>0</v>
      </c>
      <c r="E52" s="2659">
        <v>0</v>
      </c>
      <c r="F52" s="2659">
        <v>0</v>
      </c>
      <c r="G52" s="2659">
        <v>0</v>
      </c>
      <c r="H52" s="2659">
        <v>8</v>
      </c>
      <c r="I52" s="2659">
        <v>0</v>
      </c>
      <c r="J52" s="2659">
        <v>0</v>
      </c>
      <c r="K52" s="2659">
        <v>0</v>
      </c>
      <c r="L52" s="2659">
        <v>0</v>
      </c>
      <c r="M52" s="2659">
        <v>0</v>
      </c>
      <c r="N52" s="2659">
        <v>0</v>
      </c>
      <c r="O52" s="2659">
        <v>0</v>
      </c>
      <c r="P52" s="2659">
        <v>0</v>
      </c>
      <c r="Q52" s="2659">
        <v>0</v>
      </c>
      <c r="R52" s="2659">
        <v>8</v>
      </c>
      <c r="S52" s="2659">
        <v>0</v>
      </c>
      <c r="T52" s="2659">
        <v>0</v>
      </c>
      <c r="U52" s="2659">
        <v>0</v>
      </c>
      <c r="V52" s="2659">
        <v>8</v>
      </c>
      <c r="W52" s="2659">
        <v>0</v>
      </c>
      <c r="X52" s="2659">
        <v>1</v>
      </c>
      <c r="Y52" s="2659">
        <v>2</v>
      </c>
      <c r="Z52" s="2659">
        <v>2</v>
      </c>
      <c r="AA52" s="2659">
        <v>2</v>
      </c>
      <c r="AB52" s="2659">
        <v>2</v>
      </c>
      <c r="AC52" s="2659">
        <v>3</v>
      </c>
      <c r="AD52" s="2659">
        <v>0</v>
      </c>
      <c r="AE52" s="2659">
        <v>0</v>
      </c>
      <c r="AF52" s="2659">
        <v>0</v>
      </c>
      <c r="AG52" s="2659">
        <v>0</v>
      </c>
      <c r="AH52" s="3126"/>
      <c r="AI52" s="283" cm="1">
        <f t="array" ref="AI52">SUM(COUNTIFS($C52:$AG52,{"0","4","5","6","7","8","9"}))</f>
        <v>25</v>
      </c>
      <c r="AJ52" s="283" cm="1">
        <f t="array" ref="AJ52">SUM(COUNTIFS($C52:$AG52,{"0","4","5","6","7","8","9"},$C$4:$AG$4,"0"))</f>
        <v>13</v>
      </c>
      <c r="AK52" s="283" cm="1">
        <f t="array" ref="AK52">SUM(COUNTIFS($C52:$AG52,{"0","4","5","6","7","8","9"},$C$4:$AG$4,"1"))</f>
        <v>4</v>
      </c>
      <c r="AL52" s="283" cm="1">
        <f t="array" ref="AL52">SUM(COUNTIFS($C52:$AG52,{"0","4","5","6","7","8","9"},$C$4:$AG$4,"2"))</f>
        <v>4</v>
      </c>
      <c r="AM52" s="283" cm="1">
        <f t="array" ref="AM52">SUM(COUNTIFS($C52:$AG52,{"0","4","5","6","7","8","9"},$C$4:$AG$4,"3"))</f>
        <v>4</v>
      </c>
      <c r="AN52" s="283" cm="1">
        <f t="array" ref="AN52">SUM(COUNTIFS($C52:$AG52,{"1","2","3"}))</f>
        <v>6</v>
      </c>
      <c r="AO52" s="283" cm="1">
        <f t="array" ref="AO52">SUM(COUNTIFS($C52:$AG52,{"4","5","6"}))</f>
        <v>0</v>
      </c>
      <c r="AP52" s="283">
        <f>AJ52*'Spreadsheet Key'!$A$23 + AK52*'Spreadsheet Key'!$A$24 + AL52*'Spreadsheet Key'!$A$25 + AM52*'Spreadsheet Key'!$A$26</f>
        <v>1014</v>
      </c>
      <c r="AQ52" s="283" t="e">
        <f>AI52/(#REF!)</f>
        <v>#REF!</v>
      </c>
      <c r="AR52" s="283" t="e">
        <f>AQ52*#REF!</f>
        <v>#REF!</v>
      </c>
      <c r="AT52" s="283">
        <f t="shared" si="0"/>
        <v>2</v>
      </c>
      <c r="AU52" s="283">
        <f t="shared" si="1"/>
        <v>0</v>
      </c>
      <c r="AV52" s="283">
        <f t="shared" si="2"/>
        <v>0</v>
      </c>
      <c r="AW52" s="283" cm="1">
        <f t="array" ref="AW52">COUNTIFS($C52:$AG52,"9",$C$4:$AG$4,"1")+SUM(COUNTIFS($C52:$AG52,{"8","9"},$C$4:$AG$4,"2"))+COUNTIFS($C52:$AG52,"8",$C$4:$AG$4,"3")</f>
        <v>1</v>
      </c>
      <c r="AX52" s="283">
        <f t="shared" si="3"/>
        <v>0</v>
      </c>
      <c r="AY52" s="283">
        <f t="shared" si="4"/>
        <v>3</v>
      </c>
      <c r="AZ52" s="283">
        <f>AT52*'Spreadsheet Key'!$A$27+AU52*'Spreadsheet Key'!$A$28+AV52*'Spreadsheet Key'!$A$29+AW52*'Spreadsheet Key'!$A$30+AX52*'Spreadsheet Key'!$A$31</f>
        <v>56</v>
      </c>
      <c r="BB52" s="283" t="e">
        <f t="shared" si="5"/>
        <v>#REF!</v>
      </c>
    </row>
    <row r="53" spans="1:54">
      <c r="A53" s="56"/>
      <c r="B53" s="2389"/>
      <c r="C53" s="779"/>
      <c r="D53" s="779"/>
      <c r="E53" s="779"/>
      <c r="F53" s="779"/>
      <c r="G53" s="2434" t="s">
        <v>722</v>
      </c>
      <c r="H53" s="779"/>
      <c r="I53" s="779"/>
      <c r="J53" s="779"/>
      <c r="K53" s="779"/>
      <c r="L53" s="779"/>
      <c r="M53" s="779"/>
      <c r="N53" s="2434" t="s">
        <v>722</v>
      </c>
      <c r="O53" s="779"/>
      <c r="P53" s="779"/>
      <c r="Q53" s="779"/>
      <c r="R53" s="3628" t="s">
        <v>251</v>
      </c>
      <c r="S53" s="4308" t="s">
        <v>1254</v>
      </c>
      <c r="T53" s="4308"/>
      <c r="U53" s="4308"/>
      <c r="V53" s="4308"/>
      <c r="W53" s="4308"/>
      <c r="X53" s="3628" t="s">
        <v>251</v>
      </c>
      <c r="Y53" s="779"/>
      <c r="Z53" s="2659"/>
      <c r="AA53" s="2659"/>
      <c r="AB53" s="3685" t="s">
        <v>720</v>
      </c>
      <c r="AC53" s="2659"/>
      <c r="AD53" s="2659"/>
      <c r="AE53" s="779"/>
      <c r="AF53" s="2434"/>
      <c r="AG53" s="779"/>
      <c r="AH53" s="3126"/>
      <c r="AI53" s="283" cm="1">
        <f t="array" ref="AI53">SUM(COUNTIFS($C53:$AG53,{"0","4","5","6","7","8","9"}))</f>
        <v>0</v>
      </c>
      <c r="AJ53" s="283" cm="1">
        <f t="array" ref="AJ53">SUM(COUNTIFS($C53:$AG53,{"0","4","5","6","7","8","9"},$C$4:$AG$4,"0"))</f>
        <v>0</v>
      </c>
      <c r="AK53" s="283" cm="1">
        <f t="array" ref="AK53">SUM(COUNTIFS($C53:$AG53,{"0","4","5","6","7","8","9"},$C$4:$AG$4,"1"))</f>
        <v>0</v>
      </c>
      <c r="AL53" s="283" cm="1">
        <f t="array" ref="AL53">SUM(COUNTIFS($C53:$AG53,{"0","4","5","6","7","8","9"},$C$4:$AG$4,"2"))</f>
        <v>0</v>
      </c>
      <c r="AM53" s="283" cm="1">
        <f t="array" ref="AM53">SUM(COUNTIFS($C53:$AG53,{"0","4","5","6","7","8","9"},$C$4:$AG$4,"3"))</f>
        <v>0</v>
      </c>
      <c r="AN53" s="283" cm="1">
        <f t="array" ref="AN53">SUM(COUNTIFS($C53:$AG53,{"1","2","3"}))</f>
        <v>0</v>
      </c>
      <c r="AO53" s="283" cm="1">
        <f t="array" ref="AO53">SUM(COUNTIFS($C53:$AG53,{"4","5","6"}))</f>
        <v>0</v>
      </c>
      <c r="AP53" s="283">
        <f>AJ53*'Spreadsheet Key'!$A$23 + AK53*'Spreadsheet Key'!$A$24 + AL53*'Spreadsheet Key'!$A$25 + AM53*'Spreadsheet Key'!$A$26</f>
        <v>0</v>
      </c>
      <c r="AQ53" s="283" t="e">
        <f>AI53/(#REF!)</f>
        <v>#REF!</v>
      </c>
      <c r="AR53" s="283" t="e">
        <f>AQ53*#REF!</f>
        <v>#REF!</v>
      </c>
      <c r="AT53" s="283">
        <f t="shared" si="0"/>
        <v>0</v>
      </c>
      <c r="AU53" s="283">
        <f t="shared" si="1"/>
        <v>0</v>
      </c>
      <c r="AV53" s="283">
        <f t="shared" si="2"/>
        <v>0</v>
      </c>
      <c r="AW53" s="283" cm="1">
        <f t="array" ref="AW53">COUNTIFS($C53:$AG53,"9",$C$4:$AG$4,"1")+SUM(COUNTIFS($C53:$AG53,{"8","9"},$C$4:$AG$4,"2"))+COUNTIFS($C53:$AG53,"8",$C$4:$AG$4,"3")</f>
        <v>0</v>
      </c>
      <c r="AX53" s="283">
        <f t="shared" si="3"/>
        <v>0</v>
      </c>
      <c r="AY53" s="283">
        <f t="shared" si="4"/>
        <v>0</v>
      </c>
      <c r="AZ53" s="283">
        <f>AT53*'Spreadsheet Key'!$A$27+AU53*'Spreadsheet Key'!$A$28+AV53*'Spreadsheet Key'!$A$29+AW53*'Spreadsheet Key'!$A$30+AX53*'Spreadsheet Key'!$A$31</f>
        <v>0</v>
      </c>
    </row>
    <row r="54" spans="1:54">
      <c r="A54" s="56" t="s">
        <v>155</v>
      </c>
      <c r="B54" s="2389" t="s">
        <v>532</v>
      </c>
      <c r="C54" s="2659">
        <v>0</v>
      </c>
      <c r="D54" s="2659">
        <v>0</v>
      </c>
      <c r="E54" s="2659">
        <v>0</v>
      </c>
      <c r="F54" s="2659">
        <v>0</v>
      </c>
      <c r="G54" s="2659">
        <v>9</v>
      </c>
      <c r="H54" s="2659">
        <v>0</v>
      </c>
      <c r="I54" s="2659">
        <v>0</v>
      </c>
      <c r="J54" s="2659">
        <v>0</v>
      </c>
      <c r="K54" s="2659">
        <v>0</v>
      </c>
      <c r="L54" s="2659">
        <v>0</v>
      </c>
      <c r="M54" s="2659">
        <v>0</v>
      </c>
      <c r="N54" s="2659">
        <v>9</v>
      </c>
      <c r="O54" s="2659">
        <v>0</v>
      </c>
      <c r="P54" s="2659">
        <v>0</v>
      </c>
      <c r="Q54" s="2659">
        <v>0</v>
      </c>
      <c r="R54" s="2659">
        <v>1</v>
      </c>
      <c r="S54" s="2659">
        <v>2</v>
      </c>
      <c r="T54" s="2659">
        <v>2</v>
      </c>
      <c r="U54" s="2659">
        <v>2</v>
      </c>
      <c r="V54" s="2659">
        <v>2</v>
      </c>
      <c r="W54" s="2659">
        <v>2</v>
      </c>
      <c r="X54" s="2659">
        <v>3</v>
      </c>
      <c r="Y54" s="2659">
        <v>0</v>
      </c>
      <c r="Z54" s="2659">
        <v>0</v>
      </c>
      <c r="AA54" s="2659">
        <v>0</v>
      </c>
      <c r="AB54" s="2659">
        <v>8</v>
      </c>
      <c r="AC54" s="2659">
        <v>0</v>
      </c>
      <c r="AD54" s="2659">
        <v>0</v>
      </c>
      <c r="AE54" s="2659">
        <v>0</v>
      </c>
      <c r="AF54" s="2659">
        <v>0</v>
      </c>
      <c r="AG54" s="2659">
        <v>0</v>
      </c>
      <c r="AH54" s="3126"/>
      <c r="AI54" s="283" cm="1">
        <f t="array" ref="AI54">SUM(COUNTIFS($C54:$AG54,{"0","4","5","6","7","8","9"}))</f>
        <v>24</v>
      </c>
      <c r="AJ54" s="283" cm="1">
        <f t="array" ref="AJ54">SUM(COUNTIFS($C54:$AG54,{"0","4","5","6","7","8","9"},$C$4:$AG$4,"0"))</f>
        <v>13</v>
      </c>
      <c r="AK54" s="283" cm="1">
        <f t="array" ref="AK54">SUM(COUNTIFS($C54:$AG54,{"0","4","5","6","7","8","9"},$C$4:$AG$4,"1"))</f>
        <v>3</v>
      </c>
      <c r="AL54" s="283" cm="1">
        <f t="array" ref="AL54">SUM(COUNTIFS($C54:$AG54,{"0","4","5","6","7","8","9"},$C$4:$AG$4,"2"))</f>
        <v>4</v>
      </c>
      <c r="AM54" s="283" cm="1">
        <f t="array" ref="AM54">SUM(COUNTIFS($C54:$AG54,{"0","4","5","6","7","8","9"},$C$4:$AG$4,"3"))</f>
        <v>4</v>
      </c>
      <c r="AN54" s="283" cm="1">
        <f t="array" ref="AN54">SUM(COUNTIFS($C54:$AG54,{"1","2","3"}))</f>
        <v>7</v>
      </c>
      <c r="AO54" s="283" cm="1">
        <f t="array" ref="AO54">SUM(COUNTIFS($C54:$AG54,{"4","5","6"}))</f>
        <v>0</v>
      </c>
      <c r="AP54" s="283">
        <f>AJ54*'Spreadsheet Key'!$A$23 + AK54*'Spreadsheet Key'!$A$24 + AL54*'Spreadsheet Key'!$A$25 + AM54*'Spreadsheet Key'!$A$26</f>
        <v>960</v>
      </c>
      <c r="AQ54" s="283" t="e">
        <f>AI54/(#REF!)</f>
        <v>#REF!</v>
      </c>
      <c r="AR54" s="283" t="e">
        <f>AQ54*#REF!</f>
        <v>#REF!</v>
      </c>
      <c r="AT54" s="283">
        <f t="shared" si="0"/>
        <v>1</v>
      </c>
      <c r="AU54" s="283">
        <f t="shared" si="1"/>
        <v>2</v>
      </c>
      <c r="AV54" s="283">
        <f t="shared" si="2"/>
        <v>0</v>
      </c>
      <c r="AW54" s="283" cm="1">
        <f t="array" ref="AW54">COUNTIFS($C54:$AG54,"9",$C$4:$AG$4,"1")+SUM(COUNTIFS($C54:$AG54,{"8","9"},$C$4:$AG$4,"2"))+COUNTIFS($C54:$AG54,"8",$C$4:$AG$4,"3")</f>
        <v>0</v>
      </c>
      <c r="AX54" s="283">
        <f t="shared" si="3"/>
        <v>0</v>
      </c>
      <c r="AY54" s="283">
        <f t="shared" si="4"/>
        <v>3</v>
      </c>
      <c r="AZ54" s="283">
        <f>AT54*'Spreadsheet Key'!$A$27+AU54*'Spreadsheet Key'!$A$28+AV54*'Spreadsheet Key'!$A$29+AW54*'Spreadsheet Key'!$A$30+AX54*'Spreadsheet Key'!$A$31</f>
        <v>34</v>
      </c>
      <c r="BB54" s="283" t="e">
        <f t="shared" si="5"/>
        <v>#REF!</v>
      </c>
    </row>
    <row r="55" spans="1:54">
      <c r="A55" s="56"/>
      <c r="B55" s="56"/>
      <c r="C55" s="779"/>
      <c r="D55" s="779"/>
      <c r="E55" s="6190" t="s">
        <v>1234</v>
      </c>
      <c r="F55" s="6190"/>
      <c r="G55" s="6190"/>
      <c r="H55" s="6190"/>
      <c r="I55" s="6190"/>
      <c r="J55" s="779"/>
      <c r="K55" s="779"/>
      <c r="L55" s="779"/>
      <c r="M55" s="779"/>
      <c r="N55" s="779"/>
      <c r="O55" s="779"/>
      <c r="P55" s="779"/>
      <c r="Q55" s="779"/>
      <c r="R55" s="779"/>
      <c r="S55" s="779"/>
      <c r="T55" s="779"/>
      <c r="U55" s="779"/>
      <c r="V55" s="779"/>
      <c r="W55" s="779"/>
      <c r="X55" s="779"/>
      <c r="Y55" s="779"/>
      <c r="Z55" s="2659"/>
      <c r="AA55" s="779"/>
      <c r="AB55" s="779"/>
      <c r="AC55" s="779"/>
      <c r="AD55" s="779"/>
      <c r="AE55" s="779"/>
      <c r="AF55" s="779"/>
      <c r="AG55" s="2"/>
      <c r="AH55" s="3126"/>
      <c r="AI55" s="283" cm="1">
        <f t="array" ref="AI55">SUM(COUNTIFS($C55:$AG55,{"0","4","5","6","7","8","9"}))</f>
        <v>0</v>
      </c>
      <c r="AJ55" s="283" cm="1">
        <f t="array" ref="AJ55">SUM(COUNTIFS($C55:$AG55,{"0","4","5","6","7","8","9"},$C$4:$AG$4,"0"))</f>
        <v>0</v>
      </c>
      <c r="AK55" s="283" cm="1">
        <f t="array" ref="AK55">SUM(COUNTIFS($C55:$AG55,{"0","4","5","6","7","8","9"},$C$4:$AG$4,"1"))</f>
        <v>0</v>
      </c>
      <c r="AL55" s="283" cm="1">
        <f t="array" ref="AL55">SUM(COUNTIFS($C55:$AG55,{"0","4","5","6","7","8","9"},$C$4:$AG$4,"2"))</f>
        <v>0</v>
      </c>
      <c r="AM55" s="283" cm="1">
        <f t="array" ref="AM55">SUM(COUNTIFS($C55:$AG55,{"0","4","5","6","7","8","9"},$C$4:$AG$4,"3"))</f>
        <v>0</v>
      </c>
      <c r="AN55" s="283" cm="1">
        <f t="array" ref="AN55">SUM(COUNTIFS($C55:$AG55,{"1","2","3"}))</f>
        <v>0</v>
      </c>
      <c r="AO55" s="283" cm="1">
        <f t="array" ref="AO55">SUM(COUNTIFS($C55:$AG55,{"4","5","6"}))</f>
        <v>0</v>
      </c>
      <c r="AP55" s="283">
        <f>AJ55*'Spreadsheet Key'!$A$23 + AK55*'Spreadsheet Key'!$A$24 + AL55*'Spreadsheet Key'!$A$25 + AM55*'Spreadsheet Key'!$A$26</f>
        <v>0</v>
      </c>
      <c r="AQ55" s="283" t="e">
        <f>AI55/(#REF!)</f>
        <v>#REF!</v>
      </c>
      <c r="AR55" s="283" t="e">
        <f>AQ55*#REF!</f>
        <v>#REF!</v>
      </c>
      <c r="AT55" s="283">
        <f t="shared" si="0"/>
        <v>0</v>
      </c>
      <c r="AU55" s="283">
        <f t="shared" si="1"/>
        <v>0</v>
      </c>
      <c r="AV55" s="283">
        <f t="shared" si="2"/>
        <v>0</v>
      </c>
      <c r="AW55" s="283" cm="1">
        <f t="array" ref="AW55">COUNTIFS($C55:$AG55,"9",$C$4:$AG$4,"1")+SUM(COUNTIFS($C55:$AG55,{"8","9"},$C$4:$AG$4,"2"))+COUNTIFS($C55:$AG55,"8",$C$4:$AG$4,"3")</f>
        <v>0</v>
      </c>
      <c r="AX55" s="283">
        <f t="shared" si="3"/>
        <v>0</v>
      </c>
      <c r="AY55" s="283">
        <f t="shared" si="4"/>
        <v>0</v>
      </c>
      <c r="AZ55" s="283">
        <f>AT55*'Spreadsheet Key'!$A$27+AU55*'Spreadsheet Key'!$A$28+AV55*'Spreadsheet Key'!$A$29+AW55*'Spreadsheet Key'!$A$30+AX55*'Spreadsheet Key'!$A$31</f>
        <v>0</v>
      </c>
    </row>
    <row r="56" spans="1:54">
      <c r="A56" s="56" t="s">
        <v>100</v>
      </c>
      <c r="B56" s="56" t="s">
        <v>725</v>
      </c>
      <c r="C56" s="2659">
        <v>0</v>
      </c>
      <c r="D56" s="2659">
        <v>0</v>
      </c>
      <c r="E56" s="2659">
        <v>7</v>
      </c>
      <c r="F56" s="2659">
        <v>7</v>
      </c>
      <c r="G56" s="2659">
        <v>7</v>
      </c>
      <c r="H56" s="2659">
        <v>7</v>
      </c>
      <c r="I56" s="2659">
        <v>7</v>
      </c>
      <c r="J56" s="2659">
        <v>0</v>
      </c>
      <c r="K56" s="2659">
        <v>0</v>
      </c>
      <c r="L56" s="2659">
        <v>0</v>
      </c>
      <c r="M56" s="2659">
        <v>0</v>
      </c>
      <c r="N56" s="2659">
        <v>0</v>
      </c>
      <c r="O56" s="2659">
        <v>0</v>
      </c>
      <c r="P56" s="2659">
        <v>0</v>
      </c>
      <c r="Q56" s="2659">
        <v>0</v>
      </c>
      <c r="R56" s="2659">
        <v>0</v>
      </c>
      <c r="S56" s="2659">
        <v>0</v>
      </c>
      <c r="T56" s="2659">
        <v>0</v>
      </c>
      <c r="U56" s="2659">
        <v>0</v>
      </c>
      <c r="V56" s="2659">
        <v>0</v>
      </c>
      <c r="W56" s="2659">
        <v>0</v>
      </c>
      <c r="X56" s="2659">
        <v>0</v>
      </c>
      <c r="Y56" s="2659">
        <v>0</v>
      </c>
      <c r="Z56" s="2659">
        <v>0</v>
      </c>
      <c r="AA56" s="2659">
        <v>0</v>
      </c>
      <c r="AB56" s="2659">
        <v>0</v>
      </c>
      <c r="AC56" s="2659">
        <v>0</v>
      </c>
      <c r="AD56" s="2659">
        <v>0</v>
      </c>
      <c r="AE56" s="2659">
        <v>0</v>
      </c>
      <c r="AF56" s="2659">
        <v>0</v>
      </c>
      <c r="AG56" s="2659">
        <v>0</v>
      </c>
      <c r="AH56" s="3126"/>
      <c r="AI56" s="283" cm="1">
        <f t="array" ref="AI56">SUM(COUNTIFS($C56:$AG56,{"0","4","5","6","7","8","9"}))</f>
        <v>31</v>
      </c>
      <c r="AJ56" s="283" cm="1">
        <f t="array" ref="AJ56">SUM(COUNTIFS($C56:$AG56,{"0","4","5","6","7","8","9"},$C$4:$AG$4,"0"))</f>
        <v>17</v>
      </c>
      <c r="AK56" s="283" cm="1">
        <f t="array" ref="AK56">SUM(COUNTIFS($C56:$AG56,{"0","4","5","6","7","8","9"},$C$4:$AG$4,"1"))</f>
        <v>4</v>
      </c>
      <c r="AL56" s="283" cm="1">
        <f t="array" ref="AL56">SUM(COUNTIFS($C56:$AG56,{"0","4","5","6","7","8","9"},$C$4:$AG$4,"2"))</f>
        <v>5</v>
      </c>
      <c r="AM56" s="283" cm="1">
        <f t="array" ref="AM56">SUM(COUNTIFS($C56:$AG56,{"0","4","5","6","7","8","9"},$C$4:$AG$4,"3"))</f>
        <v>5</v>
      </c>
      <c r="AN56" s="283" cm="1">
        <f t="array" ref="AN56">SUM(COUNTIFS($C56:$AG56,{"1","2","3"}))</f>
        <v>0</v>
      </c>
      <c r="AO56" s="283" cm="1">
        <f t="array" ref="AO56">SUM(COUNTIFS($C56:$AG56,{"4","5","6"}))</f>
        <v>0</v>
      </c>
      <c r="AP56" s="283">
        <f>AJ56*'Spreadsheet Key'!$A$23 + AK56*'Spreadsheet Key'!$A$24 + AL56*'Spreadsheet Key'!$A$25 + AM56*'Spreadsheet Key'!$A$26</f>
        <v>1230</v>
      </c>
      <c r="AQ56" s="283">
        <v>0</v>
      </c>
      <c r="AR56" s="283">
        <v>0</v>
      </c>
      <c r="AT56" s="283">
        <f t="shared" ref="AT56:AT62" si="6">COUNTIFS($C56:$AG56,"8",$C$4:$AG$4,"0")</f>
        <v>0</v>
      </c>
      <c r="AU56" s="283">
        <f t="shared" ref="AU56:AU62" si="7">COUNTIFS($C56:$AG56,"9",$C$4:$AG$4,"0")</f>
        <v>0</v>
      </c>
      <c r="AV56" s="283">
        <f t="shared" ref="AV56:AV62" si="8">COUNTIFS($C56:$AG56,"8",$C$4:$AG$4,"1")</f>
        <v>0</v>
      </c>
      <c r="AW56" s="283" cm="1">
        <f t="array" ref="AW56">COUNTIFS($C56:$AG56,"9",$C$4:$AG$4,"1")+SUM(COUNTIFS($C56:$AG56,{"8","9"},$C$4:$AG$4,"2"))+COUNTIFS($C56:$AG56,"8",$C$4:$AG$4,"3")</f>
        <v>0</v>
      </c>
      <c r="AX56" s="283">
        <f t="shared" ref="AX56:AX62" si="9">COUNTIFS($C56:$AG56,"9",$C$4:$AG$4,"3")</f>
        <v>0</v>
      </c>
      <c r="AY56" s="283">
        <f t="shared" ref="AY56:AY58" si="10">SUM(AT56:AX56)</f>
        <v>0</v>
      </c>
      <c r="AZ56" s="283">
        <f>AT56*'Spreadsheet Key'!$A$27+AU56*'Spreadsheet Key'!$A$28+AV56*'Spreadsheet Key'!$A$29+AW56*'Spreadsheet Key'!$A$30+AX56*'Spreadsheet Key'!$A$31</f>
        <v>0</v>
      </c>
      <c r="BB56" s="283">
        <f>AR56-AZ56</f>
        <v>0</v>
      </c>
    </row>
    <row r="57" spans="1:54">
      <c r="A57" s="2389"/>
      <c r="B57" s="2389"/>
      <c r="C57" s="779"/>
      <c r="D57" s="779"/>
      <c r="E57" s="6190" t="s">
        <v>1234</v>
      </c>
      <c r="F57" s="6190"/>
      <c r="G57" s="6190"/>
      <c r="H57" s="6190"/>
      <c r="I57" s="6190"/>
      <c r="J57" s="779"/>
      <c r="K57" s="779"/>
      <c r="L57" s="2434" t="s">
        <v>720</v>
      </c>
      <c r="M57" s="779"/>
      <c r="N57" s="779"/>
      <c r="O57" s="779"/>
      <c r="P57" s="779"/>
      <c r="Q57" s="779"/>
      <c r="R57" s="779"/>
      <c r="S57" s="779"/>
      <c r="T57" s="779"/>
      <c r="U57" s="779"/>
      <c r="V57" s="779"/>
      <c r="W57" s="2434" t="s">
        <v>720</v>
      </c>
      <c r="X57" s="779"/>
      <c r="Y57" s="779"/>
      <c r="Z57" s="779"/>
      <c r="AA57" s="779"/>
      <c r="AB57" s="779"/>
      <c r="AC57" s="779"/>
      <c r="AD57" s="779"/>
      <c r="AE57" s="4475" t="s">
        <v>482</v>
      </c>
      <c r="AF57" s="4475"/>
      <c r="AG57" s="779"/>
      <c r="AH57" s="3126"/>
      <c r="AI57" s="283" cm="1">
        <f t="array" ref="AI57">SUM(COUNTIFS($C57:$AG57,{"0","4","5","6","7","8","9"}))</f>
        <v>0</v>
      </c>
      <c r="AJ57" s="283" cm="1">
        <f t="array" ref="AJ57">SUM(COUNTIFS($C57:$AG57,{"0","4","5","6","7","8","9"},$C$4:$AG$4,"0"))</f>
        <v>0</v>
      </c>
      <c r="AK57" s="283" cm="1">
        <f t="array" ref="AK57">SUM(COUNTIFS($C57:$AG57,{"0","4","5","6","7","8","9"},$C$4:$AG$4,"1"))</f>
        <v>0</v>
      </c>
      <c r="AL57" s="283" cm="1">
        <f t="array" ref="AL57">SUM(COUNTIFS($C57:$AG57,{"0","4","5","6","7","8","9"},$C$4:$AG$4,"2"))</f>
        <v>0</v>
      </c>
      <c r="AM57" s="283" cm="1">
        <f t="array" ref="AM57">SUM(COUNTIFS($C57:$AG57,{"0","4","5","6","7","8","9"},$C$4:$AG$4,"3"))</f>
        <v>0</v>
      </c>
      <c r="AN57" s="283" cm="1">
        <f t="array" ref="AN57">SUM(COUNTIFS($C57:$AG57,{"1","2","3"}))</f>
        <v>0</v>
      </c>
      <c r="AO57" s="283" cm="1">
        <f t="array" ref="AO57">SUM(COUNTIFS($C57:$AG57,{"4","5","6"}))</f>
        <v>0</v>
      </c>
      <c r="AP57" s="283">
        <f>AJ57*'Spreadsheet Key'!$A$23 + AK57*'Spreadsheet Key'!$A$24 + AL57*'Spreadsheet Key'!$A$25 + AM57*'Spreadsheet Key'!$A$26</f>
        <v>0</v>
      </c>
      <c r="AQ57" s="283" t="e">
        <f>AI57/(#REF!)</f>
        <v>#REF!</v>
      </c>
      <c r="AR57" s="283">
        <v>0</v>
      </c>
      <c r="AT57" s="283">
        <f t="shared" si="6"/>
        <v>0</v>
      </c>
      <c r="AU57" s="283">
        <f t="shared" si="7"/>
        <v>0</v>
      </c>
      <c r="AV57" s="283">
        <f t="shared" si="8"/>
        <v>0</v>
      </c>
      <c r="AW57" s="283" cm="1">
        <f t="array" ref="AW57">COUNTIFS($C57:$AG57,"9",$C$4:$AG$4,"1")+SUM(COUNTIFS($C57:$AG57,{"8","9"},$C$4:$AG$4,"2"))+COUNTIFS($C57:$AG57,"8",$C$4:$AG$4,"3")</f>
        <v>0</v>
      </c>
      <c r="AX57" s="283">
        <f t="shared" si="9"/>
        <v>0</v>
      </c>
      <c r="AY57" s="283">
        <f t="shared" si="10"/>
        <v>0</v>
      </c>
      <c r="AZ57" s="283">
        <f>AT57*'Spreadsheet Key'!$A$27+AU57*'Spreadsheet Key'!$A$28+AV57*'Spreadsheet Key'!$A$29+AW57*'Spreadsheet Key'!$A$30+AX57*'Spreadsheet Key'!$A$31</f>
        <v>0</v>
      </c>
    </row>
    <row r="58" spans="1:54">
      <c r="A58" s="2389" t="s">
        <v>283</v>
      </c>
      <c r="B58" s="2389" t="s">
        <v>201</v>
      </c>
      <c r="C58" s="2659">
        <v>0</v>
      </c>
      <c r="D58" s="2659">
        <v>0</v>
      </c>
      <c r="E58" s="2659">
        <v>7</v>
      </c>
      <c r="F58" s="2659">
        <v>7</v>
      </c>
      <c r="G58" s="2659">
        <v>7</v>
      </c>
      <c r="H58" s="2659">
        <v>7</v>
      </c>
      <c r="I58" s="2659">
        <v>7</v>
      </c>
      <c r="J58" s="2659">
        <v>0</v>
      </c>
      <c r="K58" s="2659">
        <v>0</v>
      </c>
      <c r="L58" s="2659">
        <v>8</v>
      </c>
      <c r="M58" s="2659">
        <v>0</v>
      </c>
      <c r="N58" s="2659">
        <v>0</v>
      </c>
      <c r="O58" s="2659">
        <v>0</v>
      </c>
      <c r="P58" s="2659">
        <v>0</v>
      </c>
      <c r="Q58" s="2659">
        <v>0</v>
      </c>
      <c r="R58" s="2659">
        <v>0</v>
      </c>
      <c r="S58" s="2659">
        <v>0</v>
      </c>
      <c r="T58" s="2659">
        <v>0</v>
      </c>
      <c r="U58" s="2659">
        <v>0</v>
      </c>
      <c r="V58" s="2659">
        <v>0</v>
      </c>
      <c r="W58" s="2659">
        <v>8</v>
      </c>
      <c r="X58" s="2659">
        <v>0</v>
      </c>
      <c r="Y58" s="2659">
        <v>0</v>
      </c>
      <c r="Z58" s="2659">
        <v>0</v>
      </c>
      <c r="AA58" s="2659">
        <v>0</v>
      </c>
      <c r="AB58" s="2659">
        <v>0</v>
      </c>
      <c r="AC58" s="2659">
        <v>0</v>
      </c>
      <c r="AD58" s="2659">
        <v>0</v>
      </c>
      <c r="AE58" s="2659">
        <v>2</v>
      </c>
      <c r="AF58" s="2659">
        <v>2</v>
      </c>
      <c r="AG58" s="2659">
        <v>0</v>
      </c>
      <c r="AH58" s="3126"/>
      <c r="AI58" s="283" cm="1">
        <f t="array" ref="AI58">SUM(COUNTIFS($C58:$AG58,{"0","4","5","6","7","8","9"}))</f>
        <v>29</v>
      </c>
      <c r="AJ58" s="283" cm="1">
        <f t="array" ref="AJ58">SUM(COUNTIFS($C58:$AG58,{"0","4","5","6","7","8","9"},$C$4:$AG$4,"0"))</f>
        <v>17</v>
      </c>
      <c r="AK58" s="283" cm="1">
        <f t="array" ref="AK58">SUM(COUNTIFS($C58:$AG58,{"0","4","5","6","7","8","9"},$C$4:$AG$4,"1"))</f>
        <v>4</v>
      </c>
      <c r="AL58" s="283" cm="1">
        <f t="array" ref="AL58">SUM(COUNTIFS($C58:$AG58,{"0","4","5","6","7","8","9"},$C$4:$AG$4,"2"))</f>
        <v>4</v>
      </c>
      <c r="AM58" s="283" cm="1">
        <f t="array" ref="AM58">SUM(COUNTIFS($C58:$AG58,{"0","4","5","6","7","8","9"},$C$4:$AG$4,"3"))</f>
        <v>4</v>
      </c>
      <c r="AN58" s="283" cm="1">
        <f t="array" ref="AN58">SUM(COUNTIFS($C58:$AG58,{"1","2","3"}))</f>
        <v>2</v>
      </c>
      <c r="AO58" s="283" cm="1">
        <f t="array" ref="AO58">SUM(COUNTIFS($C58:$AG58,{"4","5","6"}))</f>
        <v>0</v>
      </c>
      <c r="AP58" s="283">
        <f>AJ58*'Spreadsheet Key'!$A$23 + AK58*'Spreadsheet Key'!$A$24 + AL58*'Spreadsheet Key'!$A$25 + AM58*'Spreadsheet Key'!$A$26</f>
        <v>1102</v>
      </c>
      <c r="AQ58" s="283">
        <v>0</v>
      </c>
      <c r="AR58" s="283">
        <v>0</v>
      </c>
      <c r="AT58" s="283">
        <f t="shared" si="6"/>
        <v>1</v>
      </c>
      <c r="AU58" s="283">
        <f t="shared" si="7"/>
        <v>0</v>
      </c>
      <c r="AV58" s="283">
        <f t="shared" si="8"/>
        <v>1</v>
      </c>
      <c r="AW58" s="283" cm="1">
        <f t="array" ref="AW58">COUNTIFS($C58:$AG58,"9",$C$4:$AG$4,"1")+SUM(COUNTIFS($C58:$AG58,{"8","9"},$C$4:$AG$4,"2"))+COUNTIFS($C58:$AG58,"8",$C$4:$AG$4,"3")</f>
        <v>0</v>
      </c>
      <c r="AX58" s="283">
        <f t="shared" si="9"/>
        <v>0</v>
      </c>
      <c r="AY58" s="283">
        <f t="shared" si="10"/>
        <v>2</v>
      </c>
      <c r="AZ58" s="283">
        <f>AT58*'Spreadsheet Key'!$A$27+AU58*'Spreadsheet Key'!$A$28+AV58*'Spreadsheet Key'!$A$29+AW58*'Spreadsheet Key'!$A$30+AX58*'Spreadsheet Key'!$A$31</f>
        <v>28</v>
      </c>
      <c r="BB58" s="283">
        <f>AR58-AZ58</f>
        <v>-28</v>
      </c>
    </row>
    <row r="59" spans="1:54">
      <c r="A59" s="3584"/>
      <c r="B59" s="3584"/>
      <c r="C59" s="3140"/>
      <c r="D59" s="3140"/>
      <c r="E59" s="6253" t="s">
        <v>1234</v>
      </c>
      <c r="F59" s="6253"/>
      <c r="G59" s="6253"/>
      <c r="H59" s="6253"/>
      <c r="I59" s="6253"/>
      <c r="J59" s="3140"/>
      <c r="K59" s="3140"/>
      <c r="L59" s="3140"/>
      <c r="M59" s="3141" t="s">
        <v>1235</v>
      </c>
      <c r="N59" s="3154" t="s">
        <v>720</v>
      </c>
      <c r="O59" s="3140"/>
      <c r="P59" s="3140"/>
      <c r="Q59" s="3140"/>
      <c r="R59" s="3140"/>
      <c r="S59" s="3142" t="s">
        <v>1025</v>
      </c>
      <c r="T59" s="6252" t="s">
        <v>1233</v>
      </c>
      <c r="U59" s="6252"/>
      <c r="V59" s="6252"/>
      <c r="W59" s="3142" t="s">
        <v>1025</v>
      </c>
      <c r="X59" s="3140"/>
      <c r="Y59" s="3142" t="s">
        <v>1025</v>
      </c>
      <c r="Z59" s="6253" t="s">
        <v>1246</v>
      </c>
      <c r="AA59" s="6253"/>
      <c r="AB59" s="6253"/>
      <c r="AC59" s="3142" t="s">
        <v>1025</v>
      </c>
      <c r="AD59" s="3140"/>
      <c r="AE59" s="3140"/>
      <c r="AF59" s="3142" t="s">
        <v>1025</v>
      </c>
      <c r="AG59" s="3158" t="s">
        <v>8</v>
      </c>
      <c r="AH59" s="3126"/>
      <c r="AI59" s="283" cm="1">
        <f t="array" ref="AI59">SUM(COUNTIFS($C59:$AG59,{"0","4","5","6","7","8","9"}))</f>
        <v>0</v>
      </c>
      <c r="AJ59" s="283" cm="1">
        <f t="array" ref="AJ59">SUM(COUNTIFS($C59:$AG59,{"0","4","5","6","7","8","9"},$C$4:$AG$4,"0"))</f>
        <v>0</v>
      </c>
      <c r="AK59" s="283" cm="1">
        <f t="array" ref="AK59">SUM(COUNTIFS($C59:$AG59,{"0","4","5","6","7","8","9"},$C$4:$AG$4,"1"))</f>
        <v>0</v>
      </c>
      <c r="AL59" s="283" cm="1">
        <f t="array" ref="AL59">SUM(COUNTIFS($C59:$AG59,{"0","4","5","6","7","8","9"},$C$4:$AG$4,"2"))</f>
        <v>0</v>
      </c>
      <c r="AM59" s="283" cm="1">
        <f t="array" ref="AM59">SUM(COUNTIFS($C59:$AG59,{"0","4","5","6","7","8","9"},$C$4:$AG$4,"3"))</f>
        <v>0</v>
      </c>
      <c r="AN59" s="283" cm="1">
        <f t="array" ref="AN59">SUM(COUNTIFS($C59:$AG59,{"1","2","3"}))</f>
        <v>0</v>
      </c>
      <c r="AO59" s="283" cm="1">
        <f t="array" ref="AO59">SUM(COUNTIFS($C59:$AG59,{"4","5","6"}))</f>
        <v>0</v>
      </c>
      <c r="AP59" s="283">
        <f>AJ59*'Spreadsheet Key'!$A$23 + AK59*'Spreadsheet Key'!$A$24 + AL59*'Spreadsheet Key'!$A$25 + AM59*'Spreadsheet Key'!$A$26</f>
        <v>0</v>
      </c>
      <c r="AQ59" s="283" t="e">
        <f>AI59/(#REF!)</f>
        <v>#REF!</v>
      </c>
      <c r="AR59" s="283">
        <v>10</v>
      </c>
      <c r="AT59" s="283">
        <f t="shared" si="6"/>
        <v>0</v>
      </c>
      <c r="AU59" s="283">
        <f t="shared" si="7"/>
        <v>0</v>
      </c>
      <c r="AV59" s="283">
        <f t="shared" si="8"/>
        <v>0</v>
      </c>
      <c r="AW59" s="283" cm="1">
        <f t="array" ref="AW59">COUNTIFS($C59:$AG59,"9",$C$4:$AG$4,"1")+SUM(COUNTIFS($C59:$AG59,{"8","9"},$C$4:$AG$4,"2"))+COUNTIFS($C59:$AG59,"8",$C$4:$AG$4,"3")</f>
        <v>0</v>
      </c>
      <c r="AX59" s="283">
        <f t="shared" si="9"/>
        <v>0</v>
      </c>
      <c r="AY59" s="283">
        <f t="shared" ref="AY59:AY62" si="11">SUM(AT59:AX59)</f>
        <v>0</v>
      </c>
      <c r="AZ59" s="283">
        <f>AT59*'Spreadsheet Key'!$A$27+AU59*'Spreadsheet Key'!$A$28+AV59*'Spreadsheet Key'!$A$29+AW59*'Spreadsheet Key'!$A$30+AX59*'Spreadsheet Key'!$A$31</f>
        <v>0</v>
      </c>
    </row>
    <row r="60" spans="1:54" s="3139" customFormat="1">
      <c r="A60" s="3584" t="s">
        <v>283</v>
      </c>
      <c r="B60" s="3584" t="s">
        <v>1036</v>
      </c>
      <c r="C60" s="2659">
        <v>0</v>
      </c>
      <c r="D60" s="2659">
        <v>0</v>
      </c>
      <c r="E60" s="2659">
        <v>7</v>
      </c>
      <c r="F60" s="2659">
        <v>7</v>
      </c>
      <c r="G60" s="2659">
        <v>7</v>
      </c>
      <c r="H60" s="2659">
        <v>7</v>
      </c>
      <c r="I60" s="2659">
        <v>7</v>
      </c>
      <c r="J60" s="2659">
        <v>0</v>
      </c>
      <c r="K60" s="2659">
        <v>0</v>
      </c>
      <c r="L60" s="2659">
        <v>0</v>
      </c>
      <c r="M60" s="2659">
        <v>7</v>
      </c>
      <c r="N60" s="2659">
        <v>8</v>
      </c>
      <c r="O60" s="2659">
        <v>0</v>
      </c>
      <c r="P60" s="2659">
        <v>0</v>
      </c>
      <c r="Q60" s="2659">
        <v>0</v>
      </c>
      <c r="R60" s="2659">
        <v>0</v>
      </c>
      <c r="S60" s="2659">
        <v>1</v>
      </c>
      <c r="T60" s="2659">
        <v>2</v>
      </c>
      <c r="U60" s="2659">
        <v>2</v>
      </c>
      <c r="V60" s="2659">
        <v>2</v>
      </c>
      <c r="W60" s="2659">
        <v>3</v>
      </c>
      <c r="X60" s="2659">
        <v>0</v>
      </c>
      <c r="Y60" s="2659">
        <v>1</v>
      </c>
      <c r="Z60" s="2659">
        <v>2</v>
      </c>
      <c r="AA60" s="2659">
        <v>2</v>
      </c>
      <c r="AB60" s="2659">
        <v>2</v>
      </c>
      <c r="AC60" s="2659">
        <v>3</v>
      </c>
      <c r="AD60" s="2659">
        <v>0</v>
      </c>
      <c r="AE60" s="2659">
        <v>0</v>
      </c>
      <c r="AF60" s="2659">
        <v>1</v>
      </c>
      <c r="AG60" s="2659">
        <v>2</v>
      </c>
      <c r="AH60" s="3126"/>
      <c r="AI60" s="283" cm="1">
        <f t="array" ref="AI60">SUM(COUNTIFS($C60:$AG60,{"0","4","5","6","7","8","9"}))</f>
        <v>19</v>
      </c>
      <c r="AJ60" s="283" cm="1">
        <f t="array" ref="AJ60">SUM(COUNTIFS($C60:$AG60,{"0","4","5","6","7","8","9"},$C$4:$AG$4,"0"))</f>
        <v>8</v>
      </c>
      <c r="AK60" s="283" cm="1">
        <f t="array" ref="AK60">SUM(COUNTIFS($C60:$AG60,{"0","4","5","6","7","8","9"},$C$4:$AG$4,"1"))</f>
        <v>3</v>
      </c>
      <c r="AL60" s="283" cm="1">
        <f t="array" ref="AL60">SUM(COUNTIFS($C60:$AG60,{"0","4","5","6","7","8","9"},$C$4:$AG$4,"2"))</f>
        <v>5</v>
      </c>
      <c r="AM60" s="283" cm="1">
        <f t="array" ref="AM60">SUM(COUNTIFS($C60:$AG60,{"0","4","5","6","7","8","9"},$C$4:$AG$4,"3"))</f>
        <v>3</v>
      </c>
      <c r="AN60" s="283" cm="1">
        <f t="array" ref="AN60">SUM(COUNTIFS($C60:$AG60,{"1","2","3"}))</f>
        <v>12</v>
      </c>
      <c r="AO60" s="283" cm="1">
        <f t="array" ref="AO60">SUM(COUNTIFS($C60:$AG60,{"4","5","6"}))</f>
        <v>0</v>
      </c>
      <c r="AP60" s="283">
        <f>AJ60*'Spreadsheet Key'!$A$23 + AK60*'Spreadsheet Key'!$A$24 + AL60*'Spreadsheet Key'!$A$25 + AM60*'Spreadsheet Key'!$A$26</f>
        <v>866</v>
      </c>
      <c r="AQ60" s="283">
        <v>0</v>
      </c>
      <c r="AR60" s="283">
        <v>0</v>
      </c>
      <c r="AS60" s="283"/>
      <c r="AT60" s="283">
        <f t="shared" si="6"/>
        <v>1</v>
      </c>
      <c r="AU60" s="283">
        <f t="shared" si="7"/>
        <v>0</v>
      </c>
      <c r="AV60" s="283">
        <f t="shared" si="8"/>
        <v>0</v>
      </c>
      <c r="AW60" s="283" cm="1">
        <f t="array" ref="AW60">COUNTIFS($C60:$AG60,"9",$C$4:$AG$4,"1")+SUM(COUNTIFS($C60:$AG60,{"8","9"},$C$4:$AG$4,"2"))+COUNTIFS($C60:$AG60,"8",$C$4:$AG$4,"3")</f>
        <v>0</v>
      </c>
      <c r="AX60" s="283">
        <f t="shared" si="9"/>
        <v>0</v>
      </c>
      <c r="AY60" s="283">
        <f t="shared" si="11"/>
        <v>1</v>
      </c>
      <c r="AZ60" s="283">
        <f>AT60*'Spreadsheet Key'!$A$27+AU60*'Spreadsheet Key'!$A$28+AV60*'Spreadsheet Key'!$A$29+AW60*'Spreadsheet Key'!$A$30+AX60*'Spreadsheet Key'!$A$31</f>
        <v>10</v>
      </c>
      <c r="BA60" s="283"/>
      <c r="BB60" s="283">
        <f>AR60-AZ60</f>
        <v>-10</v>
      </c>
    </row>
    <row r="61" spans="1:54" s="3139" customFormat="1" ht="15.75">
      <c r="A61" s="56"/>
      <c r="B61" s="56"/>
      <c r="C61" s="3678" t="s">
        <v>1025</v>
      </c>
      <c r="D61" s="779"/>
      <c r="E61" s="6190" t="s">
        <v>1234</v>
      </c>
      <c r="F61" s="6190"/>
      <c r="G61" s="6190"/>
      <c r="H61" s="6190"/>
      <c r="I61" s="6190"/>
      <c r="J61" s="779"/>
      <c r="K61" s="779"/>
      <c r="L61" s="3010" t="s">
        <v>1025</v>
      </c>
      <c r="M61" s="4850" t="s">
        <v>1243</v>
      </c>
      <c r="N61" s="4850"/>
      <c r="O61" s="3010" t="s">
        <v>1025</v>
      </c>
      <c r="P61" s="2"/>
      <c r="Q61" s="779"/>
      <c r="R61" s="779"/>
      <c r="S61" s="2434" t="s">
        <v>720</v>
      </c>
      <c r="T61" s="779"/>
      <c r="U61" s="779"/>
      <c r="V61" s="779"/>
      <c r="W61" s="779"/>
      <c r="X61" s="779"/>
      <c r="Y61" s="779"/>
      <c r="Z61" s="779"/>
      <c r="AA61" s="779"/>
      <c r="AB61" s="2434" t="s">
        <v>720</v>
      </c>
      <c r="AC61" s="779"/>
      <c r="AD61" s="779"/>
      <c r="AE61" s="779"/>
      <c r="AF61" s="779"/>
      <c r="AG61" s="3010" t="s">
        <v>1025</v>
      </c>
      <c r="AH61" s="3126"/>
      <c r="AI61" s="283" cm="1">
        <f t="array" ref="AI61">SUM(COUNTIFS($C61:$AG61,{"0","4","5","6","7","8","9"}))</f>
        <v>0</v>
      </c>
      <c r="AJ61" s="283" cm="1">
        <f t="array" ref="AJ61">SUM(COUNTIFS($C61:$AG61,{"0","4","5","6","7","8","9"},$C$4:$AG$4,"0"))</f>
        <v>0</v>
      </c>
      <c r="AK61" s="283" cm="1">
        <f t="array" ref="AK61">SUM(COUNTIFS($C61:$AG61,{"0","4","5","6","7","8","9"},$C$4:$AG$4,"1"))</f>
        <v>0</v>
      </c>
      <c r="AL61" s="283" cm="1">
        <f t="array" ref="AL61">SUM(COUNTIFS($C61:$AG61,{"0","4","5","6","7","8","9"},$C$4:$AG$4,"2"))</f>
        <v>0</v>
      </c>
      <c r="AM61" s="283" cm="1">
        <f t="array" ref="AM61">SUM(COUNTIFS($C61:$AG61,{"0","4","5","6","7","8","9"},$C$4:$AG$4,"3"))</f>
        <v>0</v>
      </c>
      <c r="AN61" s="283" cm="1">
        <f t="array" ref="AN61">SUM(COUNTIFS($C61:$AG61,{"1","2","3"}))</f>
        <v>0</v>
      </c>
      <c r="AO61" s="283" cm="1">
        <f t="array" ref="AO61">SUM(COUNTIFS($C61:$AG61,{"4","5","6"}))</f>
        <v>0</v>
      </c>
      <c r="AP61" s="283">
        <f>AJ61*'Spreadsheet Key'!$A$23 + AK61*'Spreadsheet Key'!$A$24 + AL61*'Spreadsheet Key'!$A$25 + AM61*'Spreadsheet Key'!$A$26</f>
        <v>0</v>
      </c>
      <c r="AQ61" s="283" t="e">
        <f>AI61/(#REF!)</f>
        <v>#REF!</v>
      </c>
      <c r="AR61" s="283">
        <v>20</v>
      </c>
      <c r="AS61" s="283"/>
      <c r="AT61" s="283">
        <f t="shared" si="6"/>
        <v>0</v>
      </c>
      <c r="AU61" s="283">
        <f t="shared" si="7"/>
        <v>0</v>
      </c>
      <c r="AV61" s="283">
        <f t="shared" si="8"/>
        <v>0</v>
      </c>
      <c r="AW61" s="283" cm="1">
        <f t="array" ref="AW61">COUNTIFS($C61:$AG61,"9",$C$4:$AG$4,"1")+SUM(COUNTIFS($C61:$AG61,{"8","9"},$C$4:$AG$4,"2"))+COUNTIFS($C61:$AG61,"8",$C$4:$AG$4,"3")</f>
        <v>0</v>
      </c>
      <c r="AX61" s="283">
        <f t="shared" si="9"/>
        <v>0</v>
      </c>
      <c r="AY61" s="283">
        <f t="shared" si="11"/>
        <v>0</v>
      </c>
      <c r="AZ61" s="283">
        <f>AT61*'Spreadsheet Key'!$A$27+AU61*'Spreadsheet Key'!$A$28+AV61*'Spreadsheet Key'!$A$29+AW61*'Spreadsheet Key'!$A$30+AX61*'Spreadsheet Key'!$A$31</f>
        <v>0</v>
      </c>
      <c r="BA61" s="283"/>
      <c r="BB61" s="283"/>
    </row>
    <row r="62" spans="1:54" s="3139" customFormat="1">
      <c r="A62" s="56" t="s">
        <v>283</v>
      </c>
      <c r="B62" s="56" t="s">
        <v>1005</v>
      </c>
      <c r="C62" s="2659">
        <v>3</v>
      </c>
      <c r="D62" s="2659">
        <v>0</v>
      </c>
      <c r="E62" s="2659">
        <v>7</v>
      </c>
      <c r="F62" s="2659">
        <v>7</v>
      </c>
      <c r="G62" s="2659">
        <v>7</v>
      </c>
      <c r="H62" s="2659">
        <v>7</v>
      </c>
      <c r="I62" s="2659">
        <v>7</v>
      </c>
      <c r="J62" s="2659">
        <v>0</v>
      </c>
      <c r="K62" s="2659">
        <v>0</v>
      </c>
      <c r="L62" s="2659">
        <v>1</v>
      </c>
      <c r="M62" s="2659">
        <v>2</v>
      </c>
      <c r="N62" s="2659">
        <v>2</v>
      </c>
      <c r="O62" s="2659">
        <v>3</v>
      </c>
      <c r="P62" s="2659">
        <v>0</v>
      </c>
      <c r="Q62" s="2659">
        <v>0</v>
      </c>
      <c r="R62" s="2659">
        <v>0</v>
      </c>
      <c r="S62" s="2659">
        <v>8</v>
      </c>
      <c r="T62" s="2659">
        <v>0</v>
      </c>
      <c r="U62" s="2659">
        <v>0</v>
      </c>
      <c r="V62" s="2659">
        <v>0</v>
      </c>
      <c r="W62" s="2659">
        <v>0</v>
      </c>
      <c r="X62" s="2659">
        <v>0</v>
      </c>
      <c r="Y62" s="2659">
        <v>0</v>
      </c>
      <c r="Z62" s="2659">
        <v>0</v>
      </c>
      <c r="AA62" s="2659">
        <v>0</v>
      </c>
      <c r="AB62" s="2659">
        <v>8</v>
      </c>
      <c r="AC62" s="2659">
        <v>0</v>
      </c>
      <c r="AD62" s="2659">
        <v>0</v>
      </c>
      <c r="AE62" s="2659">
        <v>0</v>
      </c>
      <c r="AF62" s="2659">
        <v>0</v>
      </c>
      <c r="AG62" s="2659">
        <v>1</v>
      </c>
      <c r="AH62" s="3126"/>
      <c r="AI62" s="283" cm="1">
        <f t="array" ref="AI62">SUM(COUNTIFS($C62:$AG62,{"0","4","5","6","7","8","9"}))</f>
        <v>25</v>
      </c>
      <c r="AJ62" s="283" cm="1">
        <f t="array" ref="AJ62">SUM(COUNTIFS($C62:$AG62,{"0","4","5","6","7","8","9"},$C$4:$AG$4,"0"))</f>
        <v>12</v>
      </c>
      <c r="AK62" s="283" cm="1">
        <f t="array" ref="AK62">SUM(COUNTIFS($C62:$AG62,{"0","4","5","6","7","8","9"},$C$4:$AG$4,"1"))</f>
        <v>4</v>
      </c>
      <c r="AL62" s="283" cm="1">
        <f t="array" ref="AL62">SUM(COUNTIFS($C62:$AG62,{"0","4","5","6","7","8","9"},$C$4:$AG$4,"2"))</f>
        <v>4</v>
      </c>
      <c r="AM62" s="283" cm="1">
        <f t="array" ref="AM62">SUM(COUNTIFS($C62:$AG62,{"0","4","5","6","7","8","9"},$C$4:$AG$4,"3"))</f>
        <v>5</v>
      </c>
      <c r="AN62" s="283" cm="1">
        <f t="array" ref="AN62">SUM(COUNTIFS($C62:$AG62,{"1","2","3"}))</f>
        <v>6</v>
      </c>
      <c r="AO62" s="283" cm="1">
        <f t="array" ref="AO62">SUM(COUNTIFS($C62:$AG62,{"4","5","6"}))</f>
        <v>0</v>
      </c>
      <c r="AP62" s="283">
        <f>AJ62*'Spreadsheet Key'!$A$23 + AK62*'Spreadsheet Key'!$A$24 + AL62*'Spreadsheet Key'!$A$25 + AM62*'Spreadsheet Key'!$A$26</f>
        <v>1048</v>
      </c>
      <c r="AQ62" s="283">
        <v>0</v>
      </c>
      <c r="AR62" s="283" t="e">
        <f>AQ62*#REF!</f>
        <v>#REF!</v>
      </c>
      <c r="AS62" s="283"/>
      <c r="AT62" s="283">
        <f t="shared" si="6"/>
        <v>2</v>
      </c>
      <c r="AU62" s="283">
        <f t="shared" si="7"/>
        <v>0</v>
      </c>
      <c r="AV62" s="283">
        <f t="shared" si="8"/>
        <v>0</v>
      </c>
      <c r="AW62" s="283" cm="1">
        <f t="array" ref="AW62">COUNTIFS($C62:$AG62,"9",$C$4:$AG$4,"1")+SUM(COUNTIFS($C62:$AG62,{"8","9"},$C$4:$AG$4,"2"))+COUNTIFS($C62:$AG62,"8",$C$4:$AG$4,"3")</f>
        <v>0</v>
      </c>
      <c r="AX62" s="283">
        <f t="shared" si="9"/>
        <v>0</v>
      </c>
      <c r="AY62" s="283">
        <f t="shared" si="11"/>
        <v>2</v>
      </c>
      <c r="AZ62" s="283">
        <f>AT62*'Spreadsheet Key'!$A$27+AU62*'Spreadsheet Key'!$A$28+AV62*'Spreadsheet Key'!$A$29+AW62*'Spreadsheet Key'!$A$30+AX62*'Spreadsheet Key'!$A$31</f>
        <v>20</v>
      </c>
      <c r="BA62" s="283"/>
      <c r="BB62" s="283" t="e">
        <f>AR62-AZ62</f>
        <v>#REF!</v>
      </c>
    </row>
    <row r="63" spans="1:54">
      <c r="AR63" s="283" t="e">
        <f>SUM(AR6:AR58)</f>
        <v>#REF!</v>
      </c>
      <c r="AT63" s="283">
        <f t="shared" ref="AT63:AX63" si="12">SUM(AT6:AT62)</f>
        <v>23</v>
      </c>
      <c r="AU63" s="283">
        <f t="shared" si="12"/>
        <v>18</v>
      </c>
      <c r="AV63" s="283">
        <f t="shared" si="12"/>
        <v>4</v>
      </c>
      <c r="AW63" s="283">
        <f t="shared" si="12"/>
        <v>22</v>
      </c>
      <c r="AX63" s="283">
        <f t="shared" si="12"/>
        <v>5</v>
      </c>
      <c r="AY63" s="283">
        <f>SUM(AY6:AY62)</f>
        <v>72</v>
      </c>
      <c r="AZ63" s="283">
        <f>SUM(AZ6:AZ62)</f>
        <v>1410</v>
      </c>
    </row>
    <row r="64" spans="1:54">
      <c r="BB64" s="283" t="e">
        <f>STDEV(BB6:BB54)</f>
        <v>#REF!</v>
      </c>
    </row>
    <row r="65" spans="1:44">
      <c r="A65" t="s">
        <v>1151</v>
      </c>
      <c r="C65">
        <f>COUNTIF(C5:AG62,"D")</f>
        <v>39</v>
      </c>
      <c r="AR65" s="283" t="s">
        <v>1222</v>
      </c>
    </row>
    <row r="66" spans="1:44">
      <c r="A66" t="s">
        <v>1152</v>
      </c>
      <c r="C66">
        <f>COUNTIF(C5:AG62,"8")</f>
        <v>39</v>
      </c>
    </row>
    <row r="67" spans="1:44">
      <c r="A67" t="s">
        <v>1153</v>
      </c>
      <c r="C67">
        <f>COUNTIF(C5:AG62,"N")</f>
        <v>33</v>
      </c>
    </row>
    <row r="68" spans="1:44">
      <c r="A68" t="s">
        <v>1154</v>
      </c>
      <c r="C68">
        <f>COUNTIF(C5:AG62,"9")</f>
        <v>33</v>
      </c>
    </row>
  </sheetData>
  <mergeCells count="50">
    <mergeCell ref="AI1:BF1"/>
    <mergeCell ref="E11:I11"/>
    <mergeCell ref="E15:I15"/>
    <mergeCell ref="S11:U11"/>
    <mergeCell ref="AI3:AR3"/>
    <mergeCell ref="AT3:AZ3"/>
    <mergeCell ref="E7:I7"/>
    <mergeCell ref="Z7:AD7"/>
    <mergeCell ref="Z5:AD5"/>
    <mergeCell ref="E9:I9"/>
    <mergeCell ref="AE9:AF9"/>
    <mergeCell ref="O7:R7"/>
    <mergeCell ref="E5:I5"/>
    <mergeCell ref="AE13:AF13"/>
    <mergeCell ref="AE37:AG37"/>
    <mergeCell ref="E13:I13"/>
    <mergeCell ref="M13:N13"/>
    <mergeCell ref="T49:V49"/>
    <mergeCell ref="S53:W53"/>
    <mergeCell ref="T41:V41"/>
    <mergeCell ref="AE41:AF41"/>
    <mergeCell ref="S47:W47"/>
    <mergeCell ref="E39:I39"/>
    <mergeCell ref="E37:I37"/>
    <mergeCell ref="T37:V37"/>
    <mergeCell ref="AE29:AF29"/>
    <mergeCell ref="AE31:AF31"/>
    <mergeCell ref="G33:Z33"/>
    <mergeCell ref="E35:I35"/>
    <mergeCell ref="W35:AG35"/>
    <mergeCell ref="A1:B1"/>
    <mergeCell ref="C1:AG1"/>
    <mergeCell ref="A2:B2"/>
    <mergeCell ref="A3:B3"/>
    <mergeCell ref="A4:B4"/>
    <mergeCell ref="E61:I61"/>
    <mergeCell ref="M61:N61"/>
    <mergeCell ref="E59:I59"/>
    <mergeCell ref="T59:V59"/>
    <mergeCell ref="Z59:AB59"/>
    <mergeCell ref="AE57:AF57"/>
    <mergeCell ref="Y51:AB51"/>
    <mergeCell ref="M49:N49"/>
    <mergeCell ref="E55:I55"/>
    <mergeCell ref="E49:I49"/>
    <mergeCell ref="Z37:AD37"/>
    <mergeCell ref="C27:F27"/>
    <mergeCell ref="C19:L19"/>
    <mergeCell ref="T39:V39"/>
    <mergeCell ref="E57:I57"/>
  </mergeCells>
  <conditionalFormatting sqref="BB1:B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fitToHeight="0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DA982-0863-4B8B-AA79-F41E65D3E002}">
  <sheetPr>
    <pageSetUpPr fitToPage="1"/>
  </sheetPr>
  <dimension ref="A1:BH68"/>
  <sheetViews>
    <sheetView zoomScale="80" zoomScaleNormal="80" workbookViewId="0">
      <pane xSplit="2" topLeftCell="C32" activePane="topRight" state="frozen"/>
      <selection pane="topRight" activeCell="AA17" sqref="AA17"/>
    </sheetView>
  </sheetViews>
  <sheetFormatPr defaultRowHeight="15"/>
  <cols>
    <col min="2" max="2" width="13.5703125" bestFit="1" customWidth="1"/>
    <col min="3" max="33" width="9.140625" bestFit="1" customWidth="1"/>
    <col min="34" max="34" width="9.140625" style="368" bestFit="1" customWidth="1"/>
    <col min="35" max="35" width="9.140625" style="368" customWidth="1"/>
    <col min="36" max="36" width="12.7109375" style="283" bestFit="1" customWidth="1"/>
    <col min="37" max="37" width="19.28515625" style="283" customWidth="1"/>
    <col min="38" max="38" width="17.5703125" style="283" customWidth="1"/>
    <col min="39" max="39" width="20.28515625" style="283" customWidth="1"/>
    <col min="40" max="40" width="11.7109375" style="283" customWidth="1"/>
    <col min="41" max="41" width="17.7109375" style="283" bestFit="1" customWidth="1"/>
    <col min="42" max="42" width="20.85546875" style="283" bestFit="1" customWidth="1"/>
    <col min="43" max="43" width="12.28515625" style="283" bestFit="1" customWidth="1"/>
    <col min="44" max="45" width="19.85546875" style="283" customWidth="1"/>
    <col min="46" max="46" width="15.42578125" style="283" bestFit="1" customWidth="1"/>
    <col min="47" max="47" width="9.140625" style="283" bestFit="1" customWidth="1"/>
    <col min="48" max="48" width="12.5703125" style="283" customWidth="1"/>
    <col min="49" max="55" width="9.140625" style="283" bestFit="1" customWidth="1"/>
    <col min="56" max="16384" width="9.140625" style="283"/>
  </cols>
  <sheetData>
    <row r="1" spans="1:60">
      <c r="A1" s="6205"/>
      <c r="B1" s="6205"/>
      <c r="C1" s="6147" t="s">
        <v>1229</v>
      </c>
      <c r="D1" s="6147"/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7"/>
      <c r="AF1" s="6147"/>
      <c r="AG1" s="6148"/>
      <c r="AH1" s="3126"/>
      <c r="AJ1" s="6143" t="s">
        <v>1113</v>
      </c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  <c r="BG1" s="6143"/>
      <c r="BH1" s="6143"/>
    </row>
    <row r="2" spans="1:60">
      <c r="A2" s="4304"/>
      <c r="B2" s="4304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3588">
        <v>28</v>
      </c>
      <c r="AE2" s="3588">
        <v>29</v>
      </c>
      <c r="AF2" s="3588">
        <v>30</v>
      </c>
      <c r="AG2" s="3694">
        <v>31</v>
      </c>
      <c r="AH2" s="3126"/>
    </row>
    <row r="3" spans="1:60">
      <c r="A3" s="6222"/>
      <c r="B3" s="6222"/>
      <c r="C3" s="19" t="s">
        <v>36</v>
      </c>
      <c r="D3" s="19" t="s">
        <v>36</v>
      </c>
      <c r="E3" s="3703" t="s">
        <v>37</v>
      </c>
      <c r="F3" s="2948" t="s">
        <v>33</v>
      </c>
      <c r="G3" s="2948" t="s">
        <v>34</v>
      </c>
      <c r="H3" s="3703" t="s">
        <v>33</v>
      </c>
      <c r="I3" s="3703" t="s">
        <v>35</v>
      </c>
      <c r="J3" s="19" t="s">
        <v>36</v>
      </c>
      <c r="K3" s="19" t="s">
        <v>36</v>
      </c>
      <c r="L3" s="3703" t="s">
        <v>37</v>
      </c>
      <c r="M3" s="2948" t="s">
        <v>33</v>
      </c>
      <c r="N3" s="2948" t="s">
        <v>34</v>
      </c>
      <c r="O3" s="3703" t="s">
        <v>33</v>
      </c>
      <c r="P3" s="2948" t="s">
        <v>35</v>
      </c>
      <c r="Q3" s="2946" t="s">
        <v>36</v>
      </c>
      <c r="R3" s="2946" t="s">
        <v>36</v>
      </c>
      <c r="S3" s="2948" t="s">
        <v>37</v>
      </c>
      <c r="T3" s="2948" t="s">
        <v>33</v>
      </c>
      <c r="U3" s="2948" t="s">
        <v>34</v>
      </c>
      <c r="V3" s="3703" t="s">
        <v>33</v>
      </c>
      <c r="W3" s="3703" t="s">
        <v>35</v>
      </c>
      <c r="X3" s="19" t="s">
        <v>36</v>
      </c>
      <c r="Y3" s="19" t="s">
        <v>36</v>
      </c>
      <c r="Z3" s="3703" t="s">
        <v>37</v>
      </c>
      <c r="AA3" s="2948" t="s">
        <v>33</v>
      </c>
      <c r="AB3" s="2948" t="s">
        <v>34</v>
      </c>
      <c r="AC3" s="3703" t="s">
        <v>33</v>
      </c>
      <c r="AD3" s="3703" t="s">
        <v>35</v>
      </c>
      <c r="AE3" s="19" t="s">
        <v>36</v>
      </c>
      <c r="AF3" s="19" t="s">
        <v>36</v>
      </c>
      <c r="AG3" s="40" t="s">
        <v>37</v>
      </c>
      <c r="AH3" s="3126"/>
      <c r="AJ3" s="6146" t="s">
        <v>1115</v>
      </c>
      <c r="AK3" s="6146"/>
      <c r="AL3" s="6146"/>
      <c r="AM3" s="6146"/>
      <c r="AN3" s="6146"/>
      <c r="AO3" s="6146"/>
      <c r="AP3" s="6146"/>
      <c r="AQ3" s="6146"/>
      <c r="AR3" s="6146"/>
      <c r="AS3" s="6146"/>
      <c r="AT3" s="6146"/>
      <c r="AV3" s="6146" t="s">
        <v>1116</v>
      </c>
      <c r="AW3" s="6146"/>
      <c r="AX3" s="6146"/>
      <c r="AY3" s="6146"/>
      <c r="AZ3" s="6146"/>
      <c r="BA3" s="6146"/>
      <c r="BB3" s="6146"/>
      <c r="BD3" s="283" t="s">
        <v>1135</v>
      </c>
    </row>
    <row r="4" spans="1:60">
      <c r="A4" s="6220" t="s">
        <v>1117</v>
      </c>
      <c r="B4" s="6220"/>
      <c r="C4" s="3155">
        <v>2</v>
      </c>
      <c r="D4" s="3155">
        <v>3</v>
      </c>
      <c r="E4" s="3155">
        <v>0</v>
      </c>
      <c r="F4" s="3155">
        <v>0</v>
      </c>
      <c r="G4" s="3155">
        <v>0</v>
      </c>
      <c r="H4" s="3155">
        <v>0</v>
      </c>
      <c r="I4" s="3155">
        <v>1</v>
      </c>
      <c r="J4" s="3155">
        <v>2</v>
      </c>
      <c r="K4" s="3155">
        <v>3</v>
      </c>
      <c r="L4" s="3155">
        <v>0</v>
      </c>
      <c r="M4" s="3155">
        <v>0</v>
      </c>
      <c r="N4" s="3155">
        <v>0</v>
      </c>
      <c r="O4" s="3155">
        <v>0</v>
      </c>
      <c r="P4" s="3155">
        <v>1</v>
      </c>
      <c r="Q4" s="3155">
        <v>2</v>
      </c>
      <c r="R4" s="3155">
        <v>3</v>
      </c>
      <c r="S4" s="3155">
        <v>0</v>
      </c>
      <c r="T4" s="3155">
        <v>0</v>
      </c>
      <c r="U4" s="3155">
        <v>0</v>
      </c>
      <c r="V4" s="3155">
        <v>0</v>
      </c>
      <c r="W4" s="3155">
        <v>1</v>
      </c>
      <c r="X4" s="3155">
        <v>2</v>
      </c>
      <c r="Y4" s="3155">
        <v>3</v>
      </c>
      <c r="Z4" s="3155">
        <v>0</v>
      </c>
      <c r="AA4" s="3155">
        <v>0</v>
      </c>
      <c r="AB4" s="3155">
        <v>0</v>
      </c>
      <c r="AC4" s="3155">
        <v>0</v>
      </c>
      <c r="AD4" s="3155">
        <v>1</v>
      </c>
      <c r="AE4" s="3155">
        <v>2</v>
      </c>
      <c r="AF4" s="3155">
        <v>3</v>
      </c>
      <c r="AG4" s="3155">
        <v>0</v>
      </c>
      <c r="AH4" s="3126"/>
      <c r="AI4" t="s">
        <v>1213</v>
      </c>
      <c r="AJ4" s="283" t="s">
        <v>1118</v>
      </c>
      <c r="AK4" s="283" t="s">
        <v>1119</v>
      </c>
      <c r="AL4" s="283" t="s">
        <v>1120</v>
      </c>
      <c r="AM4" s="283" t="s">
        <v>1121</v>
      </c>
      <c r="AN4" s="283" t="s">
        <v>1122</v>
      </c>
      <c r="AO4" s="283" t="s">
        <v>1123</v>
      </c>
      <c r="AP4" s="283" t="s">
        <v>1124</v>
      </c>
      <c r="AQ4" s="283" t="s">
        <v>1125</v>
      </c>
      <c r="AR4" s="283" t="s">
        <v>1126</v>
      </c>
      <c r="AS4" s="283" t="s">
        <v>1214</v>
      </c>
      <c r="AT4" s="283" t="s">
        <v>1127</v>
      </c>
      <c r="AV4" s="283" t="s">
        <v>1128</v>
      </c>
      <c r="AW4" s="283" t="s">
        <v>1129</v>
      </c>
      <c r="AX4" s="283" t="s">
        <v>1130</v>
      </c>
      <c r="AY4" s="283" t="s">
        <v>1131</v>
      </c>
      <c r="AZ4" s="283" t="s">
        <v>1132</v>
      </c>
      <c r="BA4" s="283" t="s">
        <v>1133</v>
      </c>
      <c r="BB4" s="283" t="s">
        <v>1134</v>
      </c>
    </row>
    <row r="5" spans="1:60">
      <c r="A5" s="56"/>
      <c r="B5" s="56"/>
      <c r="C5" s="537"/>
      <c r="D5" s="537"/>
      <c r="E5" s="6190" t="s">
        <v>1234</v>
      </c>
      <c r="F5" s="6190"/>
      <c r="G5" s="6190"/>
      <c r="H5" s="6190"/>
      <c r="I5" s="6190"/>
      <c r="J5" s="1459" t="s">
        <v>720</v>
      </c>
      <c r="K5" s="537"/>
      <c r="L5" s="537"/>
      <c r="M5" s="374"/>
      <c r="N5" s="374"/>
      <c r="O5" s="1459"/>
      <c r="P5" s="537"/>
      <c r="Q5" s="537"/>
      <c r="R5" s="537"/>
      <c r="S5" s="374"/>
      <c r="T5" s="374"/>
      <c r="U5" s="537"/>
      <c r="V5" s="1459" t="s">
        <v>720</v>
      </c>
      <c r="W5" s="537"/>
      <c r="X5" s="537"/>
      <c r="Y5" s="3010" t="s">
        <v>1025</v>
      </c>
      <c r="Z5" s="6190" t="s">
        <v>1237</v>
      </c>
      <c r="AA5" s="6190"/>
      <c r="AB5" s="6190"/>
      <c r="AC5" s="6190"/>
      <c r="AD5" s="6190"/>
      <c r="AE5" s="3156" t="s">
        <v>1025</v>
      </c>
      <c r="AF5" s="779"/>
      <c r="AG5" s="779"/>
      <c r="AH5" s="3126"/>
      <c r="AI5"/>
    </row>
    <row r="6" spans="1:60">
      <c r="A6" s="56" t="s">
        <v>561</v>
      </c>
      <c r="B6" s="56" t="s">
        <v>718</v>
      </c>
      <c r="C6" s="2659">
        <v>0</v>
      </c>
      <c r="D6" s="2659">
        <v>0</v>
      </c>
      <c r="E6" s="2659">
        <v>7</v>
      </c>
      <c r="F6" s="2659">
        <v>7</v>
      </c>
      <c r="G6" s="2659">
        <v>7</v>
      </c>
      <c r="H6" s="2659">
        <v>7</v>
      </c>
      <c r="I6" s="2659">
        <v>7</v>
      </c>
      <c r="J6" s="2659">
        <v>8</v>
      </c>
      <c r="K6" s="2659">
        <v>0</v>
      </c>
      <c r="L6" s="2659">
        <v>0</v>
      </c>
      <c r="M6" s="2659">
        <v>0</v>
      </c>
      <c r="N6" s="2659">
        <v>0</v>
      </c>
      <c r="O6" s="2659">
        <v>0</v>
      </c>
      <c r="P6" s="2659">
        <v>0</v>
      </c>
      <c r="Q6" s="2659">
        <v>0</v>
      </c>
      <c r="R6" s="2659">
        <v>0</v>
      </c>
      <c r="S6" s="2659">
        <v>0</v>
      </c>
      <c r="T6" s="2659">
        <v>0</v>
      </c>
      <c r="U6" s="2659">
        <v>0</v>
      </c>
      <c r="V6" s="2659">
        <v>8</v>
      </c>
      <c r="W6" s="2659">
        <v>0</v>
      </c>
      <c r="X6" s="2659">
        <v>0</v>
      </c>
      <c r="Y6" s="2659">
        <v>1</v>
      </c>
      <c r="Z6" s="2659">
        <v>2</v>
      </c>
      <c r="AA6" s="2659">
        <v>2</v>
      </c>
      <c r="AB6" s="2659">
        <v>2</v>
      </c>
      <c r="AC6" s="2659">
        <v>2</v>
      </c>
      <c r="AD6" s="2659">
        <v>2</v>
      </c>
      <c r="AE6" s="2659">
        <v>3</v>
      </c>
      <c r="AF6" s="2659">
        <v>0</v>
      </c>
      <c r="AG6" s="2659">
        <v>0</v>
      </c>
      <c r="AH6" s="3126"/>
      <c r="AI6" s="3202">
        <v>0</v>
      </c>
      <c r="AJ6" s="283" cm="1">
        <f t="array" ref="AJ6">SUM(COUNTIFS($C6:$AG6,{"0","4","5","6","7","8","9"}))</f>
        <v>24</v>
      </c>
      <c r="AK6" s="283" cm="1">
        <f t="array" ref="AK6">SUM(COUNTIFS($C6:$AG6,{"0","4","5","6","7","8","9"},$C$4:$AG$4,"0"))</f>
        <v>13</v>
      </c>
      <c r="AL6" s="283" cm="1">
        <f t="array" ref="AL6">SUM(COUNTIFS($C6:$AG6,{"0","4","5","6","7","8","9"},$C$4:$AG$4,"1"))</f>
        <v>3</v>
      </c>
      <c r="AM6" s="283" cm="1">
        <f t="array" ref="AM6">SUM(COUNTIFS($C6:$AG6,{"0","4","5","6","7","8","9"},$C$4:$AG$4,"2"))</f>
        <v>4</v>
      </c>
      <c r="AN6" s="283" cm="1">
        <f t="array" ref="AN6">SUM(COUNTIFS($C6:$AG6,{"0","4","5","6","7","8","9"},$C$4:$AG$4,"3"))</f>
        <v>4</v>
      </c>
      <c r="AO6" s="283" cm="1">
        <f t="array" ref="AO6">SUM(COUNTIFS($C6:$AG6,{"1","2","3"}))</f>
        <v>7</v>
      </c>
      <c r="AP6" s="283" cm="1">
        <f t="array" ref="AP6">SUM(COUNTIFS($C6:$AG6,{"4","5","6"}))</f>
        <v>0</v>
      </c>
      <c r="AQ6" s="283">
        <f>AK6*'Spreadsheet Key'!$A$23 + AL6*'Spreadsheet Key'!$A$24 + AM6*'Spreadsheet Key'!$A$25 + AN6*'Spreadsheet Key'!$A$26</f>
        <v>960</v>
      </c>
      <c r="AR6" s="283">
        <f>AJ6/('MAR Statistics'!$B$29)*ABS(AI6-1)</f>
        <v>3.9087947882736153E-2</v>
      </c>
      <c r="AS6">
        <f>AI6*AT6</f>
        <v>0</v>
      </c>
      <c r="AT6" s="283">
        <f>AR6*'MAR Statistics'!$C$10</f>
        <v>43.702866449511397</v>
      </c>
      <c r="AV6" s="283">
        <f>COUNTIFS($C6:$AG6,"8",$C$4:$AG$4,"0")</f>
        <v>1</v>
      </c>
      <c r="AW6" s="283">
        <f>COUNTIFS($C6:$AG6,"9",$C$4:$AG$4,"0")</f>
        <v>0</v>
      </c>
      <c r="AX6" s="283">
        <f>COUNTIFS($C6:$AG6,"8",$C$4:$AG$4,"1")</f>
        <v>0</v>
      </c>
      <c r="AY6" s="283" cm="1">
        <f t="array" ref="AY6">COUNTIFS($C6:$AG6,"9",$C$4:$AG$4,"1")+SUM(COUNTIFS($C6:$AG6,{"8","9"},$C$4:$AG$4,"2"))+COUNTIFS($C6:$AG6,"8",$C$4:$AG$4,"3")</f>
        <v>1</v>
      </c>
      <c r="AZ6" s="283">
        <f>COUNTIFS($C6:$AG6,"9",$C$4:$AG$4,"3")</f>
        <v>0</v>
      </c>
      <c r="BA6" s="283">
        <f>SUM(AV6:AZ6)</f>
        <v>2</v>
      </c>
      <c r="BB6" s="283">
        <f>AV6*'Spreadsheet Key'!$A$27+AW6*'Spreadsheet Key'!$A$28+AX6*'Spreadsheet Key'!$A$29+AY6*'Spreadsheet Key'!$A$30+AZ6*'Spreadsheet Key'!$A$31</f>
        <v>46</v>
      </c>
      <c r="BD6" s="283">
        <f>AT6-BB6</f>
        <v>-2.2971335504886028</v>
      </c>
    </row>
    <row r="7" spans="1:60">
      <c r="A7" s="56"/>
      <c r="B7" s="56"/>
      <c r="C7" s="779"/>
      <c r="D7" s="2639" t="s">
        <v>720</v>
      </c>
      <c r="E7" s="6190" t="s">
        <v>1234</v>
      </c>
      <c r="F7" s="6190"/>
      <c r="G7" s="6190"/>
      <c r="H7" s="6190"/>
      <c r="I7" s="6190"/>
      <c r="J7" s="779"/>
      <c r="K7" s="779"/>
      <c r="L7" s="779"/>
      <c r="M7" s="779"/>
      <c r="N7" s="779"/>
      <c r="O7" s="5270" t="s">
        <v>1238</v>
      </c>
      <c r="P7" s="5270"/>
      <c r="Q7" s="5270"/>
      <c r="R7" s="5270"/>
      <c r="S7" s="779"/>
      <c r="T7" s="2434" t="s">
        <v>722</v>
      </c>
      <c r="U7" s="779"/>
      <c r="V7" s="779"/>
      <c r="W7" s="779"/>
      <c r="X7" s="779"/>
      <c r="Y7" s="3010" t="s">
        <v>1025</v>
      </c>
      <c r="Z7" s="6190" t="s">
        <v>1237</v>
      </c>
      <c r="AA7" s="6190"/>
      <c r="AB7" s="6190"/>
      <c r="AC7" s="6190"/>
      <c r="AD7" s="6190"/>
      <c r="AE7" s="3010" t="s">
        <v>1025</v>
      </c>
      <c r="AF7" s="779"/>
      <c r="AG7" s="3154" t="s">
        <v>720</v>
      </c>
      <c r="AH7" s="3126"/>
      <c r="AI7" s="3202"/>
      <c r="AJ7" s="283" cm="1">
        <f t="array" ref="AJ7">SUM(COUNTIFS($C7:$AG7,{"0","4","5","6","7","8","9"}))</f>
        <v>0</v>
      </c>
      <c r="AK7" s="283" cm="1">
        <f t="array" ref="AK7">SUM(COUNTIFS($C7:$AG7,{"0","4","5","6","7","8","9"},$C$4:$AG$4,"0"))</f>
        <v>0</v>
      </c>
      <c r="AL7" s="283" cm="1">
        <f t="array" ref="AL7">SUM(COUNTIFS($C7:$AG7,{"0","4","5","6","7","8","9"},$C$4:$AG$4,"1"))</f>
        <v>0</v>
      </c>
      <c r="AM7" s="283" cm="1">
        <f t="array" ref="AM7">SUM(COUNTIFS($C7:$AG7,{"0","4","5","6","7","8","9"},$C$4:$AG$4,"2"))</f>
        <v>0</v>
      </c>
      <c r="AN7" s="283" cm="1">
        <f t="array" ref="AN7">SUM(COUNTIFS($C7:$AG7,{"0","4","5","6","7","8","9"},$C$4:$AG$4,"3"))</f>
        <v>0</v>
      </c>
      <c r="AO7" s="283" cm="1">
        <f t="array" ref="AO7">SUM(COUNTIFS($C7:$AG7,{"1","2","3"}))</f>
        <v>0</v>
      </c>
      <c r="AP7" s="283" cm="1">
        <f t="array" ref="AP7">SUM(COUNTIFS($C7:$AG7,{"4","5","6"}))</f>
        <v>0</v>
      </c>
      <c r="AQ7" s="283">
        <f>AK7*'Spreadsheet Key'!$A$23 + AL7*'Spreadsheet Key'!$A$24 + AM7*'Spreadsheet Key'!$A$25 + AN7*'Spreadsheet Key'!$A$26</f>
        <v>0</v>
      </c>
      <c r="AR7" s="283">
        <f>AJ7/('MAR Statistics'!$B$29)*ABS(AI7-1)</f>
        <v>0</v>
      </c>
      <c r="AS7">
        <f t="shared" ref="AS7:AS62" si="0">AI7*AT7</f>
        <v>0</v>
      </c>
      <c r="AT7" s="283">
        <f>AR7*'MAR Statistics'!$C$10</f>
        <v>0</v>
      </c>
      <c r="AV7" s="283">
        <f t="shared" ref="AV7:AV62" si="1">COUNTIFS($C7:$AG7,"8",$C$4:$AG$4,"0")</f>
        <v>0</v>
      </c>
      <c r="AW7" s="283">
        <f t="shared" ref="AW7:AW62" si="2">COUNTIFS($C7:$AG7,"9",$C$4:$AG$4,"0")</f>
        <v>0</v>
      </c>
      <c r="AX7" s="283">
        <f t="shared" ref="AX7:AX62" si="3">COUNTIFS($C7:$AG7,"8",$C$4:$AG$4,"1")</f>
        <v>0</v>
      </c>
      <c r="AY7" s="283" cm="1">
        <f t="array" ref="AY7">COUNTIFS($C7:$AG7,"9",$C$4:$AG$4,"1")+SUM(COUNTIFS($C7:$AG7,{"8","9"},$C$4:$AG$4,"2"))+COUNTIFS($C7:$AG7,"8",$C$4:$AG$4,"3")</f>
        <v>0</v>
      </c>
      <c r="AZ7" s="283">
        <f t="shared" ref="AZ7:AZ62" si="4">COUNTIFS($C7:$AG7,"9",$C$4:$AG$4,"3")</f>
        <v>0</v>
      </c>
      <c r="BA7" s="283">
        <f t="shared" ref="BA7:BA62" si="5">SUM(AV7:AZ7)</f>
        <v>0</v>
      </c>
      <c r="BB7" s="283">
        <f>AV7*'Spreadsheet Key'!$A$27+AW7*'Spreadsheet Key'!$A$28+AX7*'Spreadsheet Key'!$A$29+AY7*'Spreadsheet Key'!$A$30+AZ7*'Spreadsheet Key'!$A$31</f>
        <v>0</v>
      </c>
    </row>
    <row r="8" spans="1:60">
      <c r="A8" s="56" t="s">
        <v>326</v>
      </c>
      <c r="B8" s="56" t="s">
        <v>327</v>
      </c>
      <c r="C8" s="2659">
        <v>0</v>
      </c>
      <c r="D8" s="2659">
        <v>8</v>
      </c>
      <c r="E8" s="2659">
        <v>7</v>
      </c>
      <c r="F8" s="2659">
        <v>7</v>
      </c>
      <c r="G8" s="2659">
        <v>7</v>
      </c>
      <c r="H8" s="2659">
        <v>7</v>
      </c>
      <c r="I8" s="2659">
        <v>7</v>
      </c>
      <c r="J8" s="2659">
        <v>0</v>
      </c>
      <c r="K8" s="2659">
        <v>0</v>
      </c>
      <c r="L8" s="2659">
        <v>0</v>
      </c>
      <c r="M8" s="2659">
        <v>0</v>
      </c>
      <c r="N8" s="2659">
        <v>0</v>
      </c>
      <c r="O8" s="2659">
        <v>1</v>
      </c>
      <c r="P8" s="2659">
        <v>2</v>
      </c>
      <c r="Q8" s="2659">
        <v>2</v>
      </c>
      <c r="R8" s="2659">
        <v>3</v>
      </c>
      <c r="S8" s="2659">
        <v>0</v>
      </c>
      <c r="T8" s="2659">
        <v>9</v>
      </c>
      <c r="U8" s="2659">
        <v>0</v>
      </c>
      <c r="V8" s="2659">
        <v>0</v>
      </c>
      <c r="W8" s="2659">
        <v>0</v>
      </c>
      <c r="X8" s="2659">
        <v>0</v>
      </c>
      <c r="Y8" s="2659">
        <v>1</v>
      </c>
      <c r="Z8" s="2659">
        <v>2</v>
      </c>
      <c r="AA8" s="2659">
        <v>2</v>
      </c>
      <c r="AB8" s="2659">
        <v>2</v>
      </c>
      <c r="AC8" s="2659">
        <v>2</v>
      </c>
      <c r="AD8" s="2659">
        <v>2</v>
      </c>
      <c r="AE8" s="2659">
        <v>3</v>
      </c>
      <c r="AF8" s="2659">
        <v>0</v>
      </c>
      <c r="AG8" s="2659">
        <v>8</v>
      </c>
      <c r="AH8" s="3126"/>
      <c r="AI8" s="3202">
        <v>0</v>
      </c>
      <c r="AJ8" s="283" cm="1">
        <f t="array" ref="AJ8">SUM(COUNTIFS($C8:$AG8,{"0","4","5","6","7","8","9"}))</f>
        <v>20</v>
      </c>
      <c r="AK8" s="283" cm="1">
        <f t="array" ref="AK8">SUM(COUNTIFS($C8:$AG8,{"0","4","5","6","7","8","9"},$C$4:$AG$4,"0"))</f>
        <v>12</v>
      </c>
      <c r="AL8" s="283" cm="1">
        <f t="array" ref="AL8">SUM(COUNTIFS($C8:$AG8,{"0","4","5","6","7","8","9"},$C$4:$AG$4,"1"))</f>
        <v>2</v>
      </c>
      <c r="AM8" s="283" cm="1">
        <f t="array" ref="AM8">SUM(COUNTIFS($C8:$AG8,{"0","4","5","6","7","8","9"},$C$4:$AG$4,"2"))</f>
        <v>3</v>
      </c>
      <c r="AN8" s="283" cm="1">
        <f t="array" ref="AN8">SUM(COUNTIFS($C8:$AG8,{"0","4","5","6","7","8","9"},$C$4:$AG$4,"3"))</f>
        <v>3</v>
      </c>
      <c r="AO8" s="283" cm="1">
        <f t="array" ref="AO8">SUM(COUNTIFS($C8:$AG8,{"1","2","3"}))</f>
        <v>11</v>
      </c>
      <c r="AP8" s="283" cm="1">
        <f t="array" ref="AP8">SUM(COUNTIFS($C8:$AG8,{"4","5","6"}))</f>
        <v>0</v>
      </c>
      <c r="AQ8" s="283">
        <f>AK8*'Spreadsheet Key'!$A$23 + AL8*'Spreadsheet Key'!$A$24 + AM8*'Spreadsheet Key'!$A$25 + AN8*'Spreadsheet Key'!$A$26</f>
        <v>756</v>
      </c>
      <c r="AR8" s="283">
        <f>AJ8/('MAR Statistics'!$B$29)*ABS(AI8-1)</f>
        <v>3.2573289902280131E-2</v>
      </c>
      <c r="AS8">
        <f t="shared" si="0"/>
        <v>0</v>
      </c>
      <c r="AT8" s="283">
        <f>AR8*'MAR Statistics'!$C$10</f>
        <v>36.419055374592837</v>
      </c>
      <c r="AV8" s="283">
        <f t="shared" si="1"/>
        <v>1</v>
      </c>
      <c r="AW8" s="283">
        <f t="shared" si="2"/>
        <v>1</v>
      </c>
      <c r="AX8" s="283">
        <f t="shared" si="3"/>
        <v>0</v>
      </c>
      <c r="AY8" s="283" cm="1">
        <f t="array" ref="AY8">COUNTIFS($C8:$AG8,"9",$C$4:$AG$4,"1")+SUM(COUNTIFS($C8:$AG8,{"8","9"},$C$4:$AG$4,"2"))+COUNTIFS($C8:$AG8,"8",$C$4:$AG$4,"3")</f>
        <v>1</v>
      </c>
      <c r="AZ8" s="283">
        <f t="shared" si="4"/>
        <v>0</v>
      </c>
      <c r="BA8" s="283">
        <f t="shared" si="5"/>
        <v>3</v>
      </c>
      <c r="BB8" s="283">
        <f>AV8*'Spreadsheet Key'!$A$27+AW8*'Spreadsheet Key'!$A$28+AX8*'Spreadsheet Key'!$A$29+AY8*'Spreadsheet Key'!$A$30+AZ8*'Spreadsheet Key'!$A$31</f>
        <v>58</v>
      </c>
      <c r="BD8" s="283">
        <f t="shared" ref="BD8" si="6">AT8-BB8</f>
        <v>-21.580944625407163</v>
      </c>
    </row>
    <row r="9" spans="1:60">
      <c r="A9" s="56"/>
      <c r="B9" s="56"/>
      <c r="C9" s="779"/>
      <c r="D9" s="779"/>
      <c r="E9" s="6190" t="s">
        <v>1234</v>
      </c>
      <c r="F9" s="6190"/>
      <c r="G9" s="6190"/>
      <c r="H9" s="6190"/>
      <c r="I9" s="6190"/>
      <c r="J9" s="779"/>
      <c r="K9" s="779"/>
      <c r="L9" s="779"/>
      <c r="M9" s="2434" t="s">
        <v>720</v>
      </c>
      <c r="N9" s="779"/>
      <c r="O9" s="779"/>
      <c r="P9" s="779"/>
      <c r="Q9" s="779"/>
      <c r="R9" s="779"/>
      <c r="S9" s="779"/>
      <c r="T9" s="2434"/>
      <c r="U9" s="779"/>
      <c r="V9" s="779"/>
      <c r="W9" s="2434" t="s">
        <v>722</v>
      </c>
      <c r="X9" s="779"/>
      <c r="Y9" s="779"/>
      <c r="Z9" s="779"/>
      <c r="AA9" s="779"/>
      <c r="AB9" s="779"/>
      <c r="AC9" s="779"/>
      <c r="AD9" s="3010" t="s">
        <v>1025</v>
      </c>
      <c r="AE9" s="6244" t="s">
        <v>1231</v>
      </c>
      <c r="AF9" s="6244"/>
      <c r="AG9" s="3010" t="s">
        <v>1025</v>
      </c>
      <c r="AH9" s="3126"/>
      <c r="AI9" s="3202"/>
      <c r="AJ9" s="283" cm="1">
        <f t="array" ref="AJ9">SUM(COUNTIFS($C9:$AG9,{"0","4","5","6","7","8","9"}))</f>
        <v>0</v>
      </c>
      <c r="AK9" s="283" cm="1">
        <f t="array" ref="AK9">SUM(COUNTIFS($C9:$AG9,{"0","4","5","6","7","8","9"},$C$4:$AG$4,"0"))</f>
        <v>0</v>
      </c>
      <c r="AL9" s="283" cm="1">
        <f t="array" ref="AL9">SUM(COUNTIFS($C9:$AG9,{"0","4","5","6","7","8","9"},$C$4:$AG$4,"1"))</f>
        <v>0</v>
      </c>
      <c r="AM9" s="283" cm="1">
        <f t="array" ref="AM9">SUM(COUNTIFS($C9:$AG9,{"0","4","5","6","7","8","9"},$C$4:$AG$4,"2"))</f>
        <v>0</v>
      </c>
      <c r="AN9" s="283" cm="1">
        <f t="array" ref="AN9">SUM(COUNTIFS($C9:$AG9,{"0","4","5","6","7","8","9"},$C$4:$AG$4,"3"))</f>
        <v>0</v>
      </c>
      <c r="AO9" s="283" cm="1">
        <f t="array" ref="AO9">SUM(COUNTIFS($C9:$AG9,{"1","2","3"}))</f>
        <v>0</v>
      </c>
      <c r="AP9" s="283" cm="1">
        <f t="array" ref="AP9">SUM(COUNTIFS($C9:$AG9,{"4","5","6"}))</f>
        <v>0</v>
      </c>
      <c r="AQ9" s="283">
        <f>AK9*'Spreadsheet Key'!$A$23 + AL9*'Spreadsheet Key'!$A$24 + AM9*'Spreadsheet Key'!$A$25 + AN9*'Spreadsheet Key'!$A$26</f>
        <v>0</v>
      </c>
      <c r="AR9" s="283">
        <f>AJ9/('MAR Statistics'!$B$29)*ABS(AI9-1)</f>
        <v>0</v>
      </c>
      <c r="AS9">
        <f t="shared" si="0"/>
        <v>0</v>
      </c>
      <c r="AT9" s="283">
        <f>AR9*'MAR Statistics'!$C$10</f>
        <v>0</v>
      </c>
      <c r="AV9" s="283">
        <f t="shared" si="1"/>
        <v>0</v>
      </c>
      <c r="AW9" s="283">
        <f t="shared" si="2"/>
        <v>0</v>
      </c>
      <c r="AX9" s="283">
        <f t="shared" si="3"/>
        <v>0</v>
      </c>
      <c r="AY9" s="283" cm="1">
        <f t="array" ref="AY9">COUNTIFS($C9:$AG9,"9",$C$4:$AG$4,"1")+SUM(COUNTIFS($C9:$AG9,{"8","9"},$C$4:$AG$4,"2"))+COUNTIFS($C9:$AG9,"8",$C$4:$AG$4,"3")</f>
        <v>0</v>
      </c>
      <c r="AZ9" s="283">
        <f t="shared" si="4"/>
        <v>0</v>
      </c>
      <c r="BA9" s="283">
        <f t="shared" si="5"/>
        <v>0</v>
      </c>
      <c r="BB9" s="283">
        <f>AV9*'Spreadsheet Key'!$A$27+AW9*'Spreadsheet Key'!$A$28+AX9*'Spreadsheet Key'!$A$29+AY9*'Spreadsheet Key'!$A$30+AZ9*'Spreadsheet Key'!$A$31</f>
        <v>0</v>
      </c>
    </row>
    <row r="10" spans="1:60">
      <c r="A10" s="56" t="s">
        <v>606</v>
      </c>
      <c r="B10" s="56" t="s">
        <v>98</v>
      </c>
      <c r="C10" s="2659">
        <v>0</v>
      </c>
      <c r="D10" s="2659">
        <v>0</v>
      </c>
      <c r="E10" s="2659">
        <v>7</v>
      </c>
      <c r="F10" s="2659">
        <v>7</v>
      </c>
      <c r="G10" s="2659">
        <v>7</v>
      </c>
      <c r="H10" s="2659">
        <v>7</v>
      </c>
      <c r="I10" s="2659">
        <v>7</v>
      </c>
      <c r="J10" s="2659">
        <v>0</v>
      </c>
      <c r="K10" s="2659">
        <v>0</v>
      </c>
      <c r="L10" s="2659">
        <v>0</v>
      </c>
      <c r="M10" s="2659">
        <v>8</v>
      </c>
      <c r="N10" s="2659">
        <v>0</v>
      </c>
      <c r="O10" s="2659">
        <v>0</v>
      </c>
      <c r="P10" s="2659">
        <v>0</v>
      </c>
      <c r="Q10" s="2659">
        <v>0</v>
      </c>
      <c r="R10" s="2659">
        <v>0</v>
      </c>
      <c r="S10" s="2659">
        <v>0</v>
      </c>
      <c r="T10" s="2659">
        <v>0</v>
      </c>
      <c r="U10" s="2659">
        <v>0</v>
      </c>
      <c r="V10" s="2659">
        <v>0</v>
      </c>
      <c r="W10" s="2659">
        <v>9</v>
      </c>
      <c r="X10" s="2659">
        <v>0</v>
      </c>
      <c r="Y10" s="2659">
        <v>0</v>
      </c>
      <c r="Z10" s="2659">
        <v>0</v>
      </c>
      <c r="AA10" s="2659">
        <v>0</v>
      </c>
      <c r="AB10" s="2659">
        <v>0</v>
      </c>
      <c r="AC10" s="2659">
        <v>0</v>
      </c>
      <c r="AD10" s="2659">
        <v>1</v>
      </c>
      <c r="AE10" s="2659">
        <v>2</v>
      </c>
      <c r="AF10" s="2659">
        <v>2</v>
      </c>
      <c r="AG10" s="2659">
        <v>3</v>
      </c>
      <c r="AH10" s="3126"/>
      <c r="AI10" s="3202">
        <v>0</v>
      </c>
      <c r="AJ10" s="283" cm="1">
        <f t="array" ref="AJ10">SUM(COUNTIFS($C10:$AG10,{"0","4","5","6","7","8","9"}))</f>
        <v>27</v>
      </c>
      <c r="AK10" s="283" cm="1">
        <f t="array" ref="AK10">SUM(COUNTIFS($C10:$AG10,{"0","4","5","6","7","8","9"},$C$4:$AG$4,"0"))</f>
        <v>16</v>
      </c>
      <c r="AL10" s="283" cm="1">
        <f t="array" ref="AL10">SUM(COUNTIFS($C10:$AG10,{"0","4","5","6","7","8","9"},$C$4:$AG$4,"1"))</f>
        <v>3</v>
      </c>
      <c r="AM10" s="283" cm="1">
        <f t="array" ref="AM10">SUM(COUNTIFS($C10:$AG10,{"0","4","5","6","7","8","9"},$C$4:$AG$4,"2"))</f>
        <v>4</v>
      </c>
      <c r="AN10" s="283" cm="1">
        <f t="array" ref="AN10">SUM(COUNTIFS($C10:$AG10,{"0","4","5","6","7","8","9"},$C$4:$AG$4,"3"))</f>
        <v>4</v>
      </c>
      <c r="AO10" s="283" cm="1">
        <f t="array" ref="AO10">SUM(COUNTIFS($C10:$AG10,{"1","2","3"}))</f>
        <v>4</v>
      </c>
      <c r="AP10" s="283" cm="1">
        <f t="array" ref="AP10">SUM(COUNTIFS($C10:$AG10,{"4","5","6"}))</f>
        <v>0</v>
      </c>
      <c r="AQ10" s="283">
        <f>AK10*'Spreadsheet Key'!$A$23 + AL10*'Spreadsheet Key'!$A$24 + AM10*'Spreadsheet Key'!$A$25 + AN10*'Spreadsheet Key'!$A$26</f>
        <v>1026</v>
      </c>
      <c r="AR10" s="283">
        <f>AJ10/('MAR Statistics'!$B$29)*ABS(AI10-1)</f>
        <v>4.3973941368078175E-2</v>
      </c>
      <c r="AS10">
        <f t="shared" si="0"/>
        <v>0</v>
      </c>
      <c r="AT10" s="283">
        <f>AR10*'MAR Statistics'!$C$10</f>
        <v>49.165724755700325</v>
      </c>
      <c r="AV10" s="283">
        <f t="shared" si="1"/>
        <v>1</v>
      </c>
      <c r="AW10" s="283">
        <f t="shared" si="2"/>
        <v>0</v>
      </c>
      <c r="AX10" s="283">
        <f t="shared" si="3"/>
        <v>0</v>
      </c>
      <c r="AY10" s="283" cm="1">
        <f t="array" ref="AY10">COUNTIFS($C10:$AG10,"9",$C$4:$AG$4,"1")+SUM(COUNTIFS($C10:$AG10,{"8","9"},$C$4:$AG$4,"2"))+COUNTIFS($C10:$AG10,"8",$C$4:$AG$4,"3")</f>
        <v>1</v>
      </c>
      <c r="AZ10" s="283">
        <f t="shared" si="4"/>
        <v>0</v>
      </c>
      <c r="BA10" s="283">
        <f t="shared" si="5"/>
        <v>2</v>
      </c>
      <c r="BB10" s="283">
        <f>AV10*'Spreadsheet Key'!$A$27+AW10*'Spreadsheet Key'!$A$28+AX10*'Spreadsheet Key'!$A$29+AY10*'Spreadsheet Key'!$A$30+AZ10*'Spreadsheet Key'!$A$31</f>
        <v>46</v>
      </c>
      <c r="BD10" s="283">
        <f t="shared" ref="BD10" si="7">AT10-BB10</f>
        <v>3.1657247557003245</v>
      </c>
    </row>
    <row r="11" spans="1:60">
      <c r="A11" s="2389"/>
      <c r="B11" s="56"/>
      <c r="C11" s="779"/>
      <c r="D11" s="779"/>
      <c r="E11" s="6190" t="s">
        <v>1234</v>
      </c>
      <c r="F11" s="6190"/>
      <c r="G11" s="6190"/>
      <c r="H11" s="6190"/>
      <c r="I11" s="6190"/>
      <c r="J11" s="779"/>
      <c r="K11" s="2456" t="s">
        <v>720</v>
      </c>
      <c r="L11" s="2"/>
      <c r="M11" s="2949" t="s">
        <v>1235</v>
      </c>
      <c r="N11" s="779"/>
      <c r="O11" s="779"/>
      <c r="P11" s="779"/>
      <c r="Q11" s="779"/>
      <c r="R11" s="3010" t="s">
        <v>1025</v>
      </c>
      <c r="S11" s="5914" t="s">
        <v>1242</v>
      </c>
      <c r="T11" s="5914"/>
      <c r="U11" s="5914"/>
      <c r="V11" s="3010" t="s">
        <v>1025</v>
      </c>
      <c r="W11" s="2"/>
      <c r="X11" s="2894"/>
      <c r="Y11" s="2"/>
      <c r="Z11" s="779"/>
      <c r="AA11" s="779"/>
      <c r="AB11" s="2434" t="s">
        <v>722</v>
      </c>
      <c r="AC11" s="779"/>
      <c r="AD11" s="779"/>
      <c r="AE11" s="779"/>
      <c r="AF11" s="779"/>
      <c r="AG11" s="3010" t="s">
        <v>1025</v>
      </c>
      <c r="AH11" s="3126"/>
      <c r="AI11" s="3202"/>
      <c r="AJ11" s="283" cm="1">
        <f t="array" ref="AJ11">SUM(COUNTIFS($C11:$AG11,{"0","4","5","6","7","8","9"}))</f>
        <v>0</v>
      </c>
      <c r="AK11" s="283" cm="1">
        <f t="array" ref="AK11">SUM(COUNTIFS($C11:$AG11,{"0","4","5","6","7","8","9"},$C$4:$AG$4,"0"))</f>
        <v>0</v>
      </c>
      <c r="AL11" s="283" cm="1">
        <f t="array" ref="AL11">SUM(COUNTIFS($C11:$AG11,{"0","4","5","6","7","8","9"},$C$4:$AG$4,"1"))</f>
        <v>0</v>
      </c>
      <c r="AM11" s="283" cm="1">
        <f t="array" ref="AM11">SUM(COUNTIFS($C11:$AG11,{"0","4","5","6","7","8","9"},$C$4:$AG$4,"2"))</f>
        <v>0</v>
      </c>
      <c r="AN11" s="283" cm="1">
        <f t="array" ref="AN11">SUM(COUNTIFS($C11:$AG11,{"0","4","5","6","7","8","9"},$C$4:$AG$4,"3"))</f>
        <v>0</v>
      </c>
      <c r="AO11" s="283" cm="1">
        <f t="array" ref="AO11">SUM(COUNTIFS($C11:$AG11,{"1","2","3"}))</f>
        <v>0</v>
      </c>
      <c r="AP11" s="283" cm="1">
        <f t="array" ref="AP11">SUM(COUNTIFS($C11:$AG11,{"4","5","6"}))</f>
        <v>0</v>
      </c>
      <c r="AQ11" s="283">
        <f>AK11*'Spreadsheet Key'!$A$23 + AL11*'Spreadsheet Key'!$A$24 + AM11*'Spreadsheet Key'!$A$25 + AN11*'Spreadsheet Key'!$A$26</f>
        <v>0</v>
      </c>
      <c r="AR11" s="283">
        <f>AJ11/('MAR Statistics'!$B$29)*ABS(AI11-1)</f>
        <v>0</v>
      </c>
      <c r="AS11">
        <f t="shared" si="0"/>
        <v>0</v>
      </c>
      <c r="AT11" s="283">
        <f>AR11*'MAR Statistics'!$C$10</f>
        <v>0</v>
      </c>
      <c r="AV11" s="283">
        <f t="shared" si="1"/>
        <v>0</v>
      </c>
      <c r="AW11" s="283">
        <f t="shared" si="2"/>
        <v>0</v>
      </c>
      <c r="AX11" s="283">
        <f t="shared" si="3"/>
        <v>0</v>
      </c>
      <c r="AY11" s="283" cm="1">
        <f t="array" ref="AY11">COUNTIFS($C11:$AG11,"9",$C$4:$AG$4,"1")+SUM(COUNTIFS($C11:$AG11,{"8","9"},$C$4:$AG$4,"2"))+COUNTIFS($C11:$AG11,"8",$C$4:$AG$4,"3")</f>
        <v>0</v>
      </c>
      <c r="AZ11" s="283">
        <f t="shared" si="4"/>
        <v>0</v>
      </c>
      <c r="BA11" s="283">
        <f t="shared" si="5"/>
        <v>0</v>
      </c>
      <c r="BB11" s="283">
        <f>AV11*'Spreadsheet Key'!$A$27+AW11*'Spreadsheet Key'!$A$28+AX11*'Spreadsheet Key'!$A$29+AY11*'Spreadsheet Key'!$A$30+AZ11*'Spreadsheet Key'!$A$31</f>
        <v>0</v>
      </c>
    </row>
    <row r="12" spans="1:60">
      <c r="A12" s="2389" t="s">
        <v>95</v>
      </c>
      <c r="B12" s="56" t="s">
        <v>726</v>
      </c>
      <c r="C12" s="2659">
        <v>0</v>
      </c>
      <c r="D12" s="2659">
        <v>0</v>
      </c>
      <c r="E12" s="2659">
        <v>7</v>
      </c>
      <c r="F12" s="2659">
        <v>7</v>
      </c>
      <c r="G12" s="2659">
        <v>7</v>
      </c>
      <c r="H12" s="2659">
        <v>7</v>
      </c>
      <c r="I12" s="2659">
        <v>7</v>
      </c>
      <c r="J12" s="2659">
        <v>0</v>
      </c>
      <c r="K12" s="2659">
        <v>8</v>
      </c>
      <c r="L12" s="2659">
        <v>0</v>
      </c>
      <c r="M12" s="2659">
        <v>7</v>
      </c>
      <c r="N12" s="2659">
        <v>0</v>
      </c>
      <c r="O12" s="2659">
        <v>0</v>
      </c>
      <c r="P12" s="2659">
        <v>0</v>
      </c>
      <c r="Q12" s="2659">
        <v>0</v>
      </c>
      <c r="R12" s="2659">
        <v>1</v>
      </c>
      <c r="S12" s="2659">
        <v>2</v>
      </c>
      <c r="T12" s="2659">
        <v>2</v>
      </c>
      <c r="U12" s="2659">
        <v>2</v>
      </c>
      <c r="V12" s="2659">
        <v>3</v>
      </c>
      <c r="W12" s="2659">
        <v>0</v>
      </c>
      <c r="X12" s="2659">
        <v>0</v>
      </c>
      <c r="Y12" s="2659">
        <v>0</v>
      </c>
      <c r="Z12" s="2659">
        <v>0</v>
      </c>
      <c r="AA12" s="2659">
        <v>0</v>
      </c>
      <c r="AB12" s="2659">
        <v>9</v>
      </c>
      <c r="AC12" s="2659">
        <v>0</v>
      </c>
      <c r="AD12" s="2659">
        <v>0</v>
      </c>
      <c r="AE12" s="2659">
        <v>0</v>
      </c>
      <c r="AF12" s="2659">
        <v>0</v>
      </c>
      <c r="AG12" s="2659">
        <v>1</v>
      </c>
      <c r="AH12" s="3126"/>
      <c r="AI12" s="3202">
        <v>0</v>
      </c>
      <c r="AJ12" s="283" cm="1">
        <f t="array" ref="AJ12">SUM(COUNTIFS($C12:$AG12,{"0","4","5","6","7","8","9"}))</f>
        <v>25</v>
      </c>
      <c r="AK12" s="283" cm="1">
        <f t="array" ref="AK12">SUM(COUNTIFS($C12:$AG12,{"0","4","5","6","7","8","9"},$C$4:$AG$4,"0"))</f>
        <v>12</v>
      </c>
      <c r="AL12" s="283" cm="1">
        <f t="array" ref="AL12">SUM(COUNTIFS($C12:$AG12,{"0","4","5","6","7","8","9"},$C$4:$AG$4,"1"))</f>
        <v>4</v>
      </c>
      <c r="AM12" s="283" cm="1">
        <f t="array" ref="AM12">SUM(COUNTIFS($C12:$AG12,{"0","4","5","6","7","8","9"},$C$4:$AG$4,"2"))</f>
        <v>5</v>
      </c>
      <c r="AN12" s="283" cm="1">
        <f t="array" ref="AN12">SUM(COUNTIFS($C12:$AG12,{"0","4","5","6","7","8","9"},$C$4:$AG$4,"3"))</f>
        <v>4</v>
      </c>
      <c r="AO12" s="283" cm="1">
        <f t="array" ref="AO12">SUM(COUNTIFS($C12:$AG12,{"1","2","3"}))</f>
        <v>6</v>
      </c>
      <c r="AP12" s="283" cm="1">
        <f t="array" ref="AP12">SUM(COUNTIFS($C12:$AG12,{"4","5","6"}))</f>
        <v>0</v>
      </c>
      <c r="AQ12" s="283">
        <f>AK12*'Spreadsheet Key'!$A$23 + AL12*'Spreadsheet Key'!$A$24 + AM12*'Spreadsheet Key'!$A$25 + AN12*'Spreadsheet Key'!$A$26</f>
        <v>1064</v>
      </c>
      <c r="AR12" s="283">
        <f>AJ12/('MAR Statistics'!$B$29)*ABS(AI12-1)</f>
        <v>4.071661237785016E-2</v>
      </c>
      <c r="AS12">
        <f t="shared" si="0"/>
        <v>0</v>
      </c>
      <c r="AT12" s="283">
        <f>AR12*'MAR Statistics'!$C$10</f>
        <v>45.523819218241044</v>
      </c>
      <c r="AV12" s="283">
        <f t="shared" si="1"/>
        <v>0</v>
      </c>
      <c r="AW12" s="283">
        <f t="shared" si="2"/>
        <v>1</v>
      </c>
      <c r="AX12" s="283">
        <f t="shared" si="3"/>
        <v>0</v>
      </c>
      <c r="AY12" s="283" cm="1">
        <f t="array" ref="AY12">COUNTIFS($C12:$AG12,"9",$C$4:$AG$4,"1")+SUM(COUNTIFS($C12:$AG12,{"8","9"},$C$4:$AG$4,"2"))+COUNTIFS($C12:$AG12,"8",$C$4:$AG$4,"3")</f>
        <v>1</v>
      </c>
      <c r="AZ12" s="283">
        <f t="shared" si="4"/>
        <v>0</v>
      </c>
      <c r="BA12" s="283">
        <f t="shared" si="5"/>
        <v>2</v>
      </c>
      <c r="BB12" s="283">
        <f>AV12*'Spreadsheet Key'!$A$27+AW12*'Spreadsheet Key'!$A$28+AX12*'Spreadsheet Key'!$A$29+AY12*'Spreadsheet Key'!$A$30+AZ12*'Spreadsheet Key'!$A$31</f>
        <v>48</v>
      </c>
      <c r="BD12" s="283">
        <f t="shared" ref="BD12" si="8">AT12-BB12</f>
        <v>-2.4761807817589556</v>
      </c>
    </row>
    <row r="13" spans="1:60" s="3139" customFormat="1" ht="15.75">
      <c r="A13" s="56"/>
      <c r="B13" s="56"/>
      <c r="C13" s="2894"/>
      <c r="D13" s="2894"/>
      <c r="E13" s="6190" t="s">
        <v>1234</v>
      </c>
      <c r="F13" s="6190"/>
      <c r="G13" s="6190"/>
      <c r="H13" s="6190"/>
      <c r="I13" s="6190"/>
      <c r="J13" s="2894"/>
      <c r="K13" s="2894"/>
      <c r="L13" s="3010" t="s">
        <v>1025</v>
      </c>
      <c r="M13" s="4850" t="s">
        <v>1243</v>
      </c>
      <c r="N13" s="4850"/>
      <c r="O13" s="3010" t="s">
        <v>1025</v>
      </c>
      <c r="P13" s="2894"/>
      <c r="Q13" s="2894"/>
      <c r="R13" s="2894"/>
      <c r="S13" s="2894"/>
      <c r="T13" s="2894"/>
      <c r="U13" s="2432" t="s">
        <v>720</v>
      </c>
      <c r="V13" s="2894"/>
      <c r="W13" s="2894"/>
      <c r="X13" s="2894"/>
      <c r="Y13" s="2894"/>
      <c r="Z13" s="2894"/>
      <c r="AA13" s="2432" t="s">
        <v>722</v>
      </c>
      <c r="AB13" s="2894"/>
      <c r="AC13" s="2894"/>
      <c r="AD13" s="3010" t="s">
        <v>1025</v>
      </c>
      <c r="AE13" s="6244" t="s">
        <v>1231</v>
      </c>
      <c r="AF13" s="6244"/>
      <c r="AG13" s="3157" t="s">
        <v>1230</v>
      </c>
      <c r="AH13" s="3126"/>
      <c r="AI13" s="3202">
        <v>0</v>
      </c>
      <c r="AJ13" s="283" cm="1">
        <f t="array" ref="AJ13">SUM(COUNTIFS($C13:$AG13,{"0","4","5","6","7","8","9"}))</f>
        <v>0</v>
      </c>
      <c r="AK13" s="283" cm="1">
        <f t="array" ref="AK13">SUM(COUNTIFS($C13:$AG13,{"0","4","5","6","7","8","9"},$C$4:$AG$4,"0"))</f>
        <v>0</v>
      </c>
      <c r="AL13" s="283" cm="1">
        <f t="array" ref="AL13">SUM(COUNTIFS($C13:$AG13,{"0","4","5","6","7","8","9"},$C$4:$AG$4,"1"))</f>
        <v>0</v>
      </c>
      <c r="AM13" s="283" cm="1">
        <f t="array" ref="AM13">SUM(COUNTIFS($C13:$AG13,{"0","4","5","6","7","8","9"},$C$4:$AG$4,"2"))</f>
        <v>0</v>
      </c>
      <c r="AN13" s="283" cm="1">
        <f t="array" ref="AN13">SUM(COUNTIFS($C13:$AG13,{"0","4","5","6","7","8","9"},$C$4:$AG$4,"3"))</f>
        <v>0</v>
      </c>
      <c r="AO13" s="283" cm="1">
        <f t="array" ref="AO13">SUM(COUNTIFS($C13:$AG13,{"1","2","3"}))</f>
        <v>0</v>
      </c>
      <c r="AP13" s="283" cm="1">
        <f t="array" ref="AP13">SUM(COUNTIFS($C13:$AG13,{"4","5","6"}))</f>
        <v>0</v>
      </c>
      <c r="AQ13" s="283">
        <f>AK13*'Spreadsheet Key'!$A$23 + AL13*'Spreadsheet Key'!$A$24 + AM13*'Spreadsheet Key'!$A$25 + AN13*'Spreadsheet Key'!$A$26</f>
        <v>0</v>
      </c>
      <c r="AR13" s="283">
        <f>AJ13/('MAR Statistics'!$B$29)*ABS(AI13-1)</f>
        <v>0</v>
      </c>
      <c r="AS13">
        <f t="shared" si="0"/>
        <v>0</v>
      </c>
      <c r="AT13" s="283">
        <f>AR13*'MAR Statistics'!$C$10</f>
        <v>0</v>
      </c>
      <c r="AU13" s="283"/>
      <c r="AV13" s="283">
        <f t="shared" si="1"/>
        <v>0</v>
      </c>
      <c r="AW13" s="283">
        <f t="shared" si="2"/>
        <v>0</v>
      </c>
      <c r="AX13" s="283">
        <f t="shared" si="3"/>
        <v>0</v>
      </c>
      <c r="AY13" s="283" cm="1">
        <f t="array" ref="AY13">COUNTIFS($C13:$AG13,"9",$C$4:$AG$4,"1")+SUM(COUNTIFS($C13:$AG13,{"8","9"},$C$4:$AG$4,"2"))+COUNTIFS($C13:$AG13,"8",$C$4:$AG$4,"3")</f>
        <v>0</v>
      </c>
      <c r="AZ13" s="283">
        <f t="shared" si="4"/>
        <v>0</v>
      </c>
      <c r="BA13" s="283">
        <f t="shared" si="5"/>
        <v>0</v>
      </c>
      <c r="BB13" s="283">
        <f>AV13*'Spreadsheet Key'!$A$27+AW13*'Spreadsheet Key'!$A$28+AX13*'Spreadsheet Key'!$A$29+AY13*'Spreadsheet Key'!$A$30+AZ13*'Spreadsheet Key'!$A$31</f>
        <v>0</v>
      </c>
      <c r="BC13" s="283"/>
      <c r="BD13" s="283"/>
    </row>
    <row r="14" spans="1:60" s="3139" customFormat="1">
      <c r="A14" s="56" t="s">
        <v>95</v>
      </c>
      <c r="B14" s="56" t="s">
        <v>738</v>
      </c>
      <c r="C14" s="2659">
        <v>0</v>
      </c>
      <c r="D14" s="2659">
        <v>0</v>
      </c>
      <c r="E14" s="2659">
        <v>7</v>
      </c>
      <c r="F14" s="2659">
        <v>7</v>
      </c>
      <c r="G14" s="2659">
        <v>7</v>
      </c>
      <c r="H14" s="2659">
        <v>7</v>
      </c>
      <c r="I14" s="2659">
        <v>7</v>
      </c>
      <c r="J14" s="2659">
        <v>0</v>
      </c>
      <c r="K14" s="2659">
        <v>0</v>
      </c>
      <c r="L14" s="2659">
        <v>1</v>
      </c>
      <c r="M14" s="2659">
        <v>2</v>
      </c>
      <c r="N14" s="2659">
        <v>2</v>
      </c>
      <c r="O14" s="2659">
        <v>3</v>
      </c>
      <c r="P14" s="2659">
        <v>0</v>
      </c>
      <c r="Q14" s="2659">
        <v>0</v>
      </c>
      <c r="R14" s="2659">
        <v>0</v>
      </c>
      <c r="S14" s="2659">
        <v>0</v>
      </c>
      <c r="T14" s="2659">
        <v>0</v>
      </c>
      <c r="U14" s="2659">
        <v>8</v>
      </c>
      <c r="V14" s="2659">
        <v>0</v>
      </c>
      <c r="W14" s="2659">
        <v>0</v>
      </c>
      <c r="X14" s="2659">
        <v>0</v>
      </c>
      <c r="Y14" s="2659">
        <v>0</v>
      </c>
      <c r="Z14" s="2659">
        <v>0</v>
      </c>
      <c r="AA14" s="2659">
        <v>9</v>
      </c>
      <c r="AB14" s="2659">
        <v>0</v>
      </c>
      <c r="AC14" s="2659">
        <v>0</v>
      </c>
      <c r="AD14" s="2659">
        <v>1</v>
      </c>
      <c r="AE14" s="2659">
        <v>2</v>
      </c>
      <c r="AF14" s="2659">
        <v>2</v>
      </c>
      <c r="AG14" s="2659">
        <v>2</v>
      </c>
      <c r="AH14" s="3126"/>
      <c r="AI14" s="3202">
        <v>0</v>
      </c>
      <c r="AJ14" s="283" cm="1">
        <f t="array" ref="AJ14">SUM(COUNTIFS($C14:$AG14,{"0","4","5","6","7","8","9"}))</f>
        <v>23</v>
      </c>
      <c r="AK14" s="283" cm="1">
        <f t="array" ref="AK14">SUM(COUNTIFS($C14:$AG14,{"0","4","5","6","7","8","9"},$C$4:$AG$4,"0"))</f>
        <v>12</v>
      </c>
      <c r="AL14" s="283" cm="1">
        <f t="array" ref="AL14">SUM(COUNTIFS($C14:$AG14,{"0","4","5","6","7","8","9"},$C$4:$AG$4,"1"))</f>
        <v>3</v>
      </c>
      <c r="AM14" s="283" cm="1">
        <f t="array" ref="AM14">SUM(COUNTIFS($C14:$AG14,{"0","4","5","6","7","8","9"},$C$4:$AG$4,"2"))</f>
        <v>4</v>
      </c>
      <c r="AN14" s="283" cm="1">
        <f t="array" ref="AN14">SUM(COUNTIFS($C14:$AG14,{"0","4","5","6","7","8","9"},$C$4:$AG$4,"3"))</f>
        <v>4</v>
      </c>
      <c r="AO14" s="283" cm="1">
        <f t="array" ref="AO14">SUM(COUNTIFS($C14:$AG14,{"1","2","3"}))</f>
        <v>8</v>
      </c>
      <c r="AP14" s="283" cm="1">
        <f t="array" ref="AP14">SUM(COUNTIFS($C14:$AG14,{"4","5","6"}))</f>
        <v>0</v>
      </c>
      <c r="AQ14" s="283">
        <f>AK14*'Spreadsheet Key'!$A$23 + AL14*'Spreadsheet Key'!$A$24 + AM14*'Spreadsheet Key'!$A$25 + AN14*'Spreadsheet Key'!$A$26</f>
        <v>938</v>
      </c>
      <c r="AR14" s="283">
        <f>AJ14/('MAR Statistics'!$B$29)*ABS(AI14-1)</f>
        <v>3.7459283387622153E-2</v>
      </c>
      <c r="AS14">
        <f t="shared" si="0"/>
        <v>0</v>
      </c>
      <c r="AT14" s="283">
        <f>AR14*'MAR Statistics'!$C$10</f>
        <v>41.881913680781764</v>
      </c>
      <c r="AU14" s="283"/>
      <c r="AV14" s="283">
        <f t="shared" si="1"/>
        <v>1</v>
      </c>
      <c r="AW14" s="283">
        <f t="shared" si="2"/>
        <v>1</v>
      </c>
      <c r="AX14" s="283">
        <f t="shared" si="3"/>
        <v>0</v>
      </c>
      <c r="AY14" s="283" cm="1">
        <f t="array" ref="AY14">COUNTIFS($C14:$AG14,"9",$C$4:$AG$4,"1")+SUM(COUNTIFS($C14:$AG14,{"8","9"},$C$4:$AG$4,"2"))+COUNTIFS($C14:$AG14,"8",$C$4:$AG$4,"3")</f>
        <v>0</v>
      </c>
      <c r="AZ14" s="283">
        <f t="shared" si="4"/>
        <v>0</v>
      </c>
      <c r="BA14" s="283">
        <f t="shared" si="5"/>
        <v>2</v>
      </c>
      <c r="BB14" s="283">
        <f>AV14*'Spreadsheet Key'!$A$27+AW14*'Spreadsheet Key'!$A$28+AX14*'Spreadsheet Key'!$A$29+AY14*'Spreadsheet Key'!$A$30+AZ14*'Spreadsheet Key'!$A$31</f>
        <v>22</v>
      </c>
      <c r="BC14" s="283"/>
      <c r="BD14" s="283">
        <f t="shared" ref="BD14" si="9">AT14-BB14</f>
        <v>19.881913680781764</v>
      </c>
    </row>
    <row r="15" spans="1:60">
      <c r="A15" s="56"/>
      <c r="B15" s="56"/>
      <c r="C15" s="2434" t="s">
        <v>722</v>
      </c>
      <c r="D15" s="779"/>
      <c r="E15" s="6190" t="s">
        <v>1234</v>
      </c>
      <c r="F15" s="6190"/>
      <c r="G15" s="6190"/>
      <c r="H15" s="6190"/>
      <c r="I15" s="6190"/>
      <c r="J15" s="779"/>
      <c r="K15" s="779"/>
      <c r="L15" s="2434" t="s">
        <v>722</v>
      </c>
      <c r="M15" s="779"/>
      <c r="N15" s="779"/>
      <c r="O15" s="779"/>
      <c r="P15" s="779"/>
      <c r="Q15" s="779"/>
      <c r="R15" s="2764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2434"/>
      <c r="AD15" s="779"/>
      <c r="AE15" s="779"/>
      <c r="AF15" s="779"/>
      <c r="AG15" s="779"/>
      <c r="AH15" s="3126"/>
      <c r="AI15" s="3202"/>
      <c r="AJ15" s="283" cm="1">
        <f t="array" ref="AJ15">SUM(COUNTIFS($C15:$AG15,{"0","4","5","6","7","8","9"}))</f>
        <v>0</v>
      </c>
      <c r="AK15" s="283" cm="1">
        <f t="array" ref="AK15">SUM(COUNTIFS($C15:$AG15,{"0","4","5","6","7","8","9"},$C$4:$AG$4,"0"))</f>
        <v>0</v>
      </c>
      <c r="AL15" s="283" cm="1">
        <f t="array" ref="AL15">SUM(COUNTIFS($C15:$AG15,{"0","4","5","6","7","8","9"},$C$4:$AG$4,"1"))</f>
        <v>0</v>
      </c>
      <c r="AM15" s="283" cm="1">
        <f t="array" ref="AM15">SUM(COUNTIFS($C15:$AG15,{"0","4","5","6","7","8","9"},$C$4:$AG$4,"2"))</f>
        <v>0</v>
      </c>
      <c r="AN15" s="283" cm="1">
        <f t="array" ref="AN15">SUM(COUNTIFS($C15:$AG15,{"0","4","5","6","7","8","9"},$C$4:$AG$4,"3"))</f>
        <v>0</v>
      </c>
      <c r="AO15" s="283" cm="1">
        <f t="array" ref="AO15">SUM(COUNTIFS($C15:$AG15,{"1","2","3"}))</f>
        <v>0</v>
      </c>
      <c r="AP15" s="283" cm="1">
        <f t="array" ref="AP15">SUM(COUNTIFS($C15:$AG15,{"4","5","6"}))</f>
        <v>0</v>
      </c>
      <c r="AQ15" s="283">
        <f>AK15*'Spreadsheet Key'!$A$23 + AL15*'Spreadsheet Key'!$A$24 + AM15*'Spreadsheet Key'!$A$25 + AN15*'Spreadsheet Key'!$A$26</f>
        <v>0</v>
      </c>
      <c r="AR15" s="283">
        <f>AJ15/('MAR Statistics'!$B$29)*ABS(AI15-1)</f>
        <v>0</v>
      </c>
      <c r="AS15">
        <f t="shared" si="0"/>
        <v>0</v>
      </c>
      <c r="AT15" s="283">
        <f>AR15*'MAR Statistics'!$C$10</f>
        <v>0</v>
      </c>
      <c r="AV15" s="283">
        <f t="shared" si="1"/>
        <v>0</v>
      </c>
      <c r="AW15" s="283">
        <f t="shared" si="2"/>
        <v>0</v>
      </c>
      <c r="AX15" s="283">
        <f t="shared" si="3"/>
        <v>0</v>
      </c>
      <c r="AY15" s="283" cm="1">
        <f t="array" ref="AY15">COUNTIFS($C15:$AG15,"9",$C$4:$AG$4,"1")+SUM(COUNTIFS($C15:$AG15,{"8","9"},$C$4:$AG$4,"2"))+COUNTIFS($C15:$AG15,"8",$C$4:$AG$4,"3")</f>
        <v>0</v>
      </c>
      <c r="AZ15" s="283">
        <f t="shared" si="4"/>
        <v>0</v>
      </c>
      <c r="BA15" s="283">
        <f t="shared" si="5"/>
        <v>0</v>
      </c>
      <c r="BB15" s="283">
        <f>AV15*'Spreadsheet Key'!$A$27+AW15*'Spreadsheet Key'!$A$28+AX15*'Spreadsheet Key'!$A$29+AY15*'Spreadsheet Key'!$A$30+AZ15*'Spreadsheet Key'!$A$31</f>
        <v>0</v>
      </c>
    </row>
    <row r="16" spans="1:60">
      <c r="A16" s="56" t="s">
        <v>108</v>
      </c>
      <c r="B16" s="56" t="s">
        <v>109</v>
      </c>
      <c r="C16" s="2659">
        <v>9</v>
      </c>
      <c r="D16" s="2659">
        <v>0</v>
      </c>
      <c r="E16" s="2659">
        <v>7</v>
      </c>
      <c r="F16" s="2659">
        <v>7</v>
      </c>
      <c r="G16" s="2659">
        <v>7</v>
      </c>
      <c r="H16" s="2659">
        <v>7</v>
      </c>
      <c r="I16" s="2659">
        <v>7</v>
      </c>
      <c r="J16" s="2659">
        <v>0</v>
      </c>
      <c r="K16" s="2659">
        <v>0</v>
      </c>
      <c r="L16" s="2659">
        <v>9</v>
      </c>
      <c r="M16" s="2659">
        <v>0</v>
      </c>
      <c r="N16" s="2659">
        <v>0</v>
      </c>
      <c r="O16" s="2659">
        <v>0</v>
      </c>
      <c r="P16" s="2659">
        <v>0</v>
      </c>
      <c r="Q16" s="2659">
        <v>0</v>
      </c>
      <c r="R16" s="2659">
        <v>0</v>
      </c>
      <c r="S16" s="2659">
        <v>0</v>
      </c>
      <c r="T16" s="2659">
        <v>0</v>
      </c>
      <c r="U16" s="2659">
        <v>0</v>
      </c>
      <c r="V16" s="2659">
        <v>0</v>
      </c>
      <c r="W16" s="2659">
        <v>0</v>
      </c>
      <c r="X16" s="2659">
        <v>0</v>
      </c>
      <c r="Y16" s="2659">
        <v>0</v>
      </c>
      <c r="Z16" s="2659">
        <v>0</v>
      </c>
      <c r="AA16" s="2659">
        <v>0</v>
      </c>
      <c r="AB16" s="2659">
        <v>0</v>
      </c>
      <c r="AC16" s="2659">
        <v>0</v>
      </c>
      <c r="AD16" s="2659">
        <v>0</v>
      </c>
      <c r="AE16" s="2659">
        <v>0</v>
      </c>
      <c r="AF16" s="2659">
        <v>0</v>
      </c>
      <c r="AG16" s="2659">
        <v>0</v>
      </c>
      <c r="AH16" s="3126"/>
      <c r="AI16" s="3202">
        <v>0</v>
      </c>
      <c r="AJ16" s="283" cm="1">
        <f t="array" ref="AJ16">SUM(COUNTIFS($C16:$AG16,{"0","4","5","6","7","8","9"}))</f>
        <v>31</v>
      </c>
      <c r="AK16" s="283" cm="1">
        <f t="array" ref="AK16">SUM(COUNTIFS($C16:$AG16,{"0","4","5","6","7","8","9"},$C$4:$AG$4,"0"))</f>
        <v>17</v>
      </c>
      <c r="AL16" s="283" cm="1">
        <f t="array" ref="AL16">SUM(COUNTIFS($C16:$AG16,{"0","4","5","6","7","8","9"},$C$4:$AG$4,"1"))</f>
        <v>4</v>
      </c>
      <c r="AM16" s="283" cm="1">
        <f t="array" ref="AM16">SUM(COUNTIFS($C16:$AG16,{"0","4","5","6","7","8","9"},$C$4:$AG$4,"2"))</f>
        <v>5</v>
      </c>
      <c r="AN16" s="283" cm="1">
        <f t="array" ref="AN16">SUM(COUNTIFS($C16:$AG16,{"0","4","5","6","7","8","9"},$C$4:$AG$4,"3"))</f>
        <v>5</v>
      </c>
      <c r="AO16" s="283" cm="1">
        <f t="array" ref="AO16">SUM(COUNTIFS($C16:$AG16,{"1","2","3"}))</f>
        <v>0</v>
      </c>
      <c r="AP16" s="283" cm="1">
        <f t="array" ref="AP16">SUM(COUNTIFS($C16:$AG16,{"4","5","6"}))</f>
        <v>0</v>
      </c>
      <c r="AQ16" s="283">
        <f>AK16*'Spreadsheet Key'!$A$23 + AL16*'Spreadsheet Key'!$A$24 + AM16*'Spreadsheet Key'!$A$25 + AN16*'Spreadsheet Key'!$A$26</f>
        <v>1230</v>
      </c>
      <c r="AR16" s="283">
        <f>AJ16/('MAR Statistics'!$B$29)*ABS(AI16-1)</f>
        <v>5.0488599348534204E-2</v>
      </c>
      <c r="AS16">
        <f t="shared" si="0"/>
        <v>0</v>
      </c>
      <c r="AT16" s="283">
        <f>AR16*'MAR Statistics'!$C$10</f>
        <v>56.449535830618899</v>
      </c>
      <c r="AV16" s="283">
        <f t="shared" si="1"/>
        <v>0</v>
      </c>
      <c r="AW16" s="283">
        <f t="shared" si="2"/>
        <v>1</v>
      </c>
      <c r="AX16" s="283">
        <f t="shared" si="3"/>
        <v>0</v>
      </c>
      <c r="AY16" s="283" cm="1">
        <f t="array" ref="AY16">COUNTIFS($C16:$AG16,"9",$C$4:$AG$4,"1")+SUM(COUNTIFS($C16:$AG16,{"8","9"},$C$4:$AG$4,"2"))+COUNTIFS($C16:$AG16,"8",$C$4:$AG$4,"3")</f>
        <v>1</v>
      </c>
      <c r="AZ16" s="283">
        <f t="shared" si="4"/>
        <v>0</v>
      </c>
      <c r="BA16" s="283">
        <f t="shared" si="5"/>
        <v>2</v>
      </c>
      <c r="BB16" s="283">
        <f>AV16*'Spreadsheet Key'!$A$27+AW16*'Spreadsheet Key'!$A$28+AX16*'Spreadsheet Key'!$A$29+AY16*'Spreadsheet Key'!$A$30+AZ16*'Spreadsheet Key'!$A$31</f>
        <v>48</v>
      </c>
      <c r="BD16" s="283">
        <f t="shared" ref="BD16" si="10">AT16-BB16</f>
        <v>8.449535830618899</v>
      </c>
    </row>
    <row r="17" spans="1:56">
      <c r="A17" s="2389"/>
      <c r="B17" s="2389"/>
      <c r="C17" s="779"/>
      <c r="D17" s="2894"/>
      <c r="E17" s="2894"/>
      <c r="F17" s="2432"/>
      <c r="G17" s="2894"/>
      <c r="H17" s="2432" t="s">
        <v>720</v>
      </c>
      <c r="I17" s="2894"/>
      <c r="J17" s="2894"/>
      <c r="K17" s="2894"/>
      <c r="L17" s="2894"/>
      <c r="M17" s="2894"/>
      <c r="N17" s="2894"/>
      <c r="O17" s="2894"/>
      <c r="P17" s="2894"/>
      <c r="Q17" s="2432"/>
      <c r="R17" s="2894"/>
      <c r="S17" s="2894"/>
      <c r="T17" s="2894"/>
      <c r="U17" s="2894"/>
      <c r="V17" s="2894"/>
      <c r="W17" s="2894"/>
      <c r="X17" s="2894"/>
      <c r="Y17" s="2894"/>
      <c r="Z17" s="2894"/>
      <c r="AA17" s="2434" t="s">
        <v>720</v>
      </c>
      <c r="AB17" s="2894"/>
      <c r="AC17" s="2894"/>
      <c r="AD17" s="2432"/>
      <c r="AE17" s="2260"/>
      <c r="AF17" s="779"/>
      <c r="AG17" s="779"/>
      <c r="AH17" s="3126"/>
      <c r="AI17" s="3202"/>
      <c r="AJ17" s="283" cm="1">
        <f t="array" ref="AJ17">SUM(COUNTIFS($C17:$AG17,{"0","4","5","6","7","8","9"}))</f>
        <v>0</v>
      </c>
      <c r="AK17" s="283" cm="1">
        <f t="array" ref="AK17">SUM(COUNTIFS($C17:$AG17,{"0","4","5","6","7","8","9"},$C$4:$AG$4,"0"))</f>
        <v>0</v>
      </c>
      <c r="AL17" s="283" cm="1">
        <f t="array" ref="AL17">SUM(COUNTIFS($C17:$AG17,{"0","4","5","6","7","8","9"},$C$4:$AG$4,"1"))</f>
        <v>0</v>
      </c>
      <c r="AM17" s="283" cm="1">
        <f t="array" ref="AM17">SUM(COUNTIFS($C17:$AG17,{"0","4","5","6","7","8","9"},$C$4:$AG$4,"2"))</f>
        <v>0</v>
      </c>
      <c r="AN17" s="283" cm="1">
        <f t="array" ref="AN17">SUM(COUNTIFS($C17:$AG17,{"0","4","5","6","7","8","9"},$C$4:$AG$4,"3"))</f>
        <v>0</v>
      </c>
      <c r="AO17" s="283" cm="1">
        <f t="array" ref="AO17">SUM(COUNTIFS($C17:$AG17,{"1","2","3"}))</f>
        <v>0</v>
      </c>
      <c r="AP17" s="283" cm="1">
        <f t="array" ref="AP17">SUM(COUNTIFS($C17:$AG17,{"4","5","6"}))</f>
        <v>0</v>
      </c>
      <c r="AQ17" s="283">
        <f>AK17*'Spreadsheet Key'!$A$23 + AL17*'Spreadsheet Key'!$A$24 + AM17*'Spreadsheet Key'!$A$25 + AN17*'Spreadsheet Key'!$A$26</f>
        <v>0</v>
      </c>
      <c r="AR17" s="283">
        <f>AJ17/('MAR Statistics'!$B$29)*ABS(AI17-1)</f>
        <v>0</v>
      </c>
      <c r="AS17">
        <f t="shared" si="0"/>
        <v>0</v>
      </c>
      <c r="AV17" s="283">
        <f t="shared" si="1"/>
        <v>0</v>
      </c>
      <c r="AW17" s="283">
        <f t="shared" si="2"/>
        <v>0</v>
      </c>
      <c r="AX17" s="283">
        <f t="shared" si="3"/>
        <v>0</v>
      </c>
      <c r="AY17" s="283" cm="1">
        <f t="array" ref="AY17">COUNTIFS($C17:$AG17,"9",$C$4:$AG$4,"1")+SUM(COUNTIFS($C17:$AG17,{"8","9"},$C$4:$AG$4,"2"))+COUNTIFS($C17:$AG17,"8",$C$4:$AG$4,"3")</f>
        <v>0</v>
      </c>
      <c r="AZ17" s="283">
        <f t="shared" si="4"/>
        <v>0</v>
      </c>
      <c r="BA17" s="283">
        <f t="shared" si="5"/>
        <v>0</v>
      </c>
      <c r="BB17" s="283">
        <f>AV17*'Spreadsheet Key'!$A$27+AW17*'Spreadsheet Key'!$A$28+AX17*'Spreadsheet Key'!$A$29+AY17*'Spreadsheet Key'!$A$30+AZ17*'Spreadsheet Key'!$A$31</f>
        <v>0</v>
      </c>
    </row>
    <row r="18" spans="1:56">
      <c r="A18" s="2389" t="s">
        <v>283</v>
      </c>
      <c r="B18" s="2389" t="s">
        <v>610</v>
      </c>
      <c r="C18" s="2659">
        <v>0</v>
      </c>
      <c r="D18" s="2659">
        <v>0</v>
      </c>
      <c r="E18" s="2659">
        <v>0</v>
      </c>
      <c r="F18" s="2659">
        <v>0</v>
      </c>
      <c r="G18" s="2659">
        <v>0</v>
      </c>
      <c r="H18" s="2659">
        <v>8</v>
      </c>
      <c r="I18" s="2659">
        <v>0</v>
      </c>
      <c r="J18" s="2659">
        <v>0</v>
      </c>
      <c r="K18" s="2659">
        <v>0</v>
      </c>
      <c r="L18" s="2659">
        <v>0</v>
      </c>
      <c r="M18" s="2659">
        <v>0</v>
      </c>
      <c r="N18" s="2659">
        <v>0</v>
      </c>
      <c r="O18" s="2659">
        <v>0</v>
      </c>
      <c r="P18" s="2659">
        <v>0</v>
      </c>
      <c r="Q18" s="2659">
        <v>0</v>
      </c>
      <c r="R18" s="2659">
        <v>0</v>
      </c>
      <c r="S18" s="2659">
        <v>0</v>
      </c>
      <c r="T18" s="2659">
        <v>0</v>
      </c>
      <c r="U18" s="2659">
        <v>0</v>
      </c>
      <c r="V18" s="2659">
        <v>0</v>
      </c>
      <c r="W18" s="2659">
        <v>0</v>
      </c>
      <c r="X18" s="2659">
        <v>0</v>
      </c>
      <c r="Y18" s="2659">
        <v>0</v>
      </c>
      <c r="Z18" s="2659">
        <v>0</v>
      </c>
      <c r="AA18" s="2659">
        <v>8</v>
      </c>
      <c r="AB18" s="2659">
        <v>0</v>
      </c>
      <c r="AC18" s="2659">
        <v>0</v>
      </c>
      <c r="AD18" s="2659">
        <v>0</v>
      </c>
      <c r="AE18" s="2659">
        <v>0</v>
      </c>
      <c r="AF18" s="2659">
        <v>0</v>
      </c>
      <c r="AG18" s="2659">
        <v>0</v>
      </c>
      <c r="AH18" s="3126"/>
      <c r="AI18" s="3202">
        <v>1</v>
      </c>
      <c r="AJ18" s="283" cm="1">
        <f t="array" ref="AJ18">SUM(COUNTIFS($C18:$AG18,{"0","4","5","6","7","8","9"}))</f>
        <v>31</v>
      </c>
      <c r="AK18" s="283" cm="1">
        <f t="array" ref="AK18">SUM(COUNTIFS($C18:$AG18,{"0","4","5","6","7","8","9"},$C$4:$AG$4,"0"))</f>
        <v>17</v>
      </c>
      <c r="AL18" s="283" cm="1">
        <f t="array" ref="AL18">SUM(COUNTIFS($C18:$AG18,{"0","4","5","6","7","8","9"},$C$4:$AG$4,"1"))</f>
        <v>4</v>
      </c>
      <c r="AM18" s="283" cm="1">
        <f t="array" ref="AM18">SUM(COUNTIFS($C18:$AG18,{"0","4","5","6","7","8","9"},$C$4:$AG$4,"2"))</f>
        <v>5</v>
      </c>
      <c r="AN18" s="283" cm="1">
        <f t="array" ref="AN18">SUM(COUNTIFS($C18:$AG18,{"0","4","5","6","7","8","9"},$C$4:$AG$4,"3"))</f>
        <v>5</v>
      </c>
      <c r="AO18" s="283" cm="1">
        <f t="array" ref="AO18">SUM(COUNTIFS($C18:$AG18,{"1","2","3"}))</f>
        <v>0</v>
      </c>
      <c r="AP18" s="283" cm="1">
        <f t="array" ref="AP18">SUM(COUNTIFS($C18:$AG18,{"4","5","6"}))</f>
        <v>0</v>
      </c>
      <c r="AQ18" s="283">
        <f>AK18*'Spreadsheet Key'!$A$23 + AL18*'Spreadsheet Key'!$A$24 + AM18*'Spreadsheet Key'!$A$25 + AN18*'Spreadsheet Key'!$A$26</f>
        <v>1230</v>
      </c>
      <c r="AR18" s="283">
        <f>AJ18/('MAR Statistics'!$B$29)*ABS(AI18-1)</f>
        <v>0</v>
      </c>
      <c r="AS18">
        <f t="shared" si="0"/>
        <v>28</v>
      </c>
      <c r="AT18" s="283">
        <f>(AJ18/'MAR Statistics'!$B$6)*'Spreadsheet Key'!$A$32</f>
        <v>28</v>
      </c>
      <c r="AV18" s="283">
        <f t="shared" si="1"/>
        <v>2</v>
      </c>
      <c r="AW18" s="283">
        <f t="shared" si="2"/>
        <v>0</v>
      </c>
      <c r="AX18" s="283">
        <f t="shared" si="3"/>
        <v>0</v>
      </c>
      <c r="AY18" s="283" cm="1">
        <f t="array" ref="AY18">COUNTIFS($C18:$AG18,"9",$C$4:$AG$4,"1")+SUM(COUNTIFS($C18:$AG18,{"8","9"},$C$4:$AG$4,"2"))+COUNTIFS($C18:$AG18,"8",$C$4:$AG$4,"3")</f>
        <v>0</v>
      </c>
      <c r="AZ18" s="283">
        <f t="shared" si="4"/>
        <v>0</v>
      </c>
      <c r="BA18" s="283">
        <f t="shared" si="5"/>
        <v>2</v>
      </c>
      <c r="BB18" s="283">
        <f>AV18*'Spreadsheet Key'!$A$27+AW18*'Spreadsheet Key'!$A$28+AX18*'Spreadsheet Key'!$A$29+AY18*'Spreadsheet Key'!$A$30+AZ18*'Spreadsheet Key'!$A$31</f>
        <v>20</v>
      </c>
      <c r="BD18" s="283">
        <f t="shared" ref="BD18" si="11">AT18-BB18</f>
        <v>8</v>
      </c>
    </row>
    <row r="19" spans="1:56">
      <c r="A19" s="2389"/>
      <c r="B19" s="2389"/>
      <c r="C19" s="2287"/>
      <c r="D19" s="3154"/>
      <c r="E19" s="3154" t="s">
        <v>720</v>
      </c>
      <c r="F19" s="3154"/>
      <c r="G19" s="3154"/>
      <c r="H19" s="3154"/>
      <c r="I19" s="3154"/>
      <c r="J19" s="3154"/>
      <c r="K19" s="3154"/>
      <c r="L19" s="3154"/>
      <c r="M19" s="3154"/>
      <c r="N19" s="3154"/>
      <c r="O19" s="779"/>
      <c r="P19" s="2434"/>
      <c r="Q19" s="779"/>
      <c r="R19" s="779"/>
      <c r="S19" s="779"/>
      <c r="T19" s="779"/>
      <c r="U19" s="779"/>
      <c r="V19" s="779"/>
      <c r="W19" s="779"/>
      <c r="X19" s="2434" t="s">
        <v>720</v>
      </c>
      <c r="Y19" s="779"/>
      <c r="Z19" s="779"/>
      <c r="AA19" s="779"/>
      <c r="AB19" s="779"/>
      <c r="AC19" s="2434" t="s">
        <v>722</v>
      </c>
      <c r="AD19" s="779"/>
      <c r="AE19" s="779"/>
      <c r="AF19" s="779"/>
      <c r="AG19" s="2434"/>
      <c r="AH19" s="3126"/>
      <c r="AI19" s="3202"/>
      <c r="AJ19" s="283" cm="1">
        <f t="array" ref="AJ19">SUM(COUNTIFS($C19:$AG19,{"0","4","5","6","7","8","9"}))</f>
        <v>0</v>
      </c>
      <c r="AK19" s="283" cm="1">
        <f t="array" ref="AK19">SUM(COUNTIFS($C19:$AG19,{"0","4","5","6","7","8","9"},$C$4:$AG$4,"0"))</f>
        <v>0</v>
      </c>
      <c r="AL19" s="283" cm="1">
        <f t="array" ref="AL19">SUM(COUNTIFS($C19:$AG19,{"0","4","5","6","7","8","9"},$C$4:$AG$4,"1"))</f>
        <v>0</v>
      </c>
      <c r="AM19" s="283" cm="1">
        <f t="array" ref="AM19">SUM(COUNTIFS($C19:$AG19,{"0","4","5","6","7","8","9"},$C$4:$AG$4,"2"))</f>
        <v>0</v>
      </c>
      <c r="AN19" s="283" cm="1">
        <f t="array" ref="AN19">SUM(COUNTIFS($C19:$AG19,{"0","4","5","6","7","8","9"},$C$4:$AG$4,"3"))</f>
        <v>0</v>
      </c>
      <c r="AO19" s="283" cm="1">
        <f t="array" ref="AO19">SUM(COUNTIFS($C19:$AG19,{"1","2","3"}))</f>
        <v>0</v>
      </c>
      <c r="AP19" s="283" cm="1">
        <f t="array" ref="AP19">SUM(COUNTIFS($C19:$AG19,{"4","5","6"}))</f>
        <v>0</v>
      </c>
      <c r="AQ19" s="283">
        <f>AK19*'Spreadsheet Key'!$A$23 + AL19*'Spreadsheet Key'!$A$24 + AM19*'Spreadsheet Key'!$A$25 + AN19*'Spreadsheet Key'!$A$26</f>
        <v>0</v>
      </c>
      <c r="AR19" s="283">
        <f>AJ19/('MAR Statistics'!$B$29)*ABS(AI19-1)</f>
        <v>0</v>
      </c>
      <c r="AS19">
        <f t="shared" si="0"/>
        <v>0</v>
      </c>
      <c r="AV19" s="283">
        <f t="shared" si="1"/>
        <v>0</v>
      </c>
      <c r="AW19" s="283">
        <f t="shared" si="2"/>
        <v>0</v>
      </c>
      <c r="AX19" s="283">
        <f t="shared" si="3"/>
        <v>0</v>
      </c>
      <c r="AY19" s="283" cm="1">
        <f t="array" ref="AY19">COUNTIFS($C19:$AG19,"9",$C$4:$AG$4,"1")+SUM(COUNTIFS($C19:$AG19,{"8","9"},$C$4:$AG$4,"2"))+COUNTIFS($C19:$AG19,"8",$C$4:$AG$4,"3")</f>
        <v>0</v>
      </c>
      <c r="AZ19" s="283">
        <f t="shared" si="4"/>
        <v>0</v>
      </c>
      <c r="BA19" s="283">
        <f t="shared" si="5"/>
        <v>0</v>
      </c>
      <c r="BB19" s="283">
        <f>AV19*'Spreadsheet Key'!$A$27+AW19*'Spreadsheet Key'!$A$28+AX19*'Spreadsheet Key'!$A$29+AY19*'Spreadsheet Key'!$A$30+AZ19*'Spreadsheet Key'!$A$31</f>
        <v>0</v>
      </c>
    </row>
    <row r="20" spans="1:56">
      <c r="A20" s="2389" t="s">
        <v>122</v>
      </c>
      <c r="B20" s="2389" t="s">
        <v>553</v>
      </c>
      <c r="C20" s="2659">
        <v>0</v>
      </c>
      <c r="D20" s="2659">
        <v>0</v>
      </c>
      <c r="E20" s="2659">
        <v>8</v>
      </c>
      <c r="F20" s="2659">
        <v>0</v>
      </c>
      <c r="G20" s="2659">
        <v>0</v>
      </c>
      <c r="H20" s="2659">
        <v>0</v>
      </c>
      <c r="I20" s="2659">
        <v>0</v>
      </c>
      <c r="J20" s="2659">
        <v>0</v>
      </c>
      <c r="K20" s="2659">
        <v>0</v>
      </c>
      <c r="L20" s="2659">
        <v>0</v>
      </c>
      <c r="M20" s="2659">
        <v>0</v>
      </c>
      <c r="N20" s="2659">
        <v>0</v>
      </c>
      <c r="O20" s="2659">
        <v>0</v>
      </c>
      <c r="P20" s="2659">
        <v>0</v>
      </c>
      <c r="Q20" s="2659">
        <v>0</v>
      </c>
      <c r="R20" s="2659">
        <v>0</v>
      </c>
      <c r="S20" s="2659">
        <v>0</v>
      </c>
      <c r="T20" s="2659">
        <v>0</v>
      </c>
      <c r="U20" s="2659">
        <v>0</v>
      </c>
      <c r="V20" s="2659">
        <v>0</v>
      </c>
      <c r="W20" s="2659">
        <v>0</v>
      </c>
      <c r="X20" s="2659">
        <v>8</v>
      </c>
      <c r="Y20" s="2659">
        <v>0</v>
      </c>
      <c r="Z20" s="2659">
        <v>0</v>
      </c>
      <c r="AA20" s="2659">
        <v>0</v>
      </c>
      <c r="AB20" s="2659">
        <v>0</v>
      </c>
      <c r="AC20" s="2659">
        <v>9</v>
      </c>
      <c r="AD20" s="2659">
        <v>0</v>
      </c>
      <c r="AE20" s="2659">
        <v>0</v>
      </c>
      <c r="AF20" s="2659">
        <v>0</v>
      </c>
      <c r="AG20" s="2659">
        <v>0</v>
      </c>
      <c r="AH20" s="3126"/>
      <c r="AI20" s="3202">
        <v>0</v>
      </c>
      <c r="AJ20" s="283" cm="1">
        <f t="array" ref="AJ20">SUM(COUNTIFS($C20:$AG20,{"0","4","5","6","7","8","9"}))</f>
        <v>31</v>
      </c>
      <c r="AK20" s="283" cm="1">
        <f t="array" ref="AK20">SUM(COUNTIFS($C20:$AG20,{"0","4","5","6","7","8","9"},$C$4:$AG$4,"0"))</f>
        <v>17</v>
      </c>
      <c r="AL20" s="283" cm="1">
        <f t="array" ref="AL20">SUM(COUNTIFS($C20:$AG20,{"0","4","5","6","7","8","9"},$C$4:$AG$4,"1"))</f>
        <v>4</v>
      </c>
      <c r="AM20" s="283" cm="1">
        <f t="array" ref="AM20">SUM(COUNTIFS($C20:$AG20,{"0","4","5","6","7","8","9"},$C$4:$AG$4,"2"))</f>
        <v>5</v>
      </c>
      <c r="AN20" s="283" cm="1">
        <f t="array" ref="AN20">SUM(COUNTIFS($C20:$AG20,{"0","4","5","6","7","8","9"},$C$4:$AG$4,"3"))</f>
        <v>5</v>
      </c>
      <c r="AO20" s="283" cm="1">
        <f t="array" ref="AO20">SUM(COUNTIFS($C20:$AG20,{"1","2","3"}))</f>
        <v>0</v>
      </c>
      <c r="AP20" s="283" cm="1">
        <f t="array" ref="AP20">SUM(COUNTIFS($C20:$AG20,{"4","5","6"}))</f>
        <v>0</v>
      </c>
      <c r="AQ20" s="283">
        <f>AK20*'Spreadsheet Key'!$A$23 + AL20*'Spreadsheet Key'!$A$24 + AM20*'Spreadsheet Key'!$A$25 + AN20*'Spreadsheet Key'!$A$26</f>
        <v>1230</v>
      </c>
      <c r="AR20" s="283">
        <f>AJ20/('MAR Statistics'!$B$29)*ABS(AI20-1)</f>
        <v>5.0488599348534204E-2</v>
      </c>
      <c r="AS20">
        <f t="shared" si="0"/>
        <v>0</v>
      </c>
      <c r="AT20" s="283">
        <f>AR20*'MAR Statistics'!$C$10</f>
        <v>56.449535830618899</v>
      </c>
      <c r="AV20" s="283">
        <f t="shared" si="1"/>
        <v>1</v>
      </c>
      <c r="AW20" s="283">
        <f t="shared" si="2"/>
        <v>1</v>
      </c>
      <c r="AX20" s="283">
        <f t="shared" si="3"/>
        <v>0</v>
      </c>
      <c r="AY20" s="283" cm="1">
        <f t="array" ref="AY20">COUNTIFS($C20:$AG20,"9",$C$4:$AG$4,"1")+SUM(COUNTIFS($C20:$AG20,{"8","9"},$C$4:$AG$4,"2"))+COUNTIFS($C20:$AG20,"8",$C$4:$AG$4,"3")</f>
        <v>1</v>
      </c>
      <c r="AZ20" s="283">
        <f t="shared" si="4"/>
        <v>0</v>
      </c>
      <c r="BA20" s="283">
        <f t="shared" si="5"/>
        <v>3</v>
      </c>
      <c r="BB20" s="283">
        <f>AV20*'Spreadsheet Key'!$A$27+AW20*'Spreadsheet Key'!$A$28+AX20*'Spreadsheet Key'!$A$29+AY20*'Spreadsheet Key'!$A$30+AZ20*'Spreadsheet Key'!$A$31</f>
        <v>58</v>
      </c>
      <c r="BD20" s="283">
        <f t="shared" ref="BD20" si="12">AT20-BB20</f>
        <v>-1.550464169381101</v>
      </c>
    </row>
    <row r="21" spans="1:56">
      <c r="A21" s="2389"/>
      <c r="B21" s="2389"/>
      <c r="C21" s="2434" t="s">
        <v>720</v>
      </c>
      <c r="D21" s="779"/>
      <c r="E21" s="779"/>
      <c r="F21" s="779"/>
      <c r="G21" s="779"/>
      <c r="H21" s="779"/>
      <c r="I21" s="779"/>
      <c r="J21" s="779"/>
      <c r="K21" s="779"/>
      <c r="L21" s="779"/>
      <c r="M21" s="779"/>
      <c r="N21" s="779"/>
      <c r="O21" s="779"/>
      <c r="P21" s="779"/>
      <c r="Q21" s="779"/>
      <c r="R21" s="779"/>
      <c r="S21" s="779"/>
      <c r="T21" s="779"/>
      <c r="U21" s="779"/>
      <c r="V21" s="2434"/>
      <c r="W21" s="779"/>
      <c r="X21" s="779"/>
      <c r="Y21" s="779"/>
      <c r="Z21" s="779"/>
      <c r="AA21" s="2434"/>
      <c r="AB21" s="779"/>
      <c r="AC21" s="779"/>
      <c r="AD21" s="2434" t="s">
        <v>722</v>
      </c>
      <c r="AE21" s="779"/>
      <c r="AF21" s="779"/>
      <c r="AG21" s="2434" t="s">
        <v>722</v>
      </c>
      <c r="AH21" s="3126"/>
      <c r="AI21" s="3202"/>
      <c r="AJ21" s="283" cm="1">
        <f t="array" ref="AJ21">SUM(COUNTIFS($C21:$AG21,{"0","4","5","6","7","8","9"}))</f>
        <v>0</v>
      </c>
      <c r="AK21" s="283" cm="1">
        <f t="array" ref="AK21">SUM(COUNTIFS($C21:$AG21,{"0","4","5","6","7","8","9"},$C$4:$AG$4,"0"))</f>
        <v>0</v>
      </c>
      <c r="AL21" s="283" cm="1">
        <f t="array" ref="AL21">SUM(COUNTIFS($C21:$AG21,{"0","4","5","6","7","8","9"},$C$4:$AG$4,"1"))</f>
        <v>0</v>
      </c>
      <c r="AM21" s="283" cm="1">
        <f t="array" ref="AM21">SUM(COUNTIFS($C21:$AG21,{"0","4","5","6","7","8","9"},$C$4:$AG$4,"2"))</f>
        <v>0</v>
      </c>
      <c r="AN21" s="283" cm="1">
        <f t="array" ref="AN21">SUM(COUNTIFS($C21:$AG21,{"0","4","5","6","7","8","9"},$C$4:$AG$4,"3"))</f>
        <v>0</v>
      </c>
      <c r="AO21" s="283" cm="1">
        <f t="array" ref="AO21">SUM(COUNTIFS($C21:$AG21,{"1","2","3"}))</f>
        <v>0</v>
      </c>
      <c r="AP21" s="283" cm="1">
        <f t="array" ref="AP21">SUM(COUNTIFS($C21:$AG21,{"4","5","6"}))</f>
        <v>0</v>
      </c>
      <c r="AQ21" s="283">
        <f>AK21*'Spreadsheet Key'!$A$23 + AL21*'Spreadsheet Key'!$A$24 + AM21*'Spreadsheet Key'!$A$25 + AN21*'Spreadsheet Key'!$A$26</f>
        <v>0</v>
      </c>
      <c r="AR21" s="283">
        <f>AJ21/('MAR Statistics'!$B$29)*ABS(AI21-1)</f>
        <v>0</v>
      </c>
      <c r="AS21">
        <f t="shared" si="0"/>
        <v>0</v>
      </c>
      <c r="AT21" s="283">
        <f>AR21*'MAR Statistics'!$C$10</f>
        <v>0</v>
      </c>
      <c r="AV21" s="283">
        <f t="shared" si="1"/>
        <v>0</v>
      </c>
      <c r="AW21" s="283">
        <f t="shared" si="2"/>
        <v>0</v>
      </c>
      <c r="AX21" s="283">
        <f t="shared" si="3"/>
        <v>0</v>
      </c>
      <c r="AY21" s="283" cm="1">
        <f t="array" ref="AY21">COUNTIFS($C21:$AG21,"9",$C$4:$AG$4,"1")+SUM(COUNTIFS($C21:$AG21,{"8","9"},$C$4:$AG$4,"2"))+COUNTIFS($C21:$AG21,"8",$C$4:$AG$4,"3")</f>
        <v>0</v>
      </c>
      <c r="AZ21" s="283">
        <f t="shared" si="4"/>
        <v>0</v>
      </c>
      <c r="BA21" s="283">
        <f t="shared" si="5"/>
        <v>0</v>
      </c>
      <c r="BB21" s="283">
        <f>AV21*'Spreadsheet Key'!$A$27+AW21*'Spreadsheet Key'!$A$28+AX21*'Spreadsheet Key'!$A$29+AY21*'Spreadsheet Key'!$A$30+AZ21*'Spreadsheet Key'!$A$31</f>
        <v>0</v>
      </c>
    </row>
    <row r="22" spans="1:56">
      <c r="A22" s="2389" t="s">
        <v>293</v>
      </c>
      <c r="B22" s="2389" t="s">
        <v>733</v>
      </c>
      <c r="C22" s="2659">
        <v>8</v>
      </c>
      <c r="D22" s="2659">
        <v>0</v>
      </c>
      <c r="E22" s="2659">
        <v>0</v>
      </c>
      <c r="F22" s="2659">
        <v>0</v>
      </c>
      <c r="G22" s="2659">
        <v>0</v>
      </c>
      <c r="H22" s="2659">
        <v>0</v>
      </c>
      <c r="I22" s="2659">
        <v>0</v>
      </c>
      <c r="J22" s="2659">
        <v>0</v>
      </c>
      <c r="K22" s="2659">
        <v>0</v>
      </c>
      <c r="L22" s="2659">
        <v>0</v>
      </c>
      <c r="M22" s="2659">
        <v>0</v>
      </c>
      <c r="N22" s="2659">
        <v>0</v>
      </c>
      <c r="O22" s="2659">
        <v>0</v>
      </c>
      <c r="P22" s="2659">
        <v>0</v>
      </c>
      <c r="Q22" s="2659">
        <v>0</v>
      </c>
      <c r="R22" s="2659">
        <v>0</v>
      </c>
      <c r="S22" s="2659">
        <v>0</v>
      </c>
      <c r="T22" s="2659">
        <v>0</v>
      </c>
      <c r="U22" s="2659">
        <v>0</v>
      </c>
      <c r="V22" s="2659">
        <v>0</v>
      </c>
      <c r="W22" s="2659">
        <v>0</v>
      </c>
      <c r="X22" s="2659">
        <v>0</v>
      </c>
      <c r="Y22" s="2659">
        <v>0</v>
      </c>
      <c r="Z22" s="2659">
        <v>0</v>
      </c>
      <c r="AA22" s="2659">
        <v>0</v>
      </c>
      <c r="AB22" s="2659">
        <v>0</v>
      </c>
      <c r="AC22" s="2659">
        <v>0</v>
      </c>
      <c r="AD22" s="2659">
        <v>9</v>
      </c>
      <c r="AE22" s="2659">
        <v>0</v>
      </c>
      <c r="AF22" s="2659">
        <v>0</v>
      </c>
      <c r="AG22" s="2659">
        <v>9</v>
      </c>
      <c r="AH22" s="3126"/>
      <c r="AI22" s="3202">
        <v>0</v>
      </c>
      <c r="AJ22" s="283" cm="1">
        <f t="array" ref="AJ22">SUM(COUNTIFS($C22:$AG22,{"0","4","5","6","7","8","9"}))</f>
        <v>31</v>
      </c>
      <c r="AK22" s="283" cm="1">
        <f t="array" ref="AK22">SUM(COUNTIFS($C22:$AG22,{"0","4","5","6","7","8","9"},$C$4:$AG$4,"0"))</f>
        <v>17</v>
      </c>
      <c r="AL22" s="283" cm="1">
        <f t="array" ref="AL22">SUM(COUNTIFS($C22:$AG22,{"0","4","5","6","7","8","9"},$C$4:$AG$4,"1"))</f>
        <v>4</v>
      </c>
      <c r="AM22" s="283" cm="1">
        <f t="array" ref="AM22">SUM(COUNTIFS($C22:$AG22,{"0","4","5","6","7","8","9"},$C$4:$AG$4,"2"))</f>
        <v>5</v>
      </c>
      <c r="AN22" s="283" cm="1">
        <f t="array" ref="AN22">SUM(COUNTIFS($C22:$AG22,{"0","4","5","6","7","8","9"},$C$4:$AG$4,"3"))</f>
        <v>5</v>
      </c>
      <c r="AO22" s="283" cm="1">
        <f t="array" ref="AO22">SUM(COUNTIFS($C22:$AG22,{"1","2","3"}))</f>
        <v>0</v>
      </c>
      <c r="AP22" s="283" cm="1">
        <f t="array" ref="AP22">SUM(COUNTIFS($C22:$AG22,{"4","5","6"}))</f>
        <v>0</v>
      </c>
      <c r="AQ22" s="283">
        <f>AK22*'Spreadsheet Key'!$A$23 + AL22*'Spreadsheet Key'!$A$24 + AM22*'Spreadsheet Key'!$A$25 + AN22*'Spreadsheet Key'!$A$26</f>
        <v>1230</v>
      </c>
      <c r="AR22" s="283">
        <f>AJ22/('MAR Statistics'!$B$29)*ABS(AI22-1)</f>
        <v>5.0488599348534204E-2</v>
      </c>
      <c r="AS22">
        <f t="shared" si="0"/>
        <v>0</v>
      </c>
      <c r="AT22" s="283">
        <f>AR22*'MAR Statistics'!$C$10</f>
        <v>56.449535830618899</v>
      </c>
      <c r="AV22" s="283">
        <f t="shared" si="1"/>
        <v>0</v>
      </c>
      <c r="AW22" s="283">
        <f t="shared" si="2"/>
        <v>1</v>
      </c>
      <c r="AX22" s="283">
        <f t="shared" si="3"/>
        <v>0</v>
      </c>
      <c r="AY22" s="283" cm="1">
        <f t="array" ref="AY22">COUNTIFS($C22:$AG22,"9",$C$4:$AG$4,"1")+SUM(COUNTIFS($C22:$AG22,{"8","9"},$C$4:$AG$4,"2"))+COUNTIFS($C22:$AG22,"8",$C$4:$AG$4,"3")</f>
        <v>2</v>
      </c>
      <c r="AZ22" s="283">
        <f t="shared" si="4"/>
        <v>0</v>
      </c>
      <c r="BA22" s="283">
        <f t="shared" si="5"/>
        <v>3</v>
      </c>
      <c r="BB22" s="283">
        <f>AV22*'Spreadsheet Key'!$A$27+AW22*'Spreadsheet Key'!$A$28+AX22*'Spreadsheet Key'!$A$29+AY22*'Spreadsheet Key'!$A$30+AZ22*'Spreadsheet Key'!$A$31</f>
        <v>84</v>
      </c>
      <c r="BD22" s="283">
        <f t="shared" ref="BD22" si="13">AT22-BB22</f>
        <v>-27.550464169381101</v>
      </c>
    </row>
    <row r="23" spans="1:56">
      <c r="A23" s="3112"/>
      <c r="B23" s="3112"/>
      <c r="C23" s="3140"/>
      <c r="D23" s="3154" t="s">
        <v>722</v>
      </c>
      <c r="E23" s="3140"/>
      <c r="F23" s="3140"/>
      <c r="G23" s="3140"/>
      <c r="H23" s="3140"/>
      <c r="I23" s="3140"/>
      <c r="J23" s="3140"/>
      <c r="K23" s="3140"/>
      <c r="L23" s="3140"/>
      <c r="M23" s="3140"/>
      <c r="N23" s="3140"/>
      <c r="O23" s="3140"/>
      <c r="P23" s="3140"/>
      <c r="Q23" s="3140"/>
      <c r="R23" s="3140"/>
      <c r="S23" s="3140"/>
      <c r="T23" s="3140"/>
      <c r="U23" s="3140"/>
      <c r="V23" s="3154" t="s">
        <v>722</v>
      </c>
      <c r="W23" s="3140"/>
      <c r="X23" s="3140"/>
      <c r="Y23" s="3140"/>
      <c r="Z23" s="3140"/>
      <c r="AA23" s="3140"/>
      <c r="AB23" s="3140"/>
      <c r="AC23" s="3140"/>
      <c r="AD23" s="3154" t="s">
        <v>720</v>
      </c>
      <c r="AE23" s="3140"/>
      <c r="AF23" s="3140"/>
      <c r="AG23" s="3140"/>
      <c r="AH23" s="3126"/>
      <c r="AI23" s="3202"/>
      <c r="AJ23" s="283" cm="1">
        <f t="array" ref="AJ23">SUM(COUNTIFS($C23:$AG23,{"0","4","5","6","7","8","9"}))</f>
        <v>0</v>
      </c>
      <c r="AK23" s="283" cm="1">
        <f t="array" ref="AK23">SUM(COUNTIFS($C23:$AG23,{"0","4","5","6","7","8","9"},$C$4:$AG$4,"0"))</f>
        <v>0</v>
      </c>
      <c r="AL23" s="283" cm="1">
        <f t="array" ref="AL23">SUM(COUNTIFS($C23:$AG23,{"0","4","5","6","7","8","9"},$C$4:$AG$4,"1"))</f>
        <v>0</v>
      </c>
      <c r="AM23" s="283" cm="1">
        <f t="array" ref="AM23">SUM(COUNTIFS($C23:$AG23,{"0","4","5","6","7","8","9"},$C$4:$AG$4,"2"))</f>
        <v>0</v>
      </c>
      <c r="AN23" s="283" cm="1">
        <f t="array" ref="AN23">SUM(COUNTIFS($C23:$AG23,{"0","4","5","6","7","8","9"},$C$4:$AG$4,"3"))</f>
        <v>0</v>
      </c>
      <c r="AO23" s="283" cm="1">
        <f t="array" ref="AO23">SUM(COUNTIFS($C23:$AG23,{"1","2","3"}))</f>
        <v>0</v>
      </c>
      <c r="AP23" s="283" cm="1">
        <f t="array" ref="AP23">SUM(COUNTIFS($C23:$AG23,{"4","5","6"}))</f>
        <v>0</v>
      </c>
      <c r="AQ23" s="283">
        <f>AK23*'Spreadsheet Key'!$A$23 + AL23*'Spreadsheet Key'!$A$24 + AM23*'Spreadsheet Key'!$A$25 + AN23*'Spreadsheet Key'!$A$26</f>
        <v>0</v>
      </c>
      <c r="AR23" s="283">
        <f>AJ23/('MAR Statistics'!$B$29)*ABS(AI23-1)</f>
        <v>0</v>
      </c>
      <c r="AS23">
        <f t="shared" si="0"/>
        <v>0</v>
      </c>
      <c r="AT23" s="283">
        <f>AR23*'MAR Statistics'!$C$10</f>
        <v>0</v>
      </c>
      <c r="AV23" s="283">
        <f t="shared" si="1"/>
        <v>0</v>
      </c>
      <c r="AW23" s="283">
        <f t="shared" si="2"/>
        <v>0</v>
      </c>
      <c r="AX23" s="283">
        <f t="shared" si="3"/>
        <v>0</v>
      </c>
      <c r="AY23" s="283" cm="1">
        <f t="array" ref="AY23">COUNTIFS($C23:$AG23,"9",$C$4:$AG$4,"1")+SUM(COUNTIFS($C23:$AG23,{"8","9"},$C$4:$AG$4,"2"))+COUNTIFS($C23:$AG23,"8",$C$4:$AG$4,"3")</f>
        <v>0</v>
      </c>
      <c r="AZ23" s="283">
        <f t="shared" si="4"/>
        <v>0</v>
      </c>
      <c r="BA23" s="283">
        <f t="shared" si="5"/>
        <v>0</v>
      </c>
      <c r="BB23" s="283">
        <f>AV23*'Spreadsheet Key'!$A$27+AW23*'Spreadsheet Key'!$A$28+AX23*'Spreadsheet Key'!$A$29+AY23*'Spreadsheet Key'!$A$30+AZ23*'Spreadsheet Key'!$A$31</f>
        <v>0</v>
      </c>
    </row>
    <row r="24" spans="1:56">
      <c r="A24" s="3112" t="s">
        <v>692</v>
      </c>
      <c r="B24" s="2389" t="s">
        <v>693</v>
      </c>
      <c r="C24" s="2659">
        <v>0</v>
      </c>
      <c r="D24" s="2659">
        <v>9</v>
      </c>
      <c r="E24" s="2659">
        <v>0</v>
      </c>
      <c r="F24" s="2659">
        <v>0</v>
      </c>
      <c r="G24" s="2659">
        <v>0</v>
      </c>
      <c r="H24" s="2659">
        <v>0</v>
      </c>
      <c r="I24" s="2659">
        <v>0</v>
      </c>
      <c r="J24" s="2659">
        <v>0</v>
      </c>
      <c r="K24" s="2659">
        <v>0</v>
      </c>
      <c r="L24" s="2659">
        <v>0</v>
      </c>
      <c r="M24" s="2659">
        <v>0</v>
      </c>
      <c r="N24" s="2659">
        <v>0</v>
      </c>
      <c r="O24" s="2659">
        <v>0</v>
      </c>
      <c r="P24" s="2659">
        <v>0</v>
      </c>
      <c r="Q24" s="2659">
        <v>0</v>
      </c>
      <c r="R24" s="2659">
        <v>0</v>
      </c>
      <c r="S24" s="2659">
        <v>0</v>
      </c>
      <c r="T24" s="2659">
        <v>0</v>
      </c>
      <c r="U24" s="2659">
        <v>0</v>
      </c>
      <c r="V24" s="2659">
        <v>9</v>
      </c>
      <c r="W24" s="2659">
        <v>0</v>
      </c>
      <c r="X24" s="2659">
        <v>0</v>
      </c>
      <c r="Y24" s="2659">
        <v>0</v>
      </c>
      <c r="Z24" s="2659">
        <v>0</v>
      </c>
      <c r="AA24" s="2659">
        <v>0</v>
      </c>
      <c r="AB24" s="2659">
        <v>0</v>
      </c>
      <c r="AC24" s="2659">
        <v>0</v>
      </c>
      <c r="AD24" s="2659">
        <v>8</v>
      </c>
      <c r="AE24" s="2659">
        <v>0</v>
      </c>
      <c r="AF24" s="2659">
        <v>0</v>
      </c>
      <c r="AG24" s="2659">
        <v>0</v>
      </c>
      <c r="AH24" s="3126"/>
      <c r="AI24" s="3202">
        <v>0</v>
      </c>
      <c r="AJ24" s="283" cm="1">
        <f t="array" ref="AJ24">SUM(COUNTIFS($C24:$AG24,{"0","4","5","6","7","8","9"}))</f>
        <v>31</v>
      </c>
      <c r="AK24" s="283" cm="1">
        <f t="array" ref="AK24">SUM(COUNTIFS($C24:$AG24,{"0","4","5","6","7","8","9"},$C$4:$AG$4,"0"))</f>
        <v>17</v>
      </c>
      <c r="AL24" s="283" cm="1">
        <f t="array" ref="AL24">SUM(COUNTIFS($C24:$AG24,{"0","4","5","6","7","8","9"},$C$4:$AG$4,"1"))</f>
        <v>4</v>
      </c>
      <c r="AM24" s="283" cm="1">
        <f t="array" ref="AM24">SUM(COUNTIFS($C24:$AG24,{"0","4","5","6","7","8","9"},$C$4:$AG$4,"2"))</f>
        <v>5</v>
      </c>
      <c r="AN24" s="283" cm="1">
        <f t="array" ref="AN24">SUM(COUNTIFS($C24:$AG24,{"0","4","5","6","7","8","9"},$C$4:$AG$4,"3"))</f>
        <v>5</v>
      </c>
      <c r="AO24" s="283" cm="1">
        <f t="array" ref="AO24">SUM(COUNTIFS($C24:$AG24,{"1","2","3"}))</f>
        <v>0</v>
      </c>
      <c r="AP24" s="283" cm="1">
        <f t="array" ref="AP24">SUM(COUNTIFS($C24:$AG24,{"4","5","6"}))</f>
        <v>0</v>
      </c>
      <c r="AQ24" s="283">
        <f>AK24*'Spreadsheet Key'!$A$23 + AL24*'Spreadsheet Key'!$A$24 + AM24*'Spreadsheet Key'!$A$25 + AN24*'Spreadsheet Key'!$A$26</f>
        <v>1230</v>
      </c>
      <c r="AR24" s="283">
        <f>AJ24/('MAR Statistics'!$B$29)*ABS(AI24-1)</f>
        <v>5.0488599348534204E-2</v>
      </c>
      <c r="AS24">
        <f t="shared" si="0"/>
        <v>0</v>
      </c>
      <c r="AT24" s="283">
        <f>AR24*'MAR Statistics'!$C$10</f>
        <v>56.449535830618899</v>
      </c>
      <c r="AV24" s="283">
        <f t="shared" si="1"/>
        <v>0</v>
      </c>
      <c r="AW24" s="283">
        <f t="shared" si="2"/>
        <v>1</v>
      </c>
      <c r="AX24" s="283">
        <f t="shared" si="3"/>
        <v>1</v>
      </c>
      <c r="AY24" s="283" cm="1">
        <f t="array" ref="AY24">COUNTIFS($C24:$AG24,"9",$C$4:$AG$4,"1")+SUM(COUNTIFS($C24:$AG24,{"8","9"},$C$4:$AG$4,"2"))+COUNTIFS($C24:$AG24,"8",$C$4:$AG$4,"3")</f>
        <v>0</v>
      </c>
      <c r="AZ24" s="283">
        <f t="shared" si="4"/>
        <v>1</v>
      </c>
      <c r="BA24" s="283">
        <f t="shared" si="5"/>
        <v>3</v>
      </c>
      <c r="BB24" s="283">
        <f>AV24*'Spreadsheet Key'!$A$27+AW24*'Spreadsheet Key'!$A$28+AX24*'Spreadsheet Key'!$A$29+AY24*'Spreadsheet Key'!$A$30+AZ24*'Spreadsheet Key'!$A$31</f>
        <v>50</v>
      </c>
      <c r="BD24" s="283">
        <f t="shared" ref="BD24" si="14">AT24-BB24</f>
        <v>6.449535830618899</v>
      </c>
    </row>
    <row r="25" spans="1:56">
      <c r="A25" s="2389"/>
      <c r="B25" s="2389"/>
      <c r="C25" s="779"/>
      <c r="D25" s="779"/>
      <c r="E25" s="779"/>
      <c r="F25" s="2434" t="s">
        <v>720</v>
      </c>
      <c r="G25" s="779"/>
      <c r="H25" s="779"/>
      <c r="I25" s="2434"/>
      <c r="J25" s="779"/>
      <c r="K25" s="779"/>
      <c r="L25" s="779"/>
      <c r="M25" s="779"/>
      <c r="N25" s="779"/>
      <c r="O25" s="779"/>
      <c r="P25" s="779"/>
      <c r="Q25" s="779"/>
      <c r="R25" s="779"/>
      <c r="S25" s="2434" t="s">
        <v>722</v>
      </c>
      <c r="T25" s="779"/>
      <c r="U25" s="779"/>
      <c r="V25" s="779"/>
      <c r="W25" s="779"/>
      <c r="X25" s="2434" t="s">
        <v>722</v>
      </c>
      <c r="Y25" s="779"/>
      <c r="Z25" s="779"/>
      <c r="AA25" s="779"/>
      <c r="AB25" s="779"/>
      <c r="AC25" s="779"/>
      <c r="AD25" s="779"/>
      <c r="AE25" s="779"/>
      <c r="AF25" s="779"/>
      <c r="AG25" s="779"/>
      <c r="AH25" s="3126"/>
      <c r="AI25" s="3202"/>
      <c r="AJ25" s="283" cm="1">
        <f t="array" ref="AJ25">SUM(COUNTIFS($C25:$AG25,{"0","4","5","6","7","8","9"}))</f>
        <v>0</v>
      </c>
      <c r="AK25" s="283" cm="1">
        <f t="array" ref="AK25">SUM(COUNTIFS($C25:$AG25,{"0","4","5","6","7","8","9"},$C$4:$AG$4,"0"))</f>
        <v>0</v>
      </c>
      <c r="AL25" s="283" cm="1">
        <f t="array" ref="AL25">SUM(COUNTIFS($C25:$AG25,{"0","4","5","6","7","8","9"},$C$4:$AG$4,"1"))</f>
        <v>0</v>
      </c>
      <c r="AM25" s="283" cm="1">
        <f t="array" ref="AM25">SUM(COUNTIFS($C25:$AG25,{"0","4","5","6","7","8","9"},$C$4:$AG$4,"2"))</f>
        <v>0</v>
      </c>
      <c r="AN25" s="283" cm="1">
        <f t="array" ref="AN25">SUM(COUNTIFS($C25:$AG25,{"0","4","5","6","7","8","9"},$C$4:$AG$4,"3"))</f>
        <v>0</v>
      </c>
      <c r="AO25" s="283" cm="1">
        <f t="array" ref="AO25">SUM(COUNTIFS($C25:$AG25,{"1","2","3"}))</f>
        <v>0</v>
      </c>
      <c r="AP25" s="283" cm="1">
        <f t="array" ref="AP25">SUM(COUNTIFS($C25:$AG25,{"4","5","6"}))</f>
        <v>0</v>
      </c>
      <c r="AQ25" s="283">
        <f>AK25*'Spreadsheet Key'!$A$23 + AL25*'Spreadsheet Key'!$A$24 + AM25*'Spreadsheet Key'!$A$25 + AN25*'Spreadsheet Key'!$A$26</f>
        <v>0</v>
      </c>
      <c r="AR25" s="283">
        <f>AJ25/('MAR Statistics'!$B$29)*ABS(AI25-1)</f>
        <v>0</v>
      </c>
      <c r="AS25">
        <f t="shared" si="0"/>
        <v>0</v>
      </c>
      <c r="AT25" s="283">
        <f>AR25*'MAR Statistics'!$C$10</f>
        <v>0</v>
      </c>
      <c r="AV25" s="283">
        <f t="shared" si="1"/>
        <v>0</v>
      </c>
      <c r="AW25" s="283">
        <f t="shared" si="2"/>
        <v>0</v>
      </c>
      <c r="AX25" s="283">
        <f t="shared" si="3"/>
        <v>0</v>
      </c>
      <c r="AY25" s="283" cm="1">
        <f t="array" ref="AY25">COUNTIFS($C25:$AG25,"9",$C$4:$AG$4,"1")+SUM(COUNTIFS($C25:$AG25,{"8","9"},$C$4:$AG$4,"2"))+COUNTIFS($C25:$AG25,"8",$C$4:$AG$4,"3")</f>
        <v>0</v>
      </c>
      <c r="AZ25" s="283">
        <f t="shared" si="4"/>
        <v>0</v>
      </c>
      <c r="BA25" s="283">
        <f t="shared" si="5"/>
        <v>0</v>
      </c>
      <c r="BB25" s="283">
        <f>AV25*'Spreadsheet Key'!$A$27+AW25*'Spreadsheet Key'!$A$28+AX25*'Spreadsheet Key'!$A$29+AY25*'Spreadsheet Key'!$A$30+AZ25*'Spreadsheet Key'!$A$31</f>
        <v>0</v>
      </c>
    </row>
    <row r="26" spans="1:56">
      <c r="A26" s="2389" t="s">
        <v>127</v>
      </c>
      <c r="B26" s="2389" t="s">
        <v>657</v>
      </c>
      <c r="C26" s="2659">
        <v>0</v>
      </c>
      <c r="D26" s="2659">
        <v>0</v>
      </c>
      <c r="E26" s="2659">
        <v>0</v>
      </c>
      <c r="F26" s="2659">
        <v>8</v>
      </c>
      <c r="G26" s="2659">
        <v>0</v>
      </c>
      <c r="H26" s="2659">
        <v>0</v>
      </c>
      <c r="I26" s="2659">
        <v>0</v>
      </c>
      <c r="J26" s="2659">
        <v>0</v>
      </c>
      <c r="K26" s="2659">
        <v>0</v>
      </c>
      <c r="L26" s="2659">
        <v>0</v>
      </c>
      <c r="M26" s="2659">
        <v>0</v>
      </c>
      <c r="N26" s="2659">
        <v>0</v>
      </c>
      <c r="O26" s="2659">
        <v>0</v>
      </c>
      <c r="P26" s="2659">
        <v>0</v>
      </c>
      <c r="Q26" s="2659">
        <v>0</v>
      </c>
      <c r="R26" s="2659">
        <v>0</v>
      </c>
      <c r="S26" s="2659">
        <v>9</v>
      </c>
      <c r="T26" s="2659">
        <v>0</v>
      </c>
      <c r="U26" s="2659">
        <v>0</v>
      </c>
      <c r="V26" s="2659">
        <v>0</v>
      </c>
      <c r="W26" s="2659">
        <v>0</v>
      </c>
      <c r="X26" s="2659">
        <v>9</v>
      </c>
      <c r="Y26" s="2659">
        <v>0</v>
      </c>
      <c r="Z26" s="2659">
        <v>0</v>
      </c>
      <c r="AA26" s="2659">
        <v>0</v>
      </c>
      <c r="AB26" s="2659">
        <v>0</v>
      </c>
      <c r="AC26" s="2659">
        <v>0</v>
      </c>
      <c r="AD26" s="2659">
        <v>0</v>
      </c>
      <c r="AE26" s="2659">
        <v>0</v>
      </c>
      <c r="AF26" s="2659">
        <v>0</v>
      </c>
      <c r="AG26" s="2659">
        <v>0</v>
      </c>
      <c r="AH26" s="3126"/>
      <c r="AI26" s="3202">
        <v>0</v>
      </c>
      <c r="AJ26" s="283" cm="1">
        <f t="array" ref="AJ26">SUM(COUNTIFS($C26:$AG26,{"0","4","5","6","7","8","9"}))</f>
        <v>31</v>
      </c>
      <c r="AK26" s="283" cm="1">
        <f t="array" ref="AK26">SUM(COUNTIFS($C26:$AG26,{"0","4","5","6","7","8","9"},$C$4:$AG$4,"0"))</f>
        <v>17</v>
      </c>
      <c r="AL26" s="283" cm="1">
        <f t="array" ref="AL26">SUM(COUNTIFS($C26:$AG26,{"0","4","5","6","7","8","9"},$C$4:$AG$4,"1"))</f>
        <v>4</v>
      </c>
      <c r="AM26" s="283" cm="1">
        <f t="array" ref="AM26">SUM(COUNTIFS($C26:$AG26,{"0","4","5","6","7","8","9"},$C$4:$AG$4,"2"))</f>
        <v>5</v>
      </c>
      <c r="AN26" s="283" cm="1">
        <f t="array" ref="AN26">SUM(COUNTIFS($C26:$AG26,{"0","4","5","6","7","8","9"},$C$4:$AG$4,"3"))</f>
        <v>5</v>
      </c>
      <c r="AO26" s="283" cm="1">
        <f t="array" ref="AO26">SUM(COUNTIFS($C26:$AG26,{"1","2","3"}))</f>
        <v>0</v>
      </c>
      <c r="AP26" s="283" cm="1">
        <f t="array" ref="AP26">SUM(COUNTIFS($C26:$AG26,{"4","5","6"}))</f>
        <v>0</v>
      </c>
      <c r="AQ26" s="283">
        <f>AK26*'Spreadsheet Key'!$A$23 + AL26*'Spreadsheet Key'!$A$24 + AM26*'Spreadsheet Key'!$A$25 + AN26*'Spreadsheet Key'!$A$26</f>
        <v>1230</v>
      </c>
      <c r="AR26" s="283">
        <f>AJ26/('MAR Statistics'!$B$29)*ABS(AI26-1)</f>
        <v>5.0488599348534204E-2</v>
      </c>
      <c r="AS26">
        <f t="shared" si="0"/>
        <v>0</v>
      </c>
      <c r="AT26" s="283">
        <f>AR26*'MAR Statistics'!$C$10</f>
        <v>56.449535830618899</v>
      </c>
      <c r="AV26" s="283">
        <f t="shared" si="1"/>
        <v>1</v>
      </c>
      <c r="AW26" s="283">
        <f t="shared" si="2"/>
        <v>1</v>
      </c>
      <c r="AX26" s="283">
        <f t="shared" si="3"/>
        <v>0</v>
      </c>
      <c r="AY26" s="283" cm="1">
        <f t="array" ref="AY26">COUNTIFS($C26:$AG26,"9",$C$4:$AG$4,"1")+SUM(COUNTIFS($C26:$AG26,{"8","9"},$C$4:$AG$4,"2"))+COUNTIFS($C26:$AG26,"8",$C$4:$AG$4,"3")</f>
        <v>1</v>
      </c>
      <c r="AZ26" s="283">
        <f t="shared" si="4"/>
        <v>0</v>
      </c>
      <c r="BA26" s="283">
        <f t="shared" si="5"/>
        <v>3</v>
      </c>
      <c r="BB26" s="283">
        <f>AV26*'Spreadsheet Key'!$A$27+AW26*'Spreadsheet Key'!$A$28+AX26*'Spreadsheet Key'!$A$29+AY26*'Spreadsheet Key'!$A$30+AZ26*'Spreadsheet Key'!$A$31</f>
        <v>58</v>
      </c>
      <c r="BD26" s="283">
        <f t="shared" ref="BD26" si="15">AT26-BB26</f>
        <v>-1.550464169381101</v>
      </c>
    </row>
    <row r="27" spans="1:56">
      <c r="A27" s="2389"/>
      <c r="B27" s="2389"/>
      <c r="C27" s="6251" t="s">
        <v>1245</v>
      </c>
      <c r="D27" s="6251"/>
      <c r="E27" s="6251"/>
      <c r="F27" s="6251"/>
      <c r="G27" s="779"/>
      <c r="H27" s="2716"/>
      <c r="I27" s="779"/>
      <c r="J27" s="3685"/>
      <c r="K27" s="779"/>
      <c r="L27" s="779"/>
      <c r="M27" s="779"/>
      <c r="N27" s="779"/>
      <c r="O27" s="779"/>
      <c r="P27" s="2434"/>
      <c r="Q27" s="2434" t="s">
        <v>720</v>
      </c>
      <c r="R27" s="779"/>
      <c r="S27" s="779"/>
      <c r="T27" s="779"/>
      <c r="U27" s="2434"/>
      <c r="V27" s="779"/>
      <c r="W27" s="779"/>
      <c r="X27" s="779"/>
      <c r="Y27" s="2434"/>
      <c r="Z27" s="2434" t="s">
        <v>722</v>
      </c>
      <c r="AA27" s="779"/>
      <c r="AB27" s="779"/>
      <c r="AC27" s="779"/>
      <c r="AD27" s="779"/>
      <c r="AE27" s="779"/>
      <c r="AF27" s="779"/>
      <c r="AG27" s="779"/>
      <c r="AH27" s="3126"/>
      <c r="AI27" s="3202"/>
      <c r="AJ27" s="283" cm="1">
        <f t="array" ref="AJ27">SUM(COUNTIFS($C27:$AG27,{"0","4","5","6","7","8","9"}))</f>
        <v>0</v>
      </c>
      <c r="AK27" s="283" cm="1">
        <f t="array" ref="AK27">SUM(COUNTIFS($C27:$AG27,{"0","4","5","6","7","8","9"},$C$4:$AG$4,"0"))</f>
        <v>0</v>
      </c>
      <c r="AL27" s="283" cm="1">
        <f t="array" ref="AL27">SUM(COUNTIFS($C27:$AG27,{"0","4","5","6","7","8","9"},$C$4:$AG$4,"1"))</f>
        <v>0</v>
      </c>
      <c r="AM27" s="283" cm="1">
        <f t="array" ref="AM27">SUM(COUNTIFS($C27:$AG27,{"0","4","5","6","7","8","9"},$C$4:$AG$4,"2"))</f>
        <v>0</v>
      </c>
      <c r="AN27" s="283" cm="1">
        <f t="array" ref="AN27">SUM(COUNTIFS($C27:$AG27,{"0","4","5","6","7","8","9"},$C$4:$AG$4,"3"))</f>
        <v>0</v>
      </c>
      <c r="AO27" s="283" cm="1">
        <f t="array" ref="AO27">SUM(COUNTIFS($C27:$AG27,{"1","2","3"}))</f>
        <v>0</v>
      </c>
      <c r="AP27" s="283" cm="1">
        <f t="array" ref="AP27">SUM(COUNTIFS($C27:$AG27,{"4","5","6"}))</f>
        <v>0</v>
      </c>
      <c r="AQ27" s="283">
        <f>AK27*'Spreadsheet Key'!$A$23 + AL27*'Spreadsheet Key'!$A$24 + AM27*'Spreadsheet Key'!$A$25 + AN27*'Spreadsheet Key'!$A$26</f>
        <v>0</v>
      </c>
      <c r="AR27" s="283">
        <f>AJ27/('MAR Statistics'!$B$29)*ABS(AI27-1)</f>
        <v>0</v>
      </c>
      <c r="AS27">
        <f t="shared" si="0"/>
        <v>0</v>
      </c>
      <c r="AT27" s="283">
        <f>AR27*'MAR Statistics'!$C$10</f>
        <v>0</v>
      </c>
      <c r="AV27" s="283">
        <f t="shared" si="1"/>
        <v>0</v>
      </c>
      <c r="AW27" s="283">
        <f t="shared" si="2"/>
        <v>0</v>
      </c>
      <c r="AX27" s="283">
        <f t="shared" si="3"/>
        <v>0</v>
      </c>
      <c r="AY27" s="283" cm="1">
        <f t="array" ref="AY27">COUNTIFS($C27:$AG27,"9",$C$4:$AG$4,"1")+SUM(COUNTIFS($C27:$AG27,{"8","9"},$C$4:$AG$4,"2"))+COUNTIFS($C27:$AG27,"8",$C$4:$AG$4,"3")</f>
        <v>0</v>
      </c>
      <c r="AZ27" s="283">
        <f t="shared" si="4"/>
        <v>0</v>
      </c>
      <c r="BA27" s="283">
        <f t="shared" si="5"/>
        <v>0</v>
      </c>
      <c r="BB27" s="283">
        <f>AV27*'Spreadsheet Key'!$A$27+AW27*'Spreadsheet Key'!$A$28+AX27*'Spreadsheet Key'!$A$29+AY27*'Spreadsheet Key'!$A$30+AZ27*'Spreadsheet Key'!$A$31</f>
        <v>0</v>
      </c>
    </row>
    <row r="28" spans="1:56">
      <c r="A28" s="2389" t="s">
        <v>129</v>
      </c>
      <c r="B28" s="2389" t="s">
        <v>474</v>
      </c>
      <c r="C28" s="2659">
        <v>4</v>
      </c>
      <c r="D28" s="2659">
        <v>5</v>
      </c>
      <c r="E28" s="2659">
        <v>5</v>
      </c>
      <c r="F28" s="2659">
        <v>6</v>
      </c>
      <c r="G28" s="2659">
        <v>0</v>
      </c>
      <c r="H28" s="2659">
        <v>0</v>
      </c>
      <c r="I28" s="2659">
        <v>0</v>
      </c>
      <c r="J28" s="2659">
        <v>0</v>
      </c>
      <c r="K28" s="2659">
        <v>0</v>
      </c>
      <c r="L28" s="2659">
        <v>0</v>
      </c>
      <c r="M28" s="2659">
        <v>0</v>
      </c>
      <c r="N28" s="2659">
        <v>0</v>
      </c>
      <c r="O28" s="2659">
        <v>0</v>
      </c>
      <c r="P28" s="2659">
        <v>0</v>
      </c>
      <c r="Q28" s="2659">
        <v>8</v>
      </c>
      <c r="R28" s="2659">
        <v>0</v>
      </c>
      <c r="S28" s="2659">
        <v>0</v>
      </c>
      <c r="T28" s="2659">
        <v>0</v>
      </c>
      <c r="U28" s="2659">
        <v>0</v>
      </c>
      <c r="V28" s="2659">
        <v>0</v>
      </c>
      <c r="W28" s="2659">
        <v>0</v>
      </c>
      <c r="X28" s="2659">
        <v>0</v>
      </c>
      <c r="Y28" s="2659">
        <v>0</v>
      </c>
      <c r="Z28" s="2659">
        <v>9</v>
      </c>
      <c r="AA28" s="2659">
        <v>0</v>
      </c>
      <c r="AB28" s="2659">
        <v>0</v>
      </c>
      <c r="AC28" s="2659">
        <v>0</v>
      </c>
      <c r="AD28" s="2659">
        <v>0</v>
      </c>
      <c r="AE28" s="2659">
        <v>0</v>
      </c>
      <c r="AF28" s="2659">
        <v>0</v>
      </c>
      <c r="AG28" s="2659">
        <v>0</v>
      </c>
      <c r="AH28" s="3126"/>
      <c r="AI28" s="3202">
        <v>0</v>
      </c>
      <c r="AJ28" s="283" cm="1">
        <f t="array" ref="AJ28">SUM(COUNTIFS($C28:$AG28,{"0","4","5","6","7","8","9"}))</f>
        <v>31</v>
      </c>
      <c r="AK28" s="283" cm="1">
        <f t="array" ref="AK28">SUM(COUNTIFS($C28:$AG28,{"0","4","5","6","7","8","9"},$C$4:$AG$4,"0"))</f>
        <v>17</v>
      </c>
      <c r="AL28" s="283" cm="1">
        <f t="array" ref="AL28">SUM(COUNTIFS($C28:$AG28,{"0","4","5","6","7","8","9"},$C$4:$AG$4,"1"))</f>
        <v>4</v>
      </c>
      <c r="AM28" s="283" cm="1">
        <f t="array" ref="AM28">SUM(COUNTIFS($C28:$AG28,{"0","4","5","6","7","8","9"},$C$4:$AG$4,"2"))</f>
        <v>5</v>
      </c>
      <c r="AN28" s="283" cm="1">
        <f t="array" ref="AN28">SUM(COUNTIFS($C28:$AG28,{"0","4","5","6","7","8","9"},$C$4:$AG$4,"3"))</f>
        <v>5</v>
      </c>
      <c r="AO28" s="283" cm="1">
        <f t="array" ref="AO28">SUM(COUNTIFS($C28:$AG28,{"1","2","3"}))</f>
        <v>0</v>
      </c>
      <c r="AP28" s="283" cm="1">
        <f t="array" ref="AP28">SUM(COUNTIFS($C28:$AG28,{"4","5","6"}))</f>
        <v>4</v>
      </c>
      <c r="AQ28" s="283">
        <f>AK28*'Spreadsheet Key'!$A$23 + AL28*'Spreadsheet Key'!$A$24 + AM28*'Spreadsheet Key'!$A$25 + AN28*'Spreadsheet Key'!$A$26</f>
        <v>1230</v>
      </c>
      <c r="AR28" s="283">
        <f>AJ28/('MAR Statistics'!$B$29)*ABS(AI28-1)</f>
        <v>5.0488599348534204E-2</v>
      </c>
      <c r="AS28">
        <f t="shared" si="0"/>
        <v>0</v>
      </c>
      <c r="AT28" s="283">
        <f>AR28*'MAR Statistics'!$C$10</f>
        <v>56.449535830618899</v>
      </c>
      <c r="AV28" s="283">
        <f t="shared" si="1"/>
        <v>0</v>
      </c>
      <c r="AW28" s="283">
        <f t="shared" si="2"/>
        <v>1</v>
      </c>
      <c r="AX28" s="283">
        <f t="shared" si="3"/>
        <v>0</v>
      </c>
      <c r="AY28" s="283" cm="1">
        <f t="array" ref="AY28">COUNTIFS($C28:$AG28,"9",$C$4:$AG$4,"1")+SUM(COUNTIFS($C28:$AG28,{"8","9"},$C$4:$AG$4,"2"))+COUNTIFS($C28:$AG28,"8",$C$4:$AG$4,"3")</f>
        <v>1</v>
      </c>
      <c r="AZ28" s="283">
        <f t="shared" si="4"/>
        <v>0</v>
      </c>
      <c r="BA28" s="283">
        <f t="shared" si="5"/>
        <v>2</v>
      </c>
      <c r="BB28" s="283">
        <f>AV28*'Spreadsheet Key'!$A$27+AW28*'Spreadsheet Key'!$A$28+AX28*'Spreadsheet Key'!$A$29+AY28*'Spreadsheet Key'!$A$30+AZ28*'Spreadsheet Key'!$A$31</f>
        <v>48</v>
      </c>
      <c r="BD28" s="283">
        <f t="shared" ref="BD28" si="16">AT28-BB28</f>
        <v>8.449535830618899</v>
      </c>
    </row>
    <row r="29" spans="1:56">
      <c r="A29" s="2389"/>
      <c r="B29" s="2389"/>
      <c r="C29" s="779"/>
      <c r="D29" s="779"/>
      <c r="E29" s="2434" t="s">
        <v>722</v>
      </c>
      <c r="F29" s="779"/>
      <c r="G29" s="779"/>
      <c r="H29" s="779"/>
      <c r="I29" s="779"/>
      <c r="J29" s="779"/>
      <c r="K29" s="2434"/>
      <c r="L29" s="779"/>
      <c r="M29" s="779"/>
      <c r="N29" s="779"/>
      <c r="O29" s="2434" t="s">
        <v>722</v>
      </c>
      <c r="P29" s="779"/>
      <c r="Q29" s="779"/>
      <c r="R29" s="779"/>
      <c r="S29" s="779"/>
      <c r="T29" s="779"/>
      <c r="U29" s="779"/>
      <c r="V29" s="779"/>
      <c r="W29" s="779"/>
      <c r="X29" s="779"/>
      <c r="Y29" s="2434"/>
      <c r="Z29" s="779"/>
      <c r="AA29" s="779"/>
      <c r="AB29" s="779"/>
      <c r="AC29" s="779"/>
      <c r="AD29" s="3010" t="s">
        <v>1025</v>
      </c>
      <c r="AE29" s="6244" t="s">
        <v>1231</v>
      </c>
      <c r="AF29" s="6244"/>
      <c r="AG29" s="3010" t="s">
        <v>1025</v>
      </c>
      <c r="AH29" s="3126"/>
      <c r="AI29" s="3202"/>
      <c r="AJ29" s="283" cm="1">
        <f t="array" ref="AJ29">SUM(COUNTIFS($C29:$AG29,{"0","4","5","6","7","8","9"}))</f>
        <v>0</v>
      </c>
      <c r="AK29" s="283" cm="1">
        <f t="array" ref="AK29">SUM(COUNTIFS($C29:$AG29,{"0","4","5","6","7","8","9"},$C$4:$AG$4,"0"))</f>
        <v>0</v>
      </c>
      <c r="AL29" s="283" cm="1">
        <f t="array" ref="AL29">SUM(COUNTIFS($C29:$AG29,{"0","4","5","6","7","8","9"},$C$4:$AG$4,"1"))</f>
        <v>0</v>
      </c>
      <c r="AM29" s="283" cm="1">
        <f t="array" ref="AM29">SUM(COUNTIFS($C29:$AG29,{"0","4","5","6","7","8","9"},$C$4:$AG$4,"2"))</f>
        <v>0</v>
      </c>
      <c r="AN29" s="283" cm="1">
        <f t="array" ref="AN29">SUM(COUNTIFS($C29:$AG29,{"0","4","5","6","7","8","9"},$C$4:$AG$4,"3"))</f>
        <v>0</v>
      </c>
      <c r="AO29" s="283" cm="1">
        <f t="array" ref="AO29">SUM(COUNTIFS($C29:$AG29,{"1","2","3"}))</f>
        <v>0</v>
      </c>
      <c r="AP29" s="283" cm="1">
        <f t="array" ref="AP29">SUM(COUNTIFS($C29:$AG29,{"4","5","6"}))</f>
        <v>0</v>
      </c>
      <c r="AQ29" s="283">
        <f>AK29*'Spreadsheet Key'!$A$23 + AL29*'Spreadsheet Key'!$A$24 + AM29*'Spreadsheet Key'!$A$25 + AN29*'Spreadsheet Key'!$A$26</f>
        <v>0</v>
      </c>
      <c r="AR29" s="283">
        <f>AJ29/('MAR Statistics'!$B$29)*ABS(AI29-1)</f>
        <v>0</v>
      </c>
      <c r="AS29">
        <f t="shared" si="0"/>
        <v>0</v>
      </c>
      <c r="AT29" s="283">
        <f>AR29*'MAR Statistics'!$C$10</f>
        <v>0</v>
      </c>
      <c r="AV29" s="283">
        <f t="shared" si="1"/>
        <v>0</v>
      </c>
      <c r="AW29" s="283">
        <f t="shared" si="2"/>
        <v>0</v>
      </c>
      <c r="AX29" s="283">
        <f t="shared" si="3"/>
        <v>0</v>
      </c>
      <c r="AY29" s="283" cm="1">
        <f t="array" ref="AY29">COUNTIFS($C29:$AG29,"9",$C$4:$AG$4,"1")+SUM(COUNTIFS($C29:$AG29,{"8","9"},$C$4:$AG$4,"2"))+COUNTIFS($C29:$AG29,"8",$C$4:$AG$4,"3")</f>
        <v>0</v>
      </c>
      <c r="AZ29" s="283">
        <f t="shared" si="4"/>
        <v>0</v>
      </c>
      <c r="BA29" s="283">
        <f t="shared" si="5"/>
        <v>0</v>
      </c>
      <c r="BB29" s="283">
        <f>AV29*'Spreadsheet Key'!$A$27+AW29*'Spreadsheet Key'!$A$28+AX29*'Spreadsheet Key'!$A$29+AY29*'Spreadsheet Key'!$A$30+AZ29*'Spreadsheet Key'!$A$31</f>
        <v>0</v>
      </c>
    </row>
    <row r="30" spans="1:56">
      <c r="A30" s="2389" t="s">
        <v>155</v>
      </c>
      <c r="B30" s="2389" t="s">
        <v>135</v>
      </c>
      <c r="C30" s="2659">
        <v>0</v>
      </c>
      <c r="D30" s="2659">
        <v>0</v>
      </c>
      <c r="E30" s="2659">
        <v>9</v>
      </c>
      <c r="F30" s="2659">
        <v>0</v>
      </c>
      <c r="G30" s="2659">
        <v>0</v>
      </c>
      <c r="H30" s="2659">
        <v>0</v>
      </c>
      <c r="I30" s="2659">
        <v>0</v>
      </c>
      <c r="J30" s="2659">
        <v>0</v>
      </c>
      <c r="K30" s="2659">
        <v>0</v>
      </c>
      <c r="L30" s="2659">
        <v>0</v>
      </c>
      <c r="M30" s="2659">
        <v>0</v>
      </c>
      <c r="N30" s="2659">
        <v>0</v>
      </c>
      <c r="O30" s="2659">
        <v>9</v>
      </c>
      <c r="P30" s="2659">
        <v>0</v>
      </c>
      <c r="Q30" s="2659">
        <v>0</v>
      </c>
      <c r="R30" s="2659">
        <v>0</v>
      </c>
      <c r="S30" s="2659">
        <v>0</v>
      </c>
      <c r="T30" s="2659">
        <v>0</v>
      </c>
      <c r="U30" s="2659">
        <v>0</v>
      </c>
      <c r="V30" s="2659">
        <v>0</v>
      </c>
      <c r="W30" s="2659">
        <v>0</v>
      </c>
      <c r="X30" s="2659">
        <v>0</v>
      </c>
      <c r="Y30" s="2659">
        <v>0</v>
      </c>
      <c r="Z30" s="2659">
        <v>0</v>
      </c>
      <c r="AA30" s="2659">
        <v>0</v>
      </c>
      <c r="AB30" s="2659">
        <v>0</v>
      </c>
      <c r="AC30" s="2659">
        <v>0</v>
      </c>
      <c r="AD30" s="2659">
        <v>1</v>
      </c>
      <c r="AE30" s="2659">
        <v>2</v>
      </c>
      <c r="AF30" s="2659">
        <v>2</v>
      </c>
      <c r="AG30" s="2659">
        <v>3</v>
      </c>
      <c r="AH30" s="3126"/>
      <c r="AI30" s="3202">
        <v>0</v>
      </c>
      <c r="AJ30" s="283" cm="1">
        <f t="array" ref="AJ30">SUM(COUNTIFS($C30:$AG30,{"0","4","5","6","7","8","9"}))</f>
        <v>27</v>
      </c>
      <c r="AK30" s="283" cm="1">
        <f t="array" ref="AK30">SUM(COUNTIFS($C30:$AG30,{"0","4","5","6","7","8","9"},$C$4:$AG$4,"0"))</f>
        <v>16</v>
      </c>
      <c r="AL30" s="283" cm="1">
        <f t="array" ref="AL30">SUM(COUNTIFS($C30:$AG30,{"0","4","5","6","7","8","9"},$C$4:$AG$4,"1"))</f>
        <v>3</v>
      </c>
      <c r="AM30" s="283" cm="1">
        <f t="array" ref="AM30">SUM(COUNTIFS($C30:$AG30,{"0","4","5","6","7","8","9"},$C$4:$AG$4,"2"))</f>
        <v>4</v>
      </c>
      <c r="AN30" s="283" cm="1">
        <f t="array" ref="AN30">SUM(COUNTIFS($C30:$AG30,{"0","4","5","6","7","8","9"},$C$4:$AG$4,"3"))</f>
        <v>4</v>
      </c>
      <c r="AO30" s="283" cm="1">
        <f t="array" ref="AO30">SUM(COUNTIFS($C30:$AG30,{"1","2","3"}))</f>
        <v>4</v>
      </c>
      <c r="AP30" s="283" cm="1">
        <f t="array" ref="AP30">SUM(COUNTIFS($C30:$AG30,{"4","5","6"}))</f>
        <v>0</v>
      </c>
      <c r="AQ30" s="283">
        <f>AK30*'Spreadsheet Key'!$A$23 + AL30*'Spreadsheet Key'!$A$24 + AM30*'Spreadsheet Key'!$A$25 + AN30*'Spreadsheet Key'!$A$26</f>
        <v>1026</v>
      </c>
      <c r="AR30" s="283">
        <f>AJ30/('MAR Statistics'!$B$29)*ABS(AI30-1)</f>
        <v>4.3973941368078175E-2</v>
      </c>
      <c r="AS30">
        <f t="shared" si="0"/>
        <v>0</v>
      </c>
      <c r="AT30" s="283">
        <f>AR30*'MAR Statistics'!$C$10</f>
        <v>49.165724755700325</v>
      </c>
      <c r="AV30" s="283">
        <f t="shared" si="1"/>
        <v>0</v>
      </c>
      <c r="AW30" s="283">
        <f t="shared" si="2"/>
        <v>2</v>
      </c>
      <c r="AX30" s="283">
        <f t="shared" si="3"/>
        <v>0</v>
      </c>
      <c r="AY30" s="283" cm="1">
        <f t="array" ref="AY30">COUNTIFS($C30:$AG30,"9",$C$4:$AG$4,"1")+SUM(COUNTIFS($C30:$AG30,{"8","9"},$C$4:$AG$4,"2"))+COUNTIFS($C30:$AG30,"8",$C$4:$AG$4,"3")</f>
        <v>0</v>
      </c>
      <c r="AZ30" s="283">
        <f t="shared" si="4"/>
        <v>0</v>
      </c>
      <c r="BA30" s="283">
        <f t="shared" si="5"/>
        <v>2</v>
      </c>
      <c r="BB30" s="283">
        <f>AV30*'Spreadsheet Key'!$A$27+AW30*'Spreadsheet Key'!$A$28+AX30*'Spreadsheet Key'!$A$29+AY30*'Spreadsheet Key'!$A$30+AZ30*'Spreadsheet Key'!$A$31</f>
        <v>24</v>
      </c>
      <c r="BD30" s="283">
        <f t="shared" ref="BD30" si="17">AT30-BB30</f>
        <v>25.165724755700325</v>
      </c>
    </row>
    <row r="31" spans="1:56">
      <c r="A31" s="2389"/>
      <c r="B31" s="2389"/>
      <c r="C31" s="779"/>
      <c r="D31" s="779"/>
      <c r="E31" s="779"/>
      <c r="F31" s="779"/>
      <c r="G31" s="779"/>
      <c r="H31" s="2434" t="s">
        <v>722</v>
      </c>
      <c r="I31" s="779"/>
      <c r="J31" s="779"/>
      <c r="K31" s="779"/>
      <c r="L31" s="779"/>
      <c r="M31" s="779"/>
      <c r="N31" s="779"/>
      <c r="O31" s="779"/>
      <c r="P31" s="779"/>
      <c r="Q31" s="779"/>
      <c r="R31" s="779"/>
      <c r="S31" s="779"/>
      <c r="T31" s="779"/>
      <c r="U31" s="2434" t="s">
        <v>722</v>
      </c>
      <c r="V31" s="779"/>
      <c r="W31" s="779"/>
      <c r="X31" s="779"/>
      <c r="Y31" s="2434" t="s">
        <v>720</v>
      </c>
      <c r="Z31" s="779"/>
      <c r="AA31" s="779"/>
      <c r="AB31" s="779"/>
      <c r="AC31" s="779"/>
      <c r="AD31" s="779"/>
      <c r="AE31" s="779"/>
      <c r="AF31" s="779"/>
      <c r="AG31" s="779"/>
      <c r="AH31" s="3126"/>
      <c r="AI31" s="3202"/>
      <c r="AJ31" s="283" cm="1">
        <f t="array" ref="AJ31">SUM(COUNTIFS($C31:$AG31,{"0","4","5","6","7","8","9"}))</f>
        <v>0</v>
      </c>
      <c r="AK31" s="283" cm="1">
        <f t="array" ref="AK31">SUM(COUNTIFS($C31:$AG31,{"0","4","5","6","7","8","9"},$C$4:$AG$4,"0"))</f>
        <v>0</v>
      </c>
      <c r="AL31" s="283" cm="1">
        <f t="array" ref="AL31">SUM(COUNTIFS($C31:$AG31,{"0","4","5","6","7","8","9"},$C$4:$AG$4,"1"))</f>
        <v>0</v>
      </c>
      <c r="AM31" s="283" cm="1">
        <f t="array" ref="AM31">SUM(COUNTIFS($C31:$AG31,{"0","4","5","6","7","8","9"},$C$4:$AG$4,"2"))</f>
        <v>0</v>
      </c>
      <c r="AN31" s="283" cm="1">
        <f t="array" ref="AN31">SUM(COUNTIFS($C31:$AG31,{"0","4","5","6","7","8","9"},$C$4:$AG$4,"3"))</f>
        <v>0</v>
      </c>
      <c r="AO31" s="283" cm="1">
        <f t="array" ref="AO31">SUM(COUNTIFS($C31:$AG31,{"1","2","3"}))</f>
        <v>0</v>
      </c>
      <c r="AP31" s="283" cm="1">
        <f t="array" ref="AP31">SUM(COUNTIFS($C31:$AG31,{"4","5","6"}))</f>
        <v>0</v>
      </c>
      <c r="AQ31" s="283">
        <f>AK31*'Spreadsheet Key'!$A$23 + AL31*'Spreadsheet Key'!$A$24 + AM31*'Spreadsheet Key'!$A$25 + AN31*'Spreadsheet Key'!$A$26</f>
        <v>0</v>
      </c>
      <c r="AR31" s="283">
        <f>AJ31/('MAR Statistics'!$B$29)*ABS(AI31-1)</f>
        <v>0</v>
      </c>
      <c r="AS31">
        <f t="shared" si="0"/>
        <v>0</v>
      </c>
      <c r="AT31" s="283">
        <f>AR31*'MAR Statistics'!$C$10</f>
        <v>0</v>
      </c>
      <c r="AV31" s="283">
        <f t="shared" si="1"/>
        <v>0</v>
      </c>
      <c r="AW31" s="283">
        <f t="shared" si="2"/>
        <v>0</v>
      </c>
      <c r="AX31" s="283">
        <f t="shared" si="3"/>
        <v>0</v>
      </c>
      <c r="AY31" s="283" cm="1">
        <f t="array" ref="AY31">COUNTIFS($C31:$AG31,"9",$C$4:$AG$4,"1")+SUM(COUNTIFS($C31:$AG31,{"8","9"},$C$4:$AG$4,"2"))+COUNTIFS($C31:$AG31,"8",$C$4:$AG$4,"3")</f>
        <v>0</v>
      </c>
      <c r="AZ31" s="283">
        <f t="shared" si="4"/>
        <v>0</v>
      </c>
      <c r="BA31" s="283">
        <f t="shared" si="5"/>
        <v>0</v>
      </c>
      <c r="BB31" s="283">
        <f>AV31*'Spreadsheet Key'!$A$27+AW31*'Spreadsheet Key'!$A$28+AX31*'Spreadsheet Key'!$A$29+AY31*'Spreadsheet Key'!$A$30+AZ31*'Spreadsheet Key'!$A$31</f>
        <v>0</v>
      </c>
    </row>
    <row r="32" spans="1:56">
      <c r="A32" s="2389" t="s">
        <v>1056</v>
      </c>
      <c r="B32" s="2389" t="s">
        <v>334</v>
      </c>
      <c r="C32" s="2659">
        <v>0</v>
      </c>
      <c r="D32" s="2659">
        <v>0</v>
      </c>
      <c r="E32" s="2659">
        <v>0</v>
      </c>
      <c r="F32" s="2659">
        <v>0</v>
      </c>
      <c r="G32" s="2659">
        <v>0</v>
      </c>
      <c r="H32" s="2659">
        <v>9</v>
      </c>
      <c r="I32" s="2659">
        <v>0</v>
      </c>
      <c r="J32" s="2659">
        <v>0</v>
      </c>
      <c r="K32" s="2659">
        <v>0</v>
      </c>
      <c r="L32" s="2659">
        <v>0</v>
      </c>
      <c r="M32" s="2659">
        <v>0</v>
      </c>
      <c r="N32" s="2659">
        <v>0</v>
      </c>
      <c r="O32" s="2659">
        <v>0</v>
      </c>
      <c r="P32" s="2659">
        <v>0</v>
      </c>
      <c r="Q32" s="2659">
        <v>0</v>
      </c>
      <c r="R32" s="2659">
        <v>0</v>
      </c>
      <c r="S32" s="2659">
        <v>0</v>
      </c>
      <c r="T32" s="2659">
        <v>0</v>
      </c>
      <c r="U32" s="2659">
        <v>9</v>
      </c>
      <c r="V32" s="2659">
        <v>0</v>
      </c>
      <c r="W32" s="2659">
        <v>0</v>
      </c>
      <c r="X32" s="2659">
        <v>0</v>
      </c>
      <c r="Y32" s="2659">
        <v>8</v>
      </c>
      <c r="Z32" s="2659">
        <v>0</v>
      </c>
      <c r="AA32" s="2659">
        <v>0</v>
      </c>
      <c r="AB32" s="2659">
        <v>0</v>
      </c>
      <c r="AC32" s="2659">
        <v>0</v>
      </c>
      <c r="AD32" s="2659">
        <v>0</v>
      </c>
      <c r="AE32" s="2659">
        <v>0</v>
      </c>
      <c r="AF32" s="2659">
        <v>0</v>
      </c>
      <c r="AG32" s="2659">
        <v>0</v>
      </c>
      <c r="AH32" s="3126"/>
      <c r="AI32" s="3202">
        <v>0</v>
      </c>
      <c r="AJ32" s="283" cm="1">
        <f t="array" ref="AJ32">SUM(COUNTIFS($C32:$AG32,{"0","4","5","6","7","8","9"}))</f>
        <v>31</v>
      </c>
      <c r="AK32" s="283" cm="1">
        <f t="array" ref="AK32">SUM(COUNTIFS($C32:$AG32,{"0","4","5","6","7","8","9"},$C$4:$AG$4,"0"))</f>
        <v>17</v>
      </c>
      <c r="AL32" s="283" cm="1">
        <f t="array" ref="AL32">SUM(COUNTIFS($C32:$AG32,{"0","4","5","6","7","8","9"},$C$4:$AG$4,"1"))</f>
        <v>4</v>
      </c>
      <c r="AM32" s="283" cm="1">
        <f t="array" ref="AM32">SUM(COUNTIFS($C32:$AG32,{"0","4","5","6","7","8","9"},$C$4:$AG$4,"2"))</f>
        <v>5</v>
      </c>
      <c r="AN32" s="283" cm="1">
        <f t="array" ref="AN32">SUM(COUNTIFS($C32:$AG32,{"0","4","5","6","7","8","9"},$C$4:$AG$4,"3"))</f>
        <v>5</v>
      </c>
      <c r="AO32" s="283" cm="1">
        <f t="array" ref="AO32">SUM(COUNTIFS($C32:$AG32,{"1","2","3"}))</f>
        <v>0</v>
      </c>
      <c r="AP32" s="283" cm="1">
        <f t="array" ref="AP32">SUM(COUNTIFS($C32:$AG32,{"4","5","6"}))</f>
        <v>0</v>
      </c>
      <c r="AQ32" s="283">
        <f>AK32*'Spreadsheet Key'!$A$23 + AL32*'Spreadsheet Key'!$A$24 + AM32*'Spreadsheet Key'!$A$25 + AN32*'Spreadsheet Key'!$A$26</f>
        <v>1230</v>
      </c>
      <c r="AR32" s="283">
        <f>AJ32/('MAR Statistics'!$B$29)*ABS(AI32-1)</f>
        <v>5.0488599348534204E-2</v>
      </c>
      <c r="AS32">
        <f t="shared" si="0"/>
        <v>0</v>
      </c>
      <c r="AT32" s="283">
        <f>AR32*'MAR Statistics'!$C$10</f>
        <v>56.449535830618899</v>
      </c>
      <c r="AV32" s="283">
        <f t="shared" si="1"/>
        <v>0</v>
      </c>
      <c r="AW32" s="283">
        <f t="shared" si="2"/>
        <v>2</v>
      </c>
      <c r="AX32" s="283">
        <f t="shared" si="3"/>
        <v>0</v>
      </c>
      <c r="AY32" s="283" cm="1">
        <f t="array" ref="AY32">COUNTIFS($C32:$AG32,"9",$C$4:$AG$4,"1")+SUM(COUNTIFS($C32:$AG32,{"8","9"},$C$4:$AG$4,"2"))+COUNTIFS($C32:$AG32,"8",$C$4:$AG$4,"3")</f>
        <v>1</v>
      </c>
      <c r="AZ32" s="283">
        <f t="shared" si="4"/>
        <v>0</v>
      </c>
      <c r="BA32" s="283">
        <f t="shared" si="5"/>
        <v>3</v>
      </c>
      <c r="BB32" s="283">
        <f>AV32*'Spreadsheet Key'!$A$27+AW32*'Spreadsheet Key'!$A$28+AX32*'Spreadsheet Key'!$A$29+AY32*'Spreadsheet Key'!$A$30+AZ32*'Spreadsheet Key'!$A$31</f>
        <v>60</v>
      </c>
      <c r="BD32" s="283">
        <f t="shared" ref="BD32" si="18">AT32-BB32</f>
        <v>-3.550464169381101</v>
      </c>
    </row>
    <row r="33" spans="1:56">
      <c r="A33" s="56"/>
      <c r="B33" s="56"/>
      <c r="C33" s="3010" t="s">
        <v>1025</v>
      </c>
      <c r="D33" s="779"/>
      <c r="E33" s="2434"/>
      <c r="F33" s="779"/>
      <c r="G33" s="4475" t="s">
        <v>1248</v>
      </c>
      <c r="H33" s="4475"/>
      <c r="I33" s="4475"/>
      <c r="J33" s="4475"/>
      <c r="K33" s="4475"/>
      <c r="L33" s="4475"/>
      <c r="M33" s="4475"/>
      <c r="N33" s="4475"/>
      <c r="O33" s="4475"/>
      <c r="P33" s="4475"/>
      <c r="Q33" s="4475"/>
      <c r="R33" s="4475"/>
      <c r="S33" s="4475"/>
      <c r="T33" s="4475"/>
      <c r="U33" s="4475"/>
      <c r="V33" s="4475"/>
      <c r="W33" s="4475"/>
      <c r="X33" s="4475"/>
      <c r="Y33" s="4475"/>
      <c r="Z33" s="4475"/>
      <c r="AA33" s="779"/>
      <c r="AB33" s="779"/>
      <c r="AC33" s="779"/>
      <c r="AD33" s="2434"/>
      <c r="AE33" s="2434" t="s">
        <v>722</v>
      </c>
      <c r="AF33" s="779"/>
      <c r="AG33" s="779"/>
      <c r="AH33" s="3126"/>
      <c r="AI33" s="3202"/>
      <c r="AJ33" s="283" cm="1">
        <f t="array" ref="AJ33">SUM(COUNTIFS($C33:$AG33,{"0","4","5","6","7","8","9"}))</f>
        <v>0</v>
      </c>
      <c r="AK33" s="283" cm="1">
        <f t="array" ref="AK33">SUM(COUNTIFS($C33:$AG33,{"0","4","5","6","7","8","9"},$C$4:$AG$4,"0"))</f>
        <v>0</v>
      </c>
      <c r="AL33" s="283" cm="1">
        <f t="array" ref="AL33">SUM(COUNTIFS($C33:$AG33,{"0","4","5","6","7","8","9"},$C$4:$AG$4,"1"))</f>
        <v>0</v>
      </c>
      <c r="AM33" s="283" cm="1">
        <f t="array" ref="AM33">SUM(COUNTIFS($C33:$AG33,{"0","4","5","6","7","8","9"},$C$4:$AG$4,"2"))</f>
        <v>0</v>
      </c>
      <c r="AN33" s="283" cm="1">
        <f t="array" ref="AN33">SUM(COUNTIFS($C33:$AG33,{"0","4","5","6","7","8","9"},$C$4:$AG$4,"3"))</f>
        <v>0</v>
      </c>
      <c r="AO33" s="283" cm="1">
        <f t="array" ref="AO33">SUM(COUNTIFS($C33:$AG33,{"1","2","3"}))</f>
        <v>0</v>
      </c>
      <c r="AP33" s="283" cm="1">
        <f t="array" ref="AP33">SUM(COUNTIFS($C33:$AG33,{"4","5","6"}))</f>
        <v>0</v>
      </c>
      <c r="AQ33" s="283">
        <f>AK33*'Spreadsheet Key'!$A$23 + AL33*'Spreadsheet Key'!$A$24 + AM33*'Spreadsheet Key'!$A$25 + AN33*'Spreadsheet Key'!$A$26</f>
        <v>0</v>
      </c>
      <c r="AR33" s="283">
        <f>AJ33/('MAR Statistics'!$B$29)*ABS(AI33-1)</f>
        <v>0</v>
      </c>
      <c r="AS33">
        <f t="shared" si="0"/>
        <v>0</v>
      </c>
      <c r="AT33" s="283">
        <f>AR33*'MAR Statistics'!$C$10</f>
        <v>0</v>
      </c>
      <c r="AV33" s="283">
        <f t="shared" si="1"/>
        <v>0</v>
      </c>
      <c r="AW33" s="283">
        <f t="shared" si="2"/>
        <v>0</v>
      </c>
      <c r="AX33" s="283">
        <f t="shared" si="3"/>
        <v>0</v>
      </c>
      <c r="AY33" s="283" cm="1">
        <f t="array" ref="AY33">COUNTIFS($C33:$AG33,"9",$C$4:$AG$4,"1")+SUM(COUNTIFS($C33:$AG33,{"8","9"},$C$4:$AG$4,"2"))+COUNTIFS($C33:$AG33,"8",$C$4:$AG$4,"3")</f>
        <v>0</v>
      </c>
      <c r="AZ33" s="283">
        <f t="shared" si="4"/>
        <v>0</v>
      </c>
      <c r="BA33" s="283">
        <f t="shared" si="5"/>
        <v>0</v>
      </c>
      <c r="BB33" s="283">
        <f>AV33*'Spreadsheet Key'!$A$27+AW33*'Spreadsheet Key'!$A$28+AX33*'Spreadsheet Key'!$A$29+AY33*'Spreadsheet Key'!$A$30+AZ33*'Spreadsheet Key'!$A$31</f>
        <v>0</v>
      </c>
    </row>
    <row r="34" spans="1:56">
      <c r="A34" s="56" t="s">
        <v>95</v>
      </c>
      <c r="B34" s="56" t="s">
        <v>620</v>
      </c>
      <c r="C34" s="2659">
        <v>3</v>
      </c>
      <c r="D34" s="2659">
        <v>0</v>
      </c>
      <c r="E34" s="2659">
        <v>0</v>
      </c>
      <c r="F34" s="2659">
        <v>0</v>
      </c>
      <c r="G34" s="2659">
        <v>1</v>
      </c>
      <c r="H34" s="2659">
        <v>2</v>
      </c>
      <c r="I34" s="2659">
        <v>2</v>
      </c>
      <c r="J34" s="2659">
        <v>2</v>
      </c>
      <c r="K34" s="2659">
        <v>2</v>
      </c>
      <c r="L34" s="2659">
        <v>2</v>
      </c>
      <c r="M34" s="2659">
        <v>2</v>
      </c>
      <c r="N34" s="2659">
        <v>2</v>
      </c>
      <c r="O34" s="2659">
        <v>2</v>
      </c>
      <c r="P34" s="2659">
        <v>2</v>
      </c>
      <c r="Q34" s="2659">
        <v>2</v>
      </c>
      <c r="R34" s="2659">
        <v>2</v>
      </c>
      <c r="S34" s="2659">
        <v>2</v>
      </c>
      <c r="T34" s="2659">
        <v>2</v>
      </c>
      <c r="U34" s="2659">
        <v>2</v>
      </c>
      <c r="V34" s="2659">
        <v>2</v>
      </c>
      <c r="W34" s="2659">
        <v>2</v>
      </c>
      <c r="X34" s="2659">
        <v>2</v>
      </c>
      <c r="Y34" s="2659">
        <v>2</v>
      </c>
      <c r="Z34" s="2659">
        <v>3</v>
      </c>
      <c r="AA34" s="2659">
        <v>0</v>
      </c>
      <c r="AB34" s="2659">
        <v>0</v>
      </c>
      <c r="AC34" s="2659">
        <v>0</v>
      </c>
      <c r="AD34" s="2659">
        <v>0</v>
      </c>
      <c r="AE34" s="2659">
        <v>9</v>
      </c>
      <c r="AF34" s="2659">
        <v>0</v>
      </c>
      <c r="AG34" s="2659">
        <v>0</v>
      </c>
      <c r="AH34" s="3126"/>
      <c r="AI34" s="3202">
        <v>0</v>
      </c>
      <c r="AJ34" s="283" cm="1">
        <f t="array" ref="AJ34">SUM(COUNTIFS($C34:$AG34,{"0","4","5","6","7","8","9"}))</f>
        <v>10</v>
      </c>
      <c r="AK34" s="283" cm="1">
        <f t="array" ref="AK34">SUM(COUNTIFS($C34:$AG34,{"0","4","5","6","7","8","9"},$C$4:$AG$4,"0"))</f>
        <v>6</v>
      </c>
      <c r="AL34" s="283" cm="1">
        <f t="array" ref="AL34">SUM(COUNTIFS($C34:$AG34,{"0","4","5","6","7","8","9"},$C$4:$AG$4,"1"))</f>
        <v>1</v>
      </c>
      <c r="AM34" s="283" cm="1">
        <f t="array" ref="AM34">SUM(COUNTIFS($C34:$AG34,{"0","4","5","6","7","8","9"},$C$4:$AG$4,"2"))</f>
        <v>1</v>
      </c>
      <c r="AN34" s="283" cm="1">
        <f t="array" ref="AN34">SUM(COUNTIFS($C34:$AG34,{"0","4","5","6","7","8","9"},$C$4:$AG$4,"3"))</f>
        <v>2</v>
      </c>
      <c r="AO34" s="283" cm="1">
        <f t="array" ref="AO34">SUM(COUNTIFS($C34:$AG34,{"1","2","3"}))</f>
        <v>21</v>
      </c>
      <c r="AP34" s="283" cm="1">
        <f t="array" ref="AP34">SUM(COUNTIFS($C34:$AG34,{"4","5","6"}))</f>
        <v>0</v>
      </c>
      <c r="AQ34" s="283">
        <f>AK34*'Spreadsheet Key'!$A$23 + AL34*'Spreadsheet Key'!$A$24 + AM34*'Spreadsheet Key'!$A$25 + AN34*'Spreadsheet Key'!$A$26</f>
        <v>370</v>
      </c>
      <c r="AR34" s="283">
        <f>AJ34/('MAR Statistics'!$B$29)*ABS(AI34-1)</f>
        <v>1.6286644951140065E-2</v>
      </c>
      <c r="AS34">
        <f t="shared" si="0"/>
        <v>0</v>
      </c>
      <c r="AT34" s="283">
        <f>AR34*'MAR Statistics'!$C$10</f>
        <v>18.209527687296418</v>
      </c>
      <c r="AV34" s="283">
        <f t="shared" si="1"/>
        <v>0</v>
      </c>
      <c r="AW34" s="283">
        <f t="shared" si="2"/>
        <v>0</v>
      </c>
      <c r="AX34" s="283">
        <f t="shared" si="3"/>
        <v>0</v>
      </c>
      <c r="AY34" s="283" cm="1">
        <f t="array" ref="AY34">COUNTIFS($C34:$AG34,"9",$C$4:$AG$4,"1")+SUM(COUNTIFS($C34:$AG34,{"8","9"},$C$4:$AG$4,"2"))+COUNTIFS($C34:$AG34,"8",$C$4:$AG$4,"3")</f>
        <v>1</v>
      </c>
      <c r="AZ34" s="283">
        <f t="shared" si="4"/>
        <v>0</v>
      </c>
      <c r="BA34" s="283">
        <f t="shared" si="5"/>
        <v>1</v>
      </c>
      <c r="BB34" s="283">
        <f>AV34*'Spreadsheet Key'!$A$27+AW34*'Spreadsheet Key'!$A$28+AX34*'Spreadsheet Key'!$A$29+AY34*'Spreadsheet Key'!$A$30+AZ34*'Spreadsheet Key'!$A$31</f>
        <v>36</v>
      </c>
      <c r="BD34" s="283">
        <f t="shared" ref="BD34" si="19">AT34-BB34</f>
        <v>-17.790472312703582</v>
      </c>
    </row>
    <row r="35" spans="1:56" s="3139" customFormat="1">
      <c r="A35" s="56"/>
      <c r="B35" s="56"/>
      <c r="C35" s="3678" t="s">
        <v>1025</v>
      </c>
      <c r="D35" s="779"/>
      <c r="E35" s="6190" t="s">
        <v>1234</v>
      </c>
      <c r="F35" s="6190"/>
      <c r="G35" s="6190"/>
      <c r="H35" s="6190"/>
      <c r="I35" s="6190"/>
      <c r="J35" s="2434" t="s">
        <v>722</v>
      </c>
      <c r="K35" s="779"/>
      <c r="L35" s="779"/>
      <c r="M35" s="2949" t="s">
        <v>1235</v>
      </c>
      <c r="N35" s="779"/>
      <c r="O35" s="779"/>
      <c r="P35" s="3685" t="s">
        <v>1249</v>
      </c>
      <c r="Q35" s="779"/>
      <c r="R35" s="779"/>
      <c r="S35" s="779"/>
      <c r="T35" s="2434" t="s">
        <v>720</v>
      </c>
      <c r="U35" s="779"/>
      <c r="V35" s="779"/>
      <c r="W35" s="4475" t="s">
        <v>1250</v>
      </c>
      <c r="X35" s="4475"/>
      <c r="Y35" s="4475"/>
      <c r="Z35" s="4475"/>
      <c r="AA35" s="4475"/>
      <c r="AB35" s="4475"/>
      <c r="AC35" s="4475"/>
      <c r="AD35" s="4475"/>
      <c r="AE35" s="4475"/>
      <c r="AF35" s="4475"/>
      <c r="AG35" s="4475"/>
      <c r="AH35" s="3126"/>
      <c r="AI35" s="3202"/>
      <c r="AJ35" s="283" cm="1">
        <f t="array" ref="AJ35">SUM(COUNTIFS($C35:$AG35,{"0","4","5","6","7","8","9"}))</f>
        <v>0</v>
      </c>
      <c r="AK35" s="283" cm="1">
        <f t="array" ref="AK35">SUM(COUNTIFS($C35:$AG35,{"0","4","5","6","7","8","9"},$C$4:$AG$4,"0"))</f>
        <v>0</v>
      </c>
      <c r="AL35" s="283" cm="1">
        <f t="array" ref="AL35">SUM(COUNTIFS($C35:$AG35,{"0","4","5","6","7","8","9"},$C$4:$AG$4,"1"))</f>
        <v>0</v>
      </c>
      <c r="AM35" s="283" cm="1">
        <f t="array" ref="AM35">SUM(COUNTIFS($C35:$AG35,{"0","4","5","6","7","8","9"},$C$4:$AG$4,"2"))</f>
        <v>0</v>
      </c>
      <c r="AN35" s="283" cm="1">
        <f t="array" ref="AN35">SUM(COUNTIFS($C35:$AG35,{"0","4","5","6","7","8","9"},$C$4:$AG$4,"3"))</f>
        <v>0</v>
      </c>
      <c r="AO35" s="283" cm="1">
        <f t="array" ref="AO35">SUM(COUNTIFS($C35:$AG35,{"1","2","3"}))</f>
        <v>0</v>
      </c>
      <c r="AP35" s="283" cm="1">
        <f t="array" ref="AP35">SUM(COUNTIFS($C35:$AG35,{"4","5","6"}))</f>
        <v>0</v>
      </c>
      <c r="AQ35" s="283">
        <f>AK35*'Spreadsheet Key'!$A$23 + AL35*'Spreadsheet Key'!$A$24 + AM35*'Spreadsheet Key'!$A$25 + AN35*'Spreadsheet Key'!$A$26</f>
        <v>0</v>
      </c>
      <c r="AR35" s="283">
        <f>AJ35/('MAR Statistics'!$B$29)*ABS(AI35-1)</f>
        <v>0</v>
      </c>
      <c r="AS35">
        <f t="shared" si="0"/>
        <v>0</v>
      </c>
      <c r="AT35" s="283">
        <f>AR35*'MAR Statistics'!$C$10</f>
        <v>0</v>
      </c>
      <c r="AU35" s="283"/>
      <c r="AV35" s="283">
        <f t="shared" si="1"/>
        <v>0</v>
      </c>
      <c r="AW35" s="283">
        <f t="shared" si="2"/>
        <v>0</v>
      </c>
      <c r="AX35" s="283">
        <f t="shared" si="3"/>
        <v>0</v>
      </c>
      <c r="AY35" s="283" cm="1">
        <f t="array" ref="AY35">COUNTIFS($C35:$AG35,"9",$C$4:$AG$4,"1")+SUM(COUNTIFS($C35:$AG35,{"8","9"},$C$4:$AG$4,"2"))+COUNTIFS($C35:$AG35,"8",$C$4:$AG$4,"3")</f>
        <v>0</v>
      </c>
      <c r="AZ35" s="283">
        <f t="shared" si="4"/>
        <v>0</v>
      </c>
      <c r="BA35" s="283">
        <f t="shared" si="5"/>
        <v>0</v>
      </c>
      <c r="BB35" s="283">
        <f>AV35*'Spreadsheet Key'!$A$27+AW35*'Spreadsheet Key'!$A$28+AX35*'Spreadsheet Key'!$A$29+AY35*'Spreadsheet Key'!$A$30+AZ35*'Spreadsheet Key'!$A$31</f>
        <v>0</v>
      </c>
      <c r="BC35" s="283"/>
      <c r="BD35" s="283"/>
    </row>
    <row r="36" spans="1:56" s="3139" customFormat="1">
      <c r="A36" s="56" t="s">
        <v>95</v>
      </c>
      <c r="B36" s="56" t="s">
        <v>1037</v>
      </c>
      <c r="C36" s="2659">
        <v>6</v>
      </c>
      <c r="D36" s="2659">
        <v>0</v>
      </c>
      <c r="E36" s="2659">
        <v>7</v>
      </c>
      <c r="F36" s="2659">
        <v>7</v>
      </c>
      <c r="G36" s="2659">
        <v>7</v>
      </c>
      <c r="H36" s="2659">
        <v>7</v>
      </c>
      <c r="I36" s="2659">
        <v>7</v>
      </c>
      <c r="J36" s="2659">
        <v>9</v>
      </c>
      <c r="K36" s="2659">
        <v>0</v>
      </c>
      <c r="L36" s="2659">
        <v>0</v>
      </c>
      <c r="M36" s="2659">
        <v>7</v>
      </c>
      <c r="N36" s="2659">
        <v>0</v>
      </c>
      <c r="O36" s="2659">
        <v>0</v>
      </c>
      <c r="P36" s="2659">
        <v>7</v>
      </c>
      <c r="Q36" s="2659">
        <v>0</v>
      </c>
      <c r="R36" s="2659">
        <v>0</v>
      </c>
      <c r="S36" s="2659">
        <v>0</v>
      </c>
      <c r="T36" s="2659">
        <v>8</v>
      </c>
      <c r="U36" s="2659">
        <v>0</v>
      </c>
      <c r="V36" s="2659">
        <v>0</v>
      </c>
      <c r="W36" s="2659">
        <v>1</v>
      </c>
      <c r="X36" s="2659">
        <v>2</v>
      </c>
      <c r="Y36" s="2659">
        <v>2</v>
      </c>
      <c r="Z36" s="2659">
        <v>2</v>
      </c>
      <c r="AA36" s="2659">
        <v>2</v>
      </c>
      <c r="AB36" s="2659">
        <v>2</v>
      </c>
      <c r="AC36" s="2659">
        <v>2</v>
      </c>
      <c r="AD36" s="2659">
        <v>2</v>
      </c>
      <c r="AE36" s="2659">
        <v>2</v>
      </c>
      <c r="AF36" s="2659">
        <v>2</v>
      </c>
      <c r="AG36" s="2659">
        <v>2</v>
      </c>
      <c r="AH36" s="3126"/>
      <c r="AI36" s="3202">
        <v>0</v>
      </c>
      <c r="AJ36" s="283" cm="1">
        <f t="array" ref="AJ36">SUM(COUNTIFS($C36:$AG36,{"0","4","5","6","7","8","9"}))</f>
        <v>20</v>
      </c>
      <c r="AK36" s="283" cm="1">
        <f t="array" ref="AK36">SUM(COUNTIFS($C36:$AG36,{"0","4","5","6","7","8","9"},$C$4:$AG$4,"0"))</f>
        <v>12</v>
      </c>
      <c r="AL36" s="283" cm="1">
        <f t="array" ref="AL36">SUM(COUNTIFS($C36:$AG36,{"0","4","5","6","7","8","9"},$C$4:$AG$4,"1"))</f>
        <v>2</v>
      </c>
      <c r="AM36" s="283" cm="1">
        <f t="array" ref="AM36">SUM(COUNTIFS($C36:$AG36,{"0","4","5","6","7","8","9"},$C$4:$AG$4,"2"))</f>
        <v>3</v>
      </c>
      <c r="AN36" s="283" cm="1">
        <f t="array" ref="AN36">SUM(COUNTIFS($C36:$AG36,{"0","4","5","6","7","8","9"},$C$4:$AG$4,"3"))</f>
        <v>3</v>
      </c>
      <c r="AO36" s="283" cm="1">
        <f t="array" ref="AO36">SUM(COUNTIFS($C36:$AG36,{"1","2","3"}))</f>
        <v>11</v>
      </c>
      <c r="AP36" s="283" cm="1">
        <f t="array" ref="AP36">SUM(COUNTIFS($C36:$AG36,{"4","5","6"}))</f>
        <v>1</v>
      </c>
      <c r="AQ36" s="283">
        <f>AK36*'Spreadsheet Key'!$A$23 + AL36*'Spreadsheet Key'!$A$24 + AM36*'Spreadsheet Key'!$A$25 + AN36*'Spreadsheet Key'!$A$26</f>
        <v>756</v>
      </c>
      <c r="AR36" s="283">
        <f>AJ36/('MAR Statistics'!$B$29)*ABS(AI36-1)</f>
        <v>3.2573289902280131E-2</v>
      </c>
      <c r="AS36">
        <f t="shared" si="0"/>
        <v>0</v>
      </c>
      <c r="AT36" s="283">
        <f>AR36*'MAR Statistics'!$C$10</f>
        <v>36.419055374592837</v>
      </c>
      <c r="AU36" s="283"/>
      <c r="AV36" s="283">
        <f t="shared" si="1"/>
        <v>1</v>
      </c>
      <c r="AW36" s="283">
        <f t="shared" si="2"/>
        <v>0</v>
      </c>
      <c r="AX36" s="283">
        <f t="shared" si="3"/>
        <v>0</v>
      </c>
      <c r="AY36" s="283" cm="1">
        <f t="array" ref="AY36">COUNTIFS($C36:$AG36,"9",$C$4:$AG$4,"1")+SUM(COUNTIFS($C36:$AG36,{"8","9"},$C$4:$AG$4,"2"))+COUNTIFS($C36:$AG36,"8",$C$4:$AG$4,"3")</f>
        <v>1</v>
      </c>
      <c r="AZ36" s="283">
        <f t="shared" si="4"/>
        <v>0</v>
      </c>
      <c r="BA36" s="283">
        <f t="shared" si="5"/>
        <v>2</v>
      </c>
      <c r="BB36" s="283">
        <f>AV36*'Spreadsheet Key'!$A$27+AW36*'Spreadsheet Key'!$A$28+AX36*'Spreadsheet Key'!$A$29+AY36*'Spreadsheet Key'!$A$30+AZ36*'Spreadsheet Key'!$A$31</f>
        <v>46</v>
      </c>
      <c r="BC36" s="283"/>
      <c r="BD36" s="283">
        <f t="shared" ref="BD36" si="20">AT36-BB36</f>
        <v>-9.5809446254071631</v>
      </c>
    </row>
    <row r="37" spans="1:56" s="3139" customFormat="1">
      <c r="A37" s="56"/>
      <c r="B37" s="56"/>
      <c r="C37" s="3678" t="s">
        <v>1025</v>
      </c>
      <c r="D37" s="779"/>
      <c r="E37" s="6190" t="s">
        <v>1234</v>
      </c>
      <c r="F37" s="6190"/>
      <c r="G37" s="6190"/>
      <c r="H37" s="6190"/>
      <c r="I37" s="6190"/>
      <c r="J37" s="779"/>
      <c r="K37" s="2434" t="s">
        <v>722</v>
      </c>
      <c r="L37" s="779"/>
      <c r="M37" s="2949" t="s">
        <v>1235</v>
      </c>
      <c r="N37" s="779"/>
      <c r="O37" s="2434" t="s">
        <v>720</v>
      </c>
      <c r="P37" s="779"/>
      <c r="Q37" s="779"/>
      <c r="R37" s="779"/>
      <c r="S37" s="3010" t="s">
        <v>1025</v>
      </c>
      <c r="T37" s="6099" t="s">
        <v>1233</v>
      </c>
      <c r="U37" s="6099"/>
      <c r="V37" s="6099"/>
      <c r="W37" s="3010" t="s">
        <v>1025</v>
      </c>
      <c r="X37" s="779"/>
      <c r="Y37" s="3010" t="s">
        <v>1025</v>
      </c>
      <c r="Z37" s="6190" t="s">
        <v>1246</v>
      </c>
      <c r="AA37" s="6190"/>
      <c r="AB37" s="6190"/>
      <c r="AC37" s="6190"/>
      <c r="AD37" s="6190"/>
      <c r="AE37" s="4475" t="s">
        <v>1247</v>
      </c>
      <c r="AF37" s="4475"/>
      <c r="AG37" s="4475"/>
      <c r="AH37" s="3126"/>
      <c r="AI37" s="3202"/>
      <c r="AJ37" s="283" cm="1">
        <f t="array" ref="AJ37">SUM(COUNTIFS($C37:$AG37,{"0","4","5","6","7","8","9"}))</f>
        <v>0</v>
      </c>
      <c r="AK37" s="283" cm="1">
        <f t="array" ref="AK37">SUM(COUNTIFS($C37:$AG37,{"0","4","5","6","7","8","9"},$C$4:$AG$4,"0"))</f>
        <v>0</v>
      </c>
      <c r="AL37" s="283" cm="1">
        <f t="array" ref="AL37">SUM(COUNTIFS($C37:$AG37,{"0","4","5","6","7","8","9"},$C$4:$AG$4,"1"))</f>
        <v>0</v>
      </c>
      <c r="AM37" s="283" cm="1">
        <f t="array" ref="AM37">SUM(COUNTIFS($C37:$AG37,{"0","4","5","6","7","8","9"},$C$4:$AG$4,"2"))</f>
        <v>0</v>
      </c>
      <c r="AN37" s="283" cm="1">
        <f t="array" ref="AN37">SUM(COUNTIFS($C37:$AG37,{"0","4","5","6","7","8","9"},$C$4:$AG$4,"3"))</f>
        <v>0</v>
      </c>
      <c r="AO37" s="283" cm="1">
        <f t="array" ref="AO37">SUM(COUNTIFS($C37:$AG37,{"1","2","3"}))</f>
        <v>0</v>
      </c>
      <c r="AP37" s="283" cm="1">
        <f t="array" ref="AP37">SUM(COUNTIFS($C37:$AG37,{"4","5","6"}))</f>
        <v>0</v>
      </c>
      <c r="AQ37" s="283">
        <f>AK37*'Spreadsheet Key'!$A$23 + AL37*'Spreadsheet Key'!$A$24 + AM37*'Spreadsheet Key'!$A$25 + AN37*'Spreadsheet Key'!$A$26</f>
        <v>0</v>
      </c>
      <c r="AR37" s="283">
        <f>AJ37/('MAR Statistics'!$B$29)*ABS(AI37-1)</f>
        <v>0</v>
      </c>
      <c r="AS37">
        <f t="shared" si="0"/>
        <v>0</v>
      </c>
      <c r="AT37" s="283">
        <f>AR37*'MAR Statistics'!$C$10</f>
        <v>0</v>
      </c>
      <c r="AU37" s="283"/>
      <c r="AV37" s="283">
        <f t="shared" si="1"/>
        <v>0</v>
      </c>
      <c r="AW37" s="283">
        <f t="shared" si="2"/>
        <v>0</v>
      </c>
      <c r="AX37" s="283">
        <f t="shared" si="3"/>
        <v>0</v>
      </c>
      <c r="AY37" s="283" cm="1">
        <f t="array" ref="AY37">COUNTIFS($C37:$AG37,"9",$C$4:$AG$4,"1")+SUM(COUNTIFS($C37:$AG37,{"8","9"},$C$4:$AG$4,"2"))+COUNTIFS($C37:$AG37,"8",$C$4:$AG$4,"3")</f>
        <v>0</v>
      </c>
      <c r="AZ37" s="283">
        <f t="shared" si="4"/>
        <v>0</v>
      </c>
      <c r="BA37" s="283">
        <f t="shared" si="5"/>
        <v>0</v>
      </c>
      <c r="BB37" s="283">
        <f>AV37*'Spreadsheet Key'!$A$27+AW37*'Spreadsheet Key'!$A$28+AX37*'Spreadsheet Key'!$A$29+AY37*'Spreadsheet Key'!$A$30+AZ37*'Spreadsheet Key'!$A$31</f>
        <v>0</v>
      </c>
      <c r="BC37" s="283"/>
      <c r="BD37" s="283"/>
    </row>
    <row r="38" spans="1:56" s="3139" customFormat="1">
      <c r="A38" s="56" t="s">
        <v>95</v>
      </c>
      <c r="B38" s="56" t="s">
        <v>1058</v>
      </c>
      <c r="C38" s="2659">
        <v>6</v>
      </c>
      <c r="D38" s="2659">
        <v>0</v>
      </c>
      <c r="E38" s="2659">
        <v>7</v>
      </c>
      <c r="F38" s="2659">
        <v>7</v>
      </c>
      <c r="G38" s="2659">
        <v>7</v>
      </c>
      <c r="H38" s="2659">
        <v>7</v>
      </c>
      <c r="I38" s="2659">
        <v>7</v>
      </c>
      <c r="J38" s="2659">
        <v>0</v>
      </c>
      <c r="K38" s="2659">
        <v>9</v>
      </c>
      <c r="L38" s="2659">
        <v>0</v>
      </c>
      <c r="M38" s="2659">
        <v>7</v>
      </c>
      <c r="N38" s="2659">
        <v>0</v>
      </c>
      <c r="O38" s="2659">
        <v>8</v>
      </c>
      <c r="P38" s="2659">
        <v>0</v>
      </c>
      <c r="Q38" s="2659">
        <v>0</v>
      </c>
      <c r="R38" s="2659">
        <v>0</v>
      </c>
      <c r="S38" s="2659">
        <v>1</v>
      </c>
      <c r="T38" s="2659">
        <v>2</v>
      </c>
      <c r="U38" s="2659">
        <v>2</v>
      </c>
      <c r="V38" s="2659">
        <v>2</v>
      </c>
      <c r="W38" s="2659">
        <v>3</v>
      </c>
      <c r="X38" s="2659">
        <v>0</v>
      </c>
      <c r="Y38" s="2659">
        <v>1</v>
      </c>
      <c r="Z38" s="2659">
        <v>2</v>
      </c>
      <c r="AA38" s="2659">
        <v>2</v>
      </c>
      <c r="AB38" s="2659">
        <v>2</v>
      </c>
      <c r="AC38" s="2659">
        <v>2</v>
      </c>
      <c r="AD38" s="2659">
        <v>2</v>
      </c>
      <c r="AE38" s="2659">
        <v>2</v>
      </c>
      <c r="AF38" s="2659">
        <v>2</v>
      </c>
      <c r="AG38" s="2659">
        <v>2</v>
      </c>
      <c r="AH38" s="3126"/>
      <c r="AI38" s="3202">
        <v>0</v>
      </c>
      <c r="AJ38" s="283" cm="1">
        <f t="array" ref="AJ38">SUM(COUNTIFS($C38:$AG38,{"0","4","5","6","7","8","9"}))</f>
        <v>17</v>
      </c>
      <c r="AK38" s="283" cm="1">
        <f t="array" ref="AK38">SUM(COUNTIFS($C38:$AG38,{"0","4","5","6","7","8","9"},$C$4:$AG$4,"0"))</f>
        <v>8</v>
      </c>
      <c r="AL38" s="283" cm="1">
        <f t="array" ref="AL38">SUM(COUNTIFS($C38:$AG38,{"0","4","5","6","7","8","9"},$C$4:$AG$4,"1"))</f>
        <v>2</v>
      </c>
      <c r="AM38" s="283" cm="1">
        <f t="array" ref="AM38">SUM(COUNTIFS($C38:$AG38,{"0","4","5","6","7","8","9"},$C$4:$AG$4,"2"))</f>
        <v>4</v>
      </c>
      <c r="AN38" s="283" cm="1">
        <f t="array" ref="AN38">SUM(COUNTIFS($C38:$AG38,{"0","4","5","6","7","8","9"},$C$4:$AG$4,"3"))</f>
        <v>3</v>
      </c>
      <c r="AO38" s="283" cm="1">
        <f t="array" ref="AO38">SUM(COUNTIFS($C38:$AG38,{"1","2","3"}))</f>
        <v>14</v>
      </c>
      <c r="AP38" s="283" cm="1">
        <f t="array" ref="AP38">SUM(COUNTIFS($C38:$AG38,{"4","5","6"}))</f>
        <v>1</v>
      </c>
      <c r="AQ38" s="283">
        <f>AK38*'Spreadsheet Key'!$A$23 + AL38*'Spreadsheet Key'!$A$24 + AM38*'Spreadsheet Key'!$A$25 + AN38*'Spreadsheet Key'!$A$26</f>
        <v>740</v>
      </c>
      <c r="AR38" s="283">
        <f>AJ38/('MAR Statistics'!$B$29)*ABS(AI38-1)</f>
        <v>2.7687296416938109E-2</v>
      </c>
      <c r="AS38">
        <f t="shared" si="0"/>
        <v>0</v>
      </c>
      <c r="AT38" s="283">
        <f>AR38*'MAR Statistics'!$C$10</f>
        <v>30.95619706840391</v>
      </c>
      <c r="AU38" s="283"/>
      <c r="AV38" s="283">
        <f t="shared" si="1"/>
        <v>1</v>
      </c>
      <c r="AW38" s="283">
        <f t="shared" si="2"/>
        <v>0</v>
      </c>
      <c r="AX38" s="283">
        <f t="shared" si="3"/>
        <v>0</v>
      </c>
      <c r="AY38" s="283" cm="1">
        <f t="array" ref="AY38">COUNTIFS($C38:$AG38,"9",$C$4:$AG$4,"1")+SUM(COUNTIFS($C38:$AG38,{"8","9"},$C$4:$AG$4,"2"))+COUNTIFS($C38:$AG38,"8",$C$4:$AG$4,"3")</f>
        <v>0</v>
      </c>
      <c r="AZ38" s="283">
        <f t="shared" si="4"/>
        <v>1</v>
      </c>
      <c r="BA38" s="283">
        <f t="shared" si="5"/>
        <v>2</v>
      </c>
      <c r="BB38" s="283">
        <f>AV38*'Spreadsheet Key'!$A$27+AW38*'Spreadsheet Key'!$A$28+AX38*'Spreadsheet Key'!$A$29+AY38*'Spreadsheet Key'!$A$30+AZ38*'Spreadsheet Key'!$A$31</f>
        <v>30</v>
      </c>
      <c r="BC38" s="283"/>
      <c r="BD38" s="283">
        <f t="shared" ref="BD38:BD40" si="21">AT38-BB38</f>
        <v>0.95619706840390961</v>
      </c>
    </row>
    <row r="39" spans="1:56">
      <c r="A39" s="3584"/>
      <c r="B39" s="3584"/>
      <c r="C39" s="3140"/>
      <c r="D39" s="3140"/>
      <c r="E39" s="6254" t="s">
        <v>1234</v>
      </c>
      <c r="F39" s="6254"/>
      <c r="G39" s="6254"/>
      <c r="H39" s="6254"/>
      <c r="I39" s="6254"/>
      <c r="J39" s="3140"/>
      <c r="K39" s="3140"/>
      <c r="L39" s="3154"/>
      <c r="M39" s="3141" t="s">
        <v>1235</v>
      </c>
      <c r="N39" s="3140"/>
      <c r="O39" s="3140"/>
      <c r="P39" s="3154" t="s">
        <v>722</v>
      </c>
      <c r="Q39" s="3140"/>
      <c r="R39" s="3140"/>
      <c r="S39" s="3142" t="s">
        <v>1025</v>
      </c>
      <c r="T39" s="6252" t="s">
        <v>1233</v>
      </c>
      <c r="U39" s="6252"/>
      <c r="V39" s="6252"/>
      <c r="W39" s="3142" t="s">
        <v>1025</v>
      </c>
      <c r="X39" s="3140"/>
      <c r="Y39" s="3140"/>
      <c r="Z39" s="3154" t="s">
        <v>720</v>
      </c>
      <c r="AA39" s="3140"/>
      <c r="AB39" s="3140"/>
      <c r="AC39" s="3140"/>
      <c r="AD39" s="3140"/>
      <c r="AE39" s="3154"/>
      <c r="AF39" s="3154"/>
      <c r="AG39" s="3140"/>
      <c r="AH39" s="3126"/>
      <c r="AI39" s="3202"/>
      <c r="AJ39" s="283" cm="1">
        <f t="array" ref="AJ39">SUM(COUNTIFS($C39:$AG39,{"0","4","5","6","7","8","9"}))</f>
        <v>0</v>
      </c>
      <c r="AK39" s="283" cm="1">
        <f t="array" ref="AK39">SUM(COUNTIFS($C39:$AG39,{"0","4","5","6","7","8","9"},$C$4:$AG$4,"0"))</f>
        <v>0</v>
      </c>
      <c r="AL39" s="283" cm="1">
        <f t="array" ref="AL39">SUM(COUNTIFS($C39:$AG39,{"0","4","5","6","7","8","9"},$C$4:$AG$4,"1"))</f>
        <v>0</v>
      </c>
      <c r="AM39" s="283" cm="1">
        <f t="array" ref="AM39">SUM(COUNTIFS($C39:$AG39,{"0","4","5","6","7","8","9"},$C$4:$AG$4,"2"))</f>
        <v>0</v>
      </c>
      <c r="AN39" s="283" cm="1">
        <f t="array" ref="AN39">SUM(COUNTIFS($C39:$AG39,{"0","4","5","6","7","8","9"},$C$4:$AG$4,"3"))</f>
        <v>0</v>
      </c>
      <c r="AO39" s="283" cm="1">
        <f t="array" ref="AO39">SUM(COUNTIFS($C39:$AG39,{"1","2","3"}))</f>
        <v>0</v>
      </c>
      <c r="AP39" s="283" cm="1">
        <f t="array" ref="AP39">SUM(COUNTIFS($C39:$AG39,{"4","5","6"}))</f>
        <v>0</v>
      </c>
      <c r="AQ39" s="283">
        <f>AK39*'Spreadsheet Key'!$A$23 + AL39*'Spreadsheet Key'!$A$24 + AM39*'Spreadsheet Key'!$A$25 + AN39*'Spreadsheet Key'!$A$26</f>
        <v>0</v>
      </c>
      <c r="AR39" s="283">
        <f>AJ39/('MAR Statistics'!$B$29)*ABS(AI39-1)</f>
        <v>0</v>
      </c>
      <c r="AS39">
        <f t="shared" si="0"/>
        <v>0</v>
      </c>
      <c r="AT39" s="283">
        <f>AR39*'MAR Statistics'!$C$10</f>
        <v>0</v>
      </c>
      <c r="AV39" s="283">
        <f t="shared" si="1"/>
        <v>0</v>
      </c>
      <c r="AW39" s="283">
        <f t="shared" si="2"/>
        <v>0</v>
      </c>
      <c r="AX39" s="283">
        <f t="shared" si="3"/>
        <v>0</v>
      </c>
      <c r="AY39" s="283" cm="1">
        <f t="array" ref="AY39">COUNTIFS($C39:$AG39,"9",$C$4:$AG$4,"1")+SUM(COUNTIFS($C39:$AG39,{"8","9"},$C$4:$AG$4,"2"))+COUNTIFS($C39:$AG39,"8",$C$4:$AG$4,"3")</f>
        <v>0</v>
      </c>
      <c r="AZ39" s="283">
        <f t="shared" si="4"/>
        <v>0</v>
      </c>
      <c r="BA39" s="283">
        <f t="shared" si="5"/>
        <v>0</v>
      </c>
      <c r="BB39" s="283">
        <f>AV39*'Spreadsheet Key'!$A$27+AW39*'Spreadsheet Key'!$A$28+AX39*'Spreadsheet Key'!$A$29+AY39*'Spreadsheet Key'!$A$30+AZ39*'Spreadsheet Key'!$A$31</f>
        <v>0</v>
      </c>
    </row>
    <row r="40" spans="1:56">
      <c r="A40" s="56" t="s">
        <v>739</v>
      </c>
      <c r="B40" s="56" t="s">
        <v>740</v>
      </c>
      <c r="C40" s="2659">
        <v>0</v>
      </c>
      <c r="D40" s="2659">
        <v>0</v>
      </c>
      <c r="E40" s="2659">
        <v>7</v>
      </c>
      <c r="F40" s="2659">
        <v>7</v>
      </c>
      <c r="G40" s="2659">
        <v>7</v>
      </c>
      <c r="H40" s="2659">
        <v>7</v>
      </c>
      <c r="I40" s="2659">
        <v>7</v>
      </c>
      <c r="J40" s="2659">
        <v>0</v>
      </c>
      <c r="K40" s="2659">
        <v>0</v>
      </c>
      <c r="L40" s="2659">
        <v>0</v>
      </c>
      <c r="M40" s="2659">
        <v>7</v>
      </c>
      <c r="N40" s="2659">
        <v>0</v>
      </c>
      <c r="O40" s="2659">
        <v>0</v>
      </c>
      <c r="P40" s="2659">
        <v>9</v>
      </c>
      <c r="Q40" s="2659">
        <v>0</v>
      </c>
      <c r="R40" s="2659">
        <v>0</v>
      </c>
      <c r="S40" s="2659">
        <v>1</v>
      </c>
      <c r="T40" s="2659">
        <v>2</v>
      </c>
      <c r="U40" s="2659">
        <v>2</v>
      </c>
      <c r="V40" s="2659">
        <v>2</v>
      </c>
      <c r="W40" s="2659">
        <v>3</v>
      </c>
      <c r="X40" s="2659">
        <v>0</v>
      </c>
      <c r="Y40" s="2659">
        <v>0</v>
      </c>
      <c r="Z40" s="2659">
        <v>8</v>
      </c>
      <c r="AA40" s="2659">
        <v>0</v>
      </c>
      <c r="AB40" s="2659">
        <v>0</v>
      </c>
      <c r="AC40" s="2659">
        <v>0</v>
      </c>
      <c r="AD40" s="2659">
        <v>0</v>
      </c>
      <c r="AE40" s="2659">
        <v>0</v>
      </c>
      <c r="AF40" s="2659">
        <v>0</v>
      </c>
      <c r="AG40" s="2659">
        <v>0</v>
      </c>
      <c r="AH40" s="3126"/>
      <c r="AI40" s="3202">
        <v>0</v>
      </c>
      <c r="AJ40" s="283" cm="1">
        <f t="array" ref="AJ40">SUM(COUNTIFS($C40:$AG40,{"0","4","5","6","7","8","9"}))</f>
        <v>26</v>
      </c>
      <c r="AK40" s="283" cm="1">
        <f t="array" ref="AK40">SUM(COUNTIFS($C40:$AG40,{"0","4","5","6","7","8","9"},$C$4:$AG$4,"0"))</f>
        <v>13</v>
      </c>
      <c r="AL40" s="283" cm="1">
        <f t="array" ref="AL40">SUM(COUNTIFS($C40:$AG40,{"0","4","5","6","7","8","9"},$C$4:$AG$4,"1"))</f>
        <v>3</v>
      </c>
      <c r="AM40" s="283" cm="1">
        <f t="array" ref="AM40">SUM(COUNTIFS($C40:$AG40,{"0","4","5","6","7","8","9"},$C$4:$AG$4,"2"))</f>
        <v>5</v>
      </c>
      <c r="AN40" s="283" cm="1">
        <f t="array" ref="AN40">SUM(COUNTIFS($C40:$AG40,{"0","4","5","6","7","8","9"},$C$4:$AG$4,"3"))</f>
        <v>5</v>
      </c>
      <c r="AO40" s="283" cm="1">
        <f t="array" ref="AO40">SUM(COUNTIFS($C40:$AG40,{"1","2","3"}))</f>
        <v>5</v>
      </c>
      <c r="AP40" s="283" cm="1">
        <f t="array" ref="AP40">SUM(COUNTIFS($C40:$AG40,{"4","5","6"}))</f>
        <v>0</v>
      </c>
      <c r="AQ40" s="283">
        <f>AK40*'Spreadsheet Key'!$A$23 + AL40*'Spreadsheet Key'!$A$24 + AM40*'Spreadsheet Key'!$A$25 + AN40*'Spreadsheet Key'!$A$26</f>
        <v>1088</v>
      </c>
      <c r="AR40" s="283">
        <f>AJ40/('MAR Statistics'!$B$29)*ABS(AI40-1)</f>
        <v>4.2345276872964167E-2</v>
      </c>
      <c r="AS40">
        <f t="shared" si="0"/>
        <v>0</v>
      </c>
      <c r="AT40" s="283">
        <f>AR40*'MAR Statistics'!$C$10</f>
        <v>47.344771986970684</v>
      </c>
      <c r="AV40" s="283">
        <f t="shared" si="1"/>
        <v>1</v>
      </c>
      <c r="AW40" s="283">
        <f t="shared" si="2"/>
        <v>0</v>
      </c>
      <c r="AX40" s="283">
        <f t="shared" si="3"/>
        <v>0</v>
      </c>
      <c r="AY40" s="283" cm="1">
        <f t="array" ref="AY40">COUNTIFS($C40:$AG40,"9",$C$4:$AG$4,"1")+SUM(COUNTIFS($C40:$AG40,{"8","9"},$C$4:$AG$4,"2"))+COUNTIFS($C40:$AG40,"8",$C$4:$AG$4,"3")</f>
        <v>1</v>
      </c>
      <c r="AZ40" s="283">
        <f t="shared" si="4"/>
        <v>0</v>
      </c>
      <c r="BA40" s="283">
        <f t="shared" si="5"/>
        <v>2</v>
      </c>
      <c r="BB40" s="283">
        <f>AV40*'Spreadsheet Key'!$A$27+AW40*'Spreadsheet Key'!$A$28+AX40*'Spreadsheet Key'!$A$29+AY40*'Spreadsheet Key'!$A$30+AZ40*'Spreadsheet Key'!$A$31</f>
        <v>46</v>
      </c>
      <c r="BD40" s="283">
        <f t="shared" si="21"/>
        <v>1.3447719869706845</v>
      </c>
    </row>
    <row r="41" spans="1:56">
      <c r="A41" s="56"/>
      <c r="B41" s="56"/>
      <c r="C41" s="779"/>
      <c r="D41" s="779"/>
      <c r="E41" s="779"/>
      <c r="F41" s="779"/>
      <c r="G41" s="2434"/>
      <c r="H41" s="779"/>
      <c r="I41" s="2434" t="s">
        <v>722</v>
      </c>
      <c r="J41" s="779"/>
      <c r="K41" s="779"/>
      <c r="L41" s="779"/>
      <c r="M41" s="779"/>
      <c r="N41" s="779"/>
      <c r="O41" s="779"/>
      <c r="P41" s="3154" t="s">
        <v>720</v>
      </c>
      <c r="Q41" s="779"/>
      <c r="R41" s="779"/>
      <c r="S41" s="3010" t="s">
        <v>1025</v>
      </c>
      <c r="T41" s="6099" t="s">
        <v>1233</v>
      </c>
      <c r="U41" s="6099"/>
      <c r="V41" s="6099"/>
      <c r="W41" s="3010" t="s">
        <v>1025</v>
      </c>
      <c r="X41" s="779"/>
      <c r="Y41" s="779"/>
      <c r="Z41" s="779"/>
      <c r="AA41" s="779"/>
      <c r="AB41" s="779"/>
      <c r="AC41" s="779"/>
      <c r="AD41" s="3010" t="s">
        <v>1025</v>
      </c>
      <c r="AE41" s="6244" t="s">
        <v>1231</v>
      </c>
      <c r="AF41" s="6244"/>
      <c r="AG41" s="3010" t="s">
        <v>1025</v>
      </c>
      <c r="AH41" s="3126"/>
      <c r="AI41" s="3202"/>
      <c r="AJ41" s="283" cm="1">
        <f t="array" ref="AJ41">SUM(COUNTIFS($C41:$AG41,{"0","4","5","6","7","8","9"}))</f>
        <v>0</v>
      </c>
      <c r="AK41" s="283" cm="1">
        <f t="array" ref="AK41">SUM(COUNTIFS($C41:$AG41,{"0","4","5","6","7","8","9"},$C$4:$AG$4,"0"))</f>
        <v>0</v>
      </c>
      <c r="AL41" s="283" cm="1">
        <f t="array" ref="AL41">SUM(COUNTIFS($C41:$AG41,{"0","4","5","6","7","8","9"},$C$4:$AG$4,"1"))</f>
        <v>0</v>
      </c>
      <c r="AM41" s="283" cm="1">
        <f t="array" ref="AM41">SUM(COUNTIFS($C41:$AG41,{"0","4","5","6","7","8","9"},$C$4:$AG$4,"2"))</f>
        <v>0</v>
      </c>
      <c r="AN41" s="283" cm="1">
        <f t="array" ref="AN41">SUM(COUNTIFS($C41:$AG41,{"0","4","5","6","7","8","9"},$C$4:$AG$4,"3"))</f>
        <v>0</v>
      </c>
      <c r="AO41" s="283" cm="1">
        <f t="array" ref="AO41">SUM(COUNTIFS($C41:$AG41,{"1","2","3"}))</f>
        <v>0</v>
      </c>
      <c r="AP41" s="283" cm="1">
        <f t="array" ref="AP41">SUM(COUNTIFS($C41:$AG41,{"4","5","6"}))</f>
        <v>0</v>
      </c>
      <c r="AQ41" s="283">
        <f>AK41*'Spreadsheet Key'!$A$23 + AL41*'Spreadsheet Key'!$A$24 + AM41*'Spreadsheet Key'!$A$25 + AN41*'Spreadsheet Key'!$A$26</f>
        <v>0</v>
      </c>
      <c r="AR41" s="283">
        <f>AJ41/('MAR Statistics'!$B$29)*ABS(AI41-1)</f>
        <v>0</v>
      </c>
      <c r="AS41">
        <f t="shared" si="0"/>
        <v>0</v>
      </c>
      <c r="AT41" s="283">
        <f>AR41*'MAR Statistics'!$C$10</f>
        <v>0</v>
      </c>
      <c r="AV41" s="283">
        <f t="shared" si="1"/>
        <v>0</v>
      </c>
      <c r="AW41" s="283">
        <f t="shared" si="2"/>
        <v>0</v>
      </c>
      <c r="AX41" s="283">
        <f t="shared" si="3"/>
        <v>0</v>
      </c>
      <c r="AY41" s="283" cm="1">
        <f t="array" ref="AY41">COUNTIFS($C41:$AG41,"9",$C$4:$AG$4,"1")+SUM(COUNTIFS($C41:$AG41,{"8","9"},$C$4:$AG$4,"2"))+COUNTIFS($C41:$AG41,"8",$C$4:$AG$4,"3")</f>
        <v>0</v>
      </c>
      <c r="AZ41" s="283">
        <f t="shared" si="4"/>
        <v>0</v>
      </c>
      <c r="BA41" s="283">
        <f t="shared" si="5"/>
        <v>0</v>
      </c>
      <c r="BB41" s="283">
        <f>AV41*'Spreadsheet Key'!$A$27+AW41*'Spreadsheet Key'!$A$28+AX41*'Spreadsheet Key'!$A$29+AY41*'Spreadsheet Key'!$A$30+AZ41*'Spreadsheet Key'!$A$31</f>
        <v>0</v>
      </c>
    </row>
    <row r="42" spans="1:56">
      <c r="A42" s="56" t="s">
        <v>145</v>
      </c>
      <c r="B42" s="56" t="s">
        <v>148</v>
      </c>
      <c r="C42" s="2659">
        <v>0</v>
      </c>
      <c r="D42" s="2659">
        <v>0</v>
      </c>
      <c r="E42" s="2659">
        <v>0</v>
      </c>
      <c r="F42" s="2659">
        <v>0</v>
      </c>
      <c r="G42" s="2659">
        <v>0</v>
      </c>
      <c r="H42" s="2659">
        <v>0</v>
      </c>
      <c r="I42" s="2659">
        <v>9</v>
      </c>
      <c r="J42" s="2659">
        <v>0</v>
      </c>
      <c r="K42" s="2659">
        <v>0</v>
      </c>
      <c r="L42" s="2659">
        <v>0</v>
      </c>
      <c r="M42" s="2659">
        <v>0</v>
      </c>
      <c r="N42" s="2659">
        <v>0</v>
      </c>
      <c r="O42" s="2659">
        <v>0</v>
      </c>
      <c r="P42" s="2659">
        <v>8</v>
      </c>
      <c r="Q42" s="2659">
        <v>0</v>
      </c>
      <c r="R42" s="2659">
        <v>0</v>
      </c>
      <c r="S42" s="2659">
        <v>1</v>
      </c>
      <c r="T42" s="2659">
        <v>2</v>
      </c>
      <c r="U42" s="2659">
        <v>2</v>
      </c>
      <c r="V42" s="2659">
        <v>2</v>
      </c>
      <c r="W42" s="2659">
        <v>3</v>
      </c>
      <c r="X42" s="2659">
        <v>0</v>
      </c>
      <c r="Y42" s="2659">
        <v>0</v>
      </c>
      <c r="Z42" s="2659">
        <v>0</v>
      </c>
      <c r="AA42" s="2659">
        <v>0</v>
      </c>
      <c r="AB42" s="2659">
        <v>0</v>
      </c>
      <c r="AC42" s="2659">
        <v>0</v>
      </c>
      <c r="AD42" s="2659">
        <v>1</v>
      </c>
      <c r="AE42" s="2659">
        <v>2</v>
      </c>
      <c r="AF42" s="2659">
        <v>2</v>
      </c>
      <c r="AG42" s="2659">
        <v>3</v>
      </c>
      <c r="AH42" s="3126"/>
      <c r="AI42" s="3202">
        <v>0</v>
      </c>
      <c r="AJ42" s="283" cm="1">
        <f t="array" ref="AJ42">SUM(COUNTIFS($C42:$AG42,{"0","4","5","6","7","8","9"}))</f>
        <v>22</v>
      </c>
      <c r="AK42" s="283" cm="1">
        <f t="array" ref="AK42">SUM(COUNTIFS($C42:$AG42,{"0","4","5","6","7","8","9"},$C$4:$AG$4,"0"))</f>
        <v>12</v>
      </c>
      <c r="AL42" s="283" cm="1">
        <f t="array" ref="AL42">SUM(COUNTIFS($C42:$AG42,{"0","4","5","6","7","8","9"},$C$4:$AG$4,"1"))</f>
        <v>2</v>
      </c>
      <c r="AM42" s="283" cm="1">
        <f t="array" ref="AM42">SUM(COUNTIFS($C42:$AG42,{"0","4","5","6","7","8","9"},$C$4:$AG$4,"2"))</f>
        <v>4</v>
      </c>
      <c r="AN42" s="283" cm="1">
        <f t="array" ref="AN42">SUM(COUNTIFS($C42:$AG42,{"0","4","5","6","7","8","9"},$C$4:$AG$4,"3"))</f>
        <v>4</v>
      </c>
      <c r="AO42" s="283" cm="1">
        <f t="array" ref="AO42">SUM(COUNTIFS($C42:$AG42,{"1","2","3"}))</f>
        <v>9</v>
      </c>
      <c r="AP42" s="283" cm="1">
        <f t="array" ref="AP42">SUM(COUNTIFS($C42:$AG42,{"4","5","6"}))</f>
        <v>0</v>
      </c>
      <c r="AQ42" s="283">
        <f>AK42*'Spreadsheet Key'!$A$23 + AL42*'Spreadsheet Key'!$A$24 + AM42*'Spreadsheet Key'!$A$25 + AN42*'Spreadsheet Key'!$A$26</f>
        <v>884</v>
      </c>
      <c r="AR42" s="283">
        <f>AJ42/('MAR Statistics'!$B$29)*ABS(AI42-1)</f>
        <v>3.5830618892508145E-2</v>
      </c>
      <c r="AS42">
        <f t="shared" si="0"/>
        <v>0</v>
      </c>
      <c r="AT42" s="283">
        <f>AR42*'MAR Statistics'!$C$10</f>
        <v>40.060960912052124</v>
      </c>
      <c r="AV42" s="283">
        <f t="shared" si="1"/>
        <v>0</v>
      </c>
      <c r="AW42" s="283">
        <f t="shared" si="2"/>
        <v>0</v>
      </c>
      <c r="AX42" s="283">
        <f t="shared" si="3"/>
        <v>1</v>
      </c>
      <c r="AY42" s="283" cm="1">
        <f t="array" ref="AY42">COUNTIFS($C42:$AG42,"9",$C$4:$AG$4,"1")+SUM(COUNTIFS($C42:$AG42,{"8","9"},$C$4:$AG$4,"2"))+COUNTIFS($C42:$AG42,"8",$C$4:$AG$4,"3")</f>
        <v>1</v>
      </c>
      <c r="AZ42" s="283">
        <f t="shared" si="4"/>
        <v>0</v>
      </c>
      <c r="BA42" s="283">
        <f t="shared" si="5"/>
        <v>2</v>
      </c>
      <c r="BB42" s="283">
        <f>AV42*'Spreadsheet Key'!$A$27+AW42*'Spreadsheet Key'!$A$28+AX42*'Spreadsheet Key'!$A$29+AY42*'Spreadsheet Key'!$A$30+AZ42*'Spreadsheet Key'!$A$31</f>
        <v>54</v>
      </c>
      <c r="BD42" s="283">
        <f t="shared" ref="BD42" si="22">AT42-BB42</f>
        <v>-13.939039087947876</v>
      </c>
    </row>
    <row r="43" spans="1:56">
      <c r="A43" s="56"/>
      <c r="B43" s="56"/>
      <c r="C43" s="779"/>
      <c r="D43" s="779"/>
      <c r="E43" s="779"/>
      <c r="F43" s="779"/>
      <c r="G43" s="2434" t="s">
        <v>720</v>
      </c>
      <c r="H43" s="779"/>
      <c r="I43" s="779"/>
      <c r="J43" s="779"/>
      <c r="K43" s="779"/>
      <c r="L43" s="779"/>
      <c r="M43" s="779"/>
      <c r="N43" s="779"/>
      <c r="O43" s="779"/>
      <c r="P43" s="779"/>
      <c r="Q43" s="2434" t="s">
        <v>722</v>
      </c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2434" t="s">
        <v>720</v>
      </c>
      <c r="AG43" s="2434"/>
      <c r="AH43" s="3126"/>
      <c r="AI43" s="3202"/>
      <c r="AJ43" s="283" cm="1">
        <f t="array" ref="AJ43">SUM(COUNTIFS($C43:$AG43,{"0","4","5","6","7","8","9"}))</f>
        <v>0</v>
      </c>
      <c r="AK43" s="283" cm="1">
        <f t="array" ref="AK43">SUM(COUNTIFS($C43:$AG43,{"0","4","5","6","7","8","9"},$C$4:$AG$4,"0"))</f>
        <v>0</v>
      </c>
      <c r="AL43" s="283" cm="1">
        <f t="array" ref="AL43">SUM(COUNTIFS($C43:$AG43,{"0","4","5","6","7","8","9"},$C$4:$AG$4,"1"))</f>
        <v>0</v>
      </c>
      <c r="AM43" s="283" cm="1">
        <f t="array" ref="AM43">SUM(COUNTIFS($C43:$AG43,{"0","4","5","6","7","8","9"},$C$4:$AG$4,"2"))</f>
        <v>0</v>
      </c>
      <c r="AN43" s="283" cm="1">
        <f t="array" ref="AN43">SUM(COUNTIFS($C43:$AG43,{"0","4","5","6","7","8","9"},$C$4:$AG$4,"3"))</f>
        <v>0</v>
      </c>
      <c r="AO43" s="283" cm="1">
        <f t="array" ref="AO43">SUM(COUNTIFS($C43:$AG43,{"1","2","3"}))</f>
        <v>0</v>
      </c>
      <c r="AP43" s="283" cm="1">
        <f t="array" ref="AP43">SUM(COUNTIFS($C43:$AG43,{"4","5","6"}))</f>
        <v>0</v>
      </c>
      <c r="AQ43" s="283">
        <f>AK43*'Spreadsheet Key'!$A$23 + AL43*'Spreadsheet Key'!$A$24 + AM43*'Spreadsheet Key'!$A$25 + AN43*'Spreadsheet Key'!$A$26</f>
        <v>0</v>
      </c>
      <c r="AR43" s="283">
        <f>AJ43/('MAR Statistics'!$B$29)*ABS(AI43-1)</f>
        <v>0</v>
      </c>
      <c r="AS43">
        <f t="shared" si="0"/>
        <v>0</v>
      </c>
      <c r="AT43" s="283">
        <f>AR43*'MAR Statistics'!$C$10</f>
        <v>0</v>
      </c>
      <c r="AV43" s="283">
        <f t="shared" si="1"/>
        <v>0</v>
      </c>
      <c r="AW43" s="283">
        <f t="shared" si="2"/>
        <v>0</v>
      </c>
      <c r="AX43" s="283">
        <f t="shared" si="3"/>
        <v>0</v>
      </c>
      <c r="AY43" s="283" cm="1">
        <f t="array" ref="AY43">COUNTIFS($C43:$AG43,"9",$C$4:$AG$4,"1")+SUM(COUNTIFS($C43:$AG43,{"8","9"},$C$4:$AG$4,"2"))+COUNTIFS($C43:$AG43,"8",$C$4:$AG$4,"3")</f>
        <v>0</v>
      </c>
      <c r="AZ43" s="283">
        <f t="shared" si="4"/>
        <v>0</v>
      </c>
      <c r="BA43" s="283">
        <f t="shared" si="5"/>
        <v>0</v>
      </c>
      <c r="BB43" s="283">
        <f>AV43*'Spreadsheet Key'!$A$27+AW43*'Spreadsheet Key'!$A$28+AX43*'Spreadsheet Key'!$A$29+AY43*'Spreadsheet Key'!$A$30+AZ43*'Spreadsheet Key'!$A$31</f>
        <v>0</v>
      </c>
    </row>
    <row r="44" spans="1:56">
      <c r="A44" s="56" t="s">
        <v>1038</v>
      </c>
      <c r="B44" s="56" t="s">
        <v>618</v>
      </c>
      <c r="C44" s="2659">
        <v>0</v>
      </c>
      <c r="D44" s="2659">
        <v>0</v>
      </c>
      <c r="E44" s="2659">
        <v>0</v>
      </c>
      <c r="F44" s="2659">
        <v>0</v>
      </c>
      <c r="G44" s="2659">
        <v>8</v>
      </c>
      <c r="H44" s="2659">
        <v>0</v>
      </c>
      <c r="I44" s="2659">
        <v>0</v>
      </c>
      <c r="J44" s="2659">
        <v>0</v>
      </c>
      <c r="K44" s="2659">
        <v>0</v>
      </c>
      <c r="L44" s="2659">
        <v>0</v>
      </c>
      <c r="M44" s="2659">
        <v>0</v>
      </c>
      <c r="N44" s="2659">
        <v>0</v>
      </c>
      <c r="O44" s="2659">
        <v>0</v>
      </c>
      <c r="P44" s="2659">
        <v>0</v>
      </c>
      <c r="Q44" s="2659">
        <v>9</v>
      </c>
      <c r="R44" s="2659">
        <v>0</v>
      </c>
      <c r="S44" s="2659">
        <v>0</v>
      </c>
      <c r="T44" s="2659">
        <v>0</v>
      </c>
      <c r="U44" s="2659">
        <v>0</v>
      </c>
      <c r="V44" s="2659">
        <v>0</v>
      </c>
      <c r="W44" s="2659">
        <v>0</v>
      </c>
      <c r="X44" s="2659">
        <v>0</v>
      </c>
      <c r="Y44" s="2659">
        <v>0</v>
      </c>
      <c r="Z44" s="2659">
        <v>0</v>
      </c>
      <c r="AA44" s="2659">
        <v>0</v>
      </c>
      <c r="AB44" s="2659">
        <v>0</v>
      </c>
      <c r="AC44" s="2659">
        <v>0</v>
      </c>
      <c r="AD44" s="2659">
        <v>0</v>
      </c>
      <c r="AE44" s="2659">
        <v>0</v>
      </c>
      <c r="AF44" s="2659">
        <v>8</v>
      </c>
      <c r="AG44" s="2659">
        <v>0</v>
      </c>
      <c r="AH44" s="3126"/>
      <c r="AI44" s="3202">
        <v>0</v>
      </c>
      <c r="AJ44" s="283" cm="1">
        <f t="array" ref="AJ44">SUM(COUNTIFS($C44:$AG44,{"0","4","5","6","7","8","9"}))</f>
        <v>31</v>
      </c>
      <c r="AK44" s="283" cm="1">
        <f t="array" ref="AK44">SUM(COUNTIFS($C44:$AG44,{"0","4","5","6","7","8","9"},$C$4:$AG$4,"0"))</f>
        <v>17</v>
      </c>
      <c r="AL44" s="283" cm="1">
        <f t="array" ref="AL44">SUM(COUNTIFS($C44:$AG44,{"0","4","5","6","7","8","9"},$C$4:$AG$4,"1"))</f>
        <v>4</v>
      </c>
      <c r="AM44" s="283" cm="1">
        <f t="array" ref="AM44">SUM(COUNTIFS($C44:$AG44,{"0","4","5","6","7","8","9"},$C$4:$AG$4,"2"))</f>
        <v>5</v>
      </c>
      <c r="AN44" s="283" cm="1">
        <f t="array" ref="AN44">SUM(COUNTIFS($C44:$AG44,{"0","4","5","6","7","8","9"},$C$4:$AG$4,"3"))</f>
        <v>5</v>
      </c>
      <c r="AO44" s="283" cm="1">
        <f t="array" ref="AO44">SUM(COUNTIFS($C44:$AG44,{"1","2","3"}))</f>
        <v>0</v>
      </c>
      <c r="AP44" s="283" cm="1">
        <f t="array" ref="AP44">SUM(COUNTIFS($C44:$AG44,{"4","5","6"}))</f>
        <v>0</v>
      </c>
      <c r="AQ44" s="283">
        <f>AK44*'Spreadsheet Key'!$A$23 + AL44*'Spreadsheet Key'!$A$24 + AM44*'Spreadsheet Key'!$A$25 + AN44*'Spreadsheet Key'!$A$26</f>
        <v>1230</v>
      </c>
      <c r="AR44" s="283">
        <f>AJ44/('MAR Statistics'!$B$29)*ABS(AI44-1)</f>
        <v>5.0488599348534204E-2</v>
      </c>
      <c r="AS44">
        <f t="shared" si="0"/>
        <v>0</v>
      </c>
      <c r="AT44" s="283">
        <f>AR44*'MAR Statistics'!$C$10</f>
        <v>56.449535830618899</v>
      </c>
      <c r="AV44" s="283">
        <f t="shared" si="1"/>
        <v>1</v>
      </c>
      <c r="AW44" s="283">
        <f t="shared" si="2"/>
        <v>0</v>
      </c>
      <c r="AX44" s="283">
        <f t="shared" si="3"/>
        <v>0</v>
      </c>
      <c r="AY44" s="283" cm="1">
        <f t="array" ref="AY44">COUNTIFS($C44:$AG44,"9",$C$4:$AG$4,"1")+SUM(COUNTIFS($C44:$AG44,{"8","9"},$C$4:$AG$4,"2"))+COUNTIFS($C44:$AG44,"8",$C$4:$AG$4,"3")</f>
        <v>2</v>
      </c>
      <c r="AZ44" s="283">
        <f t="shared" si="4"/>
        <v>0</v>
      </c>
      <c r="BA44" s="283">
        <f t="shared" si="5"/>
        <v>3</v>
      </c>
      <c r="BB44" s="283">
        <f>AV44*'Spreadsheet Key'!$A$27+AW44*'Spreadsheet Key'!$A$28+AX44*'Spreadsheet Key'!$A$29+AY44*'Spreadsheet Key'!$A$30+AZ44*'Spreadsheet Key'!$A$31</f>
        <v>82</v>
      </c>
      <c r="BD44" s="283">
        <f t="shared" ref="BD44" si="23">AT44-BB44</f>
        <v>-25.550464169381101</v>
      </c>
    </row>
    <row r="45" spans="1:56">
      <c r="A45" s="56"/>
      <c r="B45" s="56"/>
      <c r="C45" s="779"/>
      <c r="D45" s="779"/>
      <c r="E45" s="779"/>
      <c r="F45" s="2434" t="s">
        <v>722</v>
      </c>
      <c r="G45" s="779"/>
      <c r="H45" s="779"/>
      <c r="I45" s="779"/>
      <c r="J45" s="779"/>
      <c r="K45" s="779"/>
      <c r="L45" s="779"/>
      <c r="M45" s="2434" t="s">
        <v>722</v>
      </c>
      <c r="N45" s="779"/>
      <c r="O45" s="779"/>
      <c r="P45" s="779"/>
      <c r="Q45" s="779"/>
      <c r="R45" s="2434" t="s">
        <v>722</v>
      </c>
      <c r="S45" s="779"/>
      <c r="T45" s="779"/>
      <c r="U45" s="779"/>
      <c r="V45" s="779"/>
      <c r="W45" s="779"/>
      <c r="X45" s="779"/>
      <c r="Y45" s="779"/>
      <c r="Z45" s="2659"/>
      <c r="AA45" s="2659"/>
      <c r="AB45" s="2659"/>
      <c r="AC45" s="2659"/>
      <c r="AD45" s="2659"/>
      <c r="AE45" s="779"/>
      <c r="AF45" s="2434"/>
      <c r="AG45" s="779"/>
      <c r="AH45" s="3126"/>
      <c r="AI45" s="3202"/>
      <c r="AJ45" s="283" cm="1">
        <f t="array" ref="AJ45">SUM(COUNTIFS($C45:$AG45,{"0","4","5","6","7","8","9"}))</f>
        <v>0</v>
      </c>
      <c r="AK45" s="283" cm="1">
        <f t="array" ref="AK45">SUM(COUNTIFS($C45:$AG45,{"0","4","5","6","7","8","9"},$C$4:$AG$4,"0"))</f>
        <v>0</v>
      </c>
      <c r="AL45" s="283" cm="1">
        <f t="array" ref="AL45">SUM(COUNTIFS($C45:$AG45,{"0","4","5","6","7","8","9"},$C$4:$AG$4,"1"))</f>
        <v>0</v>
      </c>
      <c r="AM45" s="283" cm="1">
        <f t="array" ref="AM45">SUM(COUNTIFS($C45:$AG45,{"0","4","5","6","7","8","9"},$C$4:$AG$4,"2"))</f>
        <v>0</v>
      </c>
      <c r="AN45" s="283" cm="1">
        <f t="array" ref="AN45">SUM(COUNTIFS($C45:$AG45,{"0","4","5","6","7","8","9"},$C$4:$AG$4,"3"))</f>
        <v>0</v>
      </c>
      <c r="AO45" s="283" cm="1">
        <f t="array" ref="AO45">SUM(COUNTIFS($C45:$AG45,{"1","2","3"}))</f>
        <v>0</v>
      </c>
      <c r="AP45" s="283" cm="1">
        <f t="array" ref="AP45">SUM(COUNTIFS($C45:$AG45,{"4","5","6"}))</f>
        <v>0</v>
      </c>
      <c r="AQ45" s="283">
        <f>AK45*'Spreadsheet Key'!$A$23 + AL45*'Spreadsheet Key'!$A$24 + AM45*'Spreadsheet Key'!$A$25 + AN45*'Spreadsheet Key'!$A$26</f>
        <v>0</v>
      </c>
      <c r="AR45" s="283">
        <f>AJ45/('MAR Statistics'!$B$29)*ABS(AI45-1)</f>
        <v>0</v>
      </c>
      <c r="AS45">
        <f t="shared" si="0"/>
        <v>0</v>
      </c>
      <c r="AT45" s="283">
        <f>AR45*'MAR Statistics'!$C$10</f>
        <v>0</v>
      </c>
      <c r="AV45" s="283">
        <f t="shared" si="1"/>
        <v>0</v>
      </c>
      <c r="AW45" s="283">
        <f t="shared" si="2"/>
        <v>0</v>
      </c>
      <c r="AX45" s="283">
        <f t="shared" si="3"/>
        <v>0</v>
      </c>
      <c r="AY45" s="283" cm="1">
        <f t="array" ref="AY45">COUNTIFS($C45:$AG45,"9",$C$4:$AG$4,"1")+SUM(COUNTIFS($C45:$AG45,{"8","9"},$C$4:$AG$4,"2"))+COUNTIFS($C45:$AG45,"8",$C$4:$AG$4,"3")</f>
        <v>0</v>
      </c>
      <c r="AZ45" s="283">
        <f t="shared" si="4"/>
        <v>0</v>
      </c>
      <c r="BA45" s="283">
        <f t="shared" si="5"/>
        <v>0</v>
      </c>
      <c r="BB45" s="283">
        <f>AV45*'Spreadsheet Key'!$A$27+AW45*'Spreadsheet Key'!$A$28+AX45*'Spreadsheet Key'!$A$29+AY45*'Spreadsheet Key'!$A$30+AZ45*'Spreadsheet Key'!$A$31</f>
        <v>0</v>
      </c>
    </row>
    <row r="46" spans="1:56">
      <c r="A46" s="56" t="s">
        <v>149</v>
      </c>
      <c r="B46" s="56" t="s">
        <v>151</v>
      </c>
      <c r="C46" s="2659">
        <v>0</v>
      </c>
      <c r="D46" s="2659">
        <v>0</v>
      </c>
      <c r="E46" s="2659">
        <v>0</v>
      </c>
      <c r="F46" s="2659">
        <v>9</v>
      </c>
      <c r="G46" s="2659">
        <v>0</v>
      </c>
      <c r="H46" s="2659">
        <v>0</v>
      </c>
      <c r="I46" s="2659">
        <v>0</v>
      </c>
      <c r="J46" s="2659">
        <v>0</v>
      </c>
      <c r="K46" s="2659">
        <v>0</v>
      </c>
      <c r="L46" s="2659">
        <v>0</v>
      </c>
      <c r="M46" s="2659">
        <v>9</v>
      </c>
      <c r="N46" s="2659">
        <v>0</v>
      </c>
      <c r="O46" s="2659">
        <v>0</v>
      </c>
      <c r="P46" s="2659">
        <v>0</v>
      </c>
      <c r="Q46" s="2659">
        <v>0</v>
      </c>
      <c r="R46" s="2659">
        <v>9</v>
      </c>
      <c r="S46" s="2659">
        <v>0</v>
      </c>
      <c r="T46" s="2659">
        <v>0</v>
      </c>
      <c r="U46" s="2659">
        <v>0</v>
      </c>
      <c r="V46" s="2659">
        <v>0</v>
      </c>
      <c r="W46" s="2659">
        <v>0</v>
      </c>
      <c r="X46" s="2659">
        <v>0</v>
      </c>
      <c r="Y46" s="2659">
        <v>0</v>
      </c>
      <c r="Z46" s="2659">
        <v>0</v>
      </c>
      <c r="AA46" s="2659">
        <v>0</v>
      </c>
      <c r="AB46" s="2659">
        <v>0</v>
      </c>
      <c r="AC46" s="2659">
        <v>0</v>
      </c>
      <c r="AD46" s="2659">
        <v>0</v>
      </c>
      <c r="AE46" s="2659">
        <v>0</v>
      </c>
      <c r="AF46" s="2659">
        <v>0</v>
      </c>
      <c r="AG46" s="2659">
        <v>0</v>
      </c>
      <c r="AH46" s="3126"/>
      <c r="AI46" s="3202">
        <v>0</v>
      </c>
      <c r="AJ46" s="283" cm="1">
        <f t="array" ref="AJ46">SUM(COUNTIFS($C46:$AG46,{"0","4","5","6","7","8","9"}))</f>
        <v>31</v>
      </c>
      <c r="AK46" s="283" cm="1">
        <f t="array" ref="AK46">SUM(COUNTIFS($C46:$AG46,{"0","4","5","6","7","8","9"},$C$4:$AG$4,"0"))</f>
        <v>17</v>
      </c>
      <c r="AL46" s="283" cm="1">
        <f t="array" ref="AL46">SUM(COUNTIFS($C46:$AG46,{"0","4","5","6","7","8","9"},$C$4:$AG$4,"1"))</f>
        <v>4</v>
      </c>
      <c r="AM46" s="283" cm="1">
        <f t="array" ref="AM46">SUM(COUNTIFS($C46:$AG46,{"0","4","5","6","7","8","9"},$C$4:$AG$4,"2"))</f>
        <v>5</v>
      </c>
      <c r="AN46" s="283" cm="1">
        <f t="array" ref="AN46">SUM(COUNTIFS($C46:$AG46,{"0","4","5","6","7","8","9"},$C$4:$AG$4,"3"))</f>
        <v>5</v>
      </c>
      <c r="AO46" s="283" cm="1">
        <f t="array" ref="AO46">SUM(COUNTIFS($C46:$AG46,{"1","2","3"}))</f>
        <v>0</v>
      </c>
      <c r="AP46" s="283" cm="1">
        <f t="array" ref="AP46">SUM(COUNTIFS($C46:$AG46,{"4","5","6"}))</f>
        <v>0</v>
      </c>
      <c r="AQ46" s="283">
        <f>AK46*'Spreadsheet Key'!$A$23 + AL46*'Spreadsheet Key'!$A$24 + AM46*'Spreadsheet Key'!$A$25 + AN46*'Spreadsheet Key'!$A$26</f>
        <v>1230</v>
      </c>
      <c r="AR46" s="283">
        <f>AJ46/('MAR Statistics'!$B$29)*ABS(AI46-1)</f>
        <v>5.0488599348534204E-2</v>
      </c>
      <c r="AS46">
        <f t="shared" si="0"/>
        <v>0</v>
      </c>
      <c r="AT46" s="283">
        <f>AR46*'MAR Statistics'!$C$10</f>
        <v>56.449535830618899</v>
      </c>
      <c r="AV46" s="283">
        <f t="shared" si="1"/>
        <v>0</v>
      </c>
      <c r="AW46" s="283">
        <f t="shared" si="2"/>
        <v>2</v>
      </c>
      <c r="AX46" s="283">
        <f t="shared" si="3"/>
        <v>0</v>
      </c>
      <c r="AY46" s="283" cm="1">
        <f t="array" ref="AY46">COUNTIFS($C46:$AG46,"9",$C$4:$AG$4,"1")+SUM(COUNTIFS($C46:$AG46,{"8","9"},$C$4:$AG$4,"2"))+COUNTIFS($C46:$AG46,"8",$C$4:$AG$4,"3")</f>
        <v>0</v>
      </c>
      <c r="AZ46" s="283">
        <f t="shared" si="4"/>
        <v>1</v>
      </c>
      <c r="BA46" s="283">
        <f t="shared" si="5"/>
        <v>3</v>
      </c>
      <c r="BB46" s="283">
        <f>AV46*'Spreadsheet Key'!$A$27+AW46*'Spreadsheet Key'!$A$28+AX46*'Spreadsheet Key'!$A$29+AY46*'Spreadsheet Key'!$A$30+AZ46*'Spreadsheet Key'!$A$31</f>
        <v>44</v>
      </c>
      <c r="BD46" s="283">
        <f t="shared" ref="BD46" si="24">AT46-BB46</f>
        <v>12.449535830618899</v>
      </c>
    </row>
    <row r="47" spans="1:56">
      <c r="A47" s="2795"/>
      <c r="B47" s="2"/>
      <c r="C47" s="779"/>
      <c r="D47" s="779"/>
      <c r="E47" s="779"/>
      <c r="F47" s="779"/>
      <c r="G47" s="779"/>
      <c r="H47" s="779"/>
      <c r="I47" s="779"/>
      <c r="J47" s="779"/>
      <c r="K47" s="779"/>
      <c r="L47" s="779"/>
      <c r="M47" s="779"/>
      <c r="N47" s="779"/>
      <c r="O47" s="779"/>
      <c r="P47" s="779"/>
      <c r="Q47" s="779"/>
      <c r="R47" s="3010" t="s">
        <v>1025</v>
      </c>
      <c r="S47" s="6190" t="s">
        <v>1253</v>
      </c>
      <c r="T47" s="6190"/>
      <c r="U47" s="6190"/>
      <c r="V47" s="6190"/>
      <c r="W47" s="6190"/>
      <c r="X47" s="3010" t="s">
        <v>1025</v>
      </c>
      <c r="Y47" s="2434" t="s">
        <v>722</v>
      </c>
      <c r="Z47" s="2434"/>
      <c r="AA47" s="779"/>
      <c r="AB47" s="779"/>
      <c r="AC47" s="779"/>
      <c r="AD47" s="779"/>
      <c r="AE47" s="779"/>
      <c r="AF47" s="2434" t="s">
        <v>722</v>
      </c>
      <c r="AG47" s="779"/>
      <c r="AH47" s="3126"/>
      <c r="AI47" s="3202"/>
      <c r="AJ47" s="283" cm="1">
        <f t="array" ref="AJ47">SUM(COUNTIFS($C47:$AG47,{"0","4","5","6","7","8","9"}))</f>
        <v>0</v>
      </c>
      <c r="AK47" s="283" cm="1">
        <f t="array" ref="AK47">SUM(COUNTIFS($C47:$AG47,{"0","4","5","6","7","8","9"},$C$4:$AG$4,"0"))</f>
        <v>0</v>
      </c>
      <c r="AL47" s="283" cm="1">
        <f t="array" ref="AL47">SUM(COUNTIFS($C47:$AG47,{"0","4","5","6","7","8","9"},$C$4:$AG$4,"1"))</f>
        <v>0</v>
      </c>
      <c r="AM47" s="283" cm="1">
        <f t="array" ref="AM47">SUM(COUNTIFS($C47:$AG47,{"0","4","5","6","7","8","9"},$C$4:$AG$4,"2"))</f>
        <v>0</v>
      </c>
      <c r="AN47" s="283" cm="1">
        <f t="array" ref="AN47">SUM(COUNTIFS($C47:$AG47,{"0","4","5","6","7","8","9"},$C$4:$AG$4,"3"))</f>
        <v>0</v>
      </c>
      <c r="AO47" s="283" cm="1">
        <f t="array" ref="AO47">SUM(COUNTIFS($C47:$AG47,{"1","2","3"}))</f>
        <v>0</v>
      </c>
      <c r="AP47" s="283" cm="1">
        <f t="array" ref="AP47">SUM(COUNTIFS($C47:$AG47,{"4","5","6"}))</f>
        <v>0</v>
      </c>
      <c r="AQ47" s="283">
        <f>AK47*'Spreadsheet Key'!$A$23 + AL47*'Spreadsheet Key'!$A$24 + AM47*'Spreadsheet Key'!$A$25 + AN47*'Spreadsheet Key'!$A$26</f>
        <v>0</v>
      </c>
      <c r="AR47" s="283">
        <f>AJ47/('MAR Statistics'!$B$29)*ABS(AI47-1)</f>
        <v>0</v>
      </c>
      <c r="AS47">
        <f t="shared" si="0"/>
        <v>0</v>
      </c>
      <c r="AT47" s="283">
        <f>AR47*'MAR Statistics'!$C$10</f>
        <v>0</v>
      </c>
      <c r="AV47" s="283">
        <f t="shared" si="1"/>
        <v>0</v>
      </c>
      <c r="AW47" s="283">
        <f t="shared" si="2"/>
        <v>0</v>
      </c>
      <c r="AX47" s="283">
        <f t="shared" si="3"/>
        <v>0</v>
      </c>
      <c r="AY47" s="283" cm="1">
        <f t="array" ref="AY47">COUNTIFS($C47:$AG47,"9",$C$4:$AG$4,"1")+SUM(COUNTIFS($C47:$AG47,{"8","9"},$C$4:$AG$4,"2"))+COUNTIFS($C47:$AG47,"8",$C$4:$AG$4,"3")</f>
        <v>0</v>
      </c>
      <c r="AZ47" s="283">
        <f t="shared" si="4"/>
        <v>0</v>
      </c>
      <c r="BA47" s="283">
        <f t="shared" si="5"/>
        <v>0</v>
      </c>
      <c r="BB47" s="283">
        <f>AV47*'Spreadsheet Key'!$A$27+AW47*'Spreadsheet Key'!$A$28+AX47*'Spreadsheet Key'!$A$29+AY47*'Spreadsheet Key'!$A$30+AZ47*'Spreadsheet Key'!$A$31</f>
        <v>0</v>
      </c>
    </row>
    <row r="48" spans="1:56">
      <c r="A48" s="2795" t="s">
        <v>602</v>
      </c>
      <c r="B48" s="2" t="s">
        <v>660</v>
      </c>
      <c r="C48" s="2659">
        <v>0</v>
      </c>
      <c r="D48" s="2659">
        <v>0</v>
      </c>
      <c r="E48" s="2659">
        <v>0</v>
      </c>
      <c r="F48" s="2659">
        <v>0</v>
      </c>
      <c r="G48" s="2659">
        <v>0</v>
      </c>
      <c r="H48" s="2659">
        <v>0</v>
      </c>
      <c r="I48" s="2659">
        <v>0</v>
      </c>
      <c r="J48" s="2659">
        <v>0</v>
      </c>
      <c r="K48" s="2659">
        <v>0</v>
      </c>
      <c r="L48" s="2659">
        <v>0</v>
      </c>
      <c r="M48" s="2659">
        <v>0</v>
      </c>
      <c r="N48" s="2659">
        <v>0</v>
      </c>
      <c r="O48" s="2659">
        <v>0</v>
      </c>
      <c r="P48" s="2659">
        <v>0</v>
      </c>
      <c r="Q48" s="2659">
        <v>0</v>
      </c>
      <c r="R48" s="2659">
        <v>1</v>
      </c>
      <c r="S48" s="2659">
        <v>2</v>
      </c>
      <c r="T48" s="2659">
        <v>2</v>
      </c>
      <c r="U48" s="2659">
        <v>2</v>
      </c>
      <c r="V48" s="2659">
        <v>2</v>
      </c>
      <c r="W48" s="2659">
        <v>2</v>
      </c>
      <c r="X48" s="2659">
        <v>3</v>
      </c>
      <c r="Y48" s="2659">
        <v>9</v>
      </c>
      <c r="Z48" s="2659">
        <v>0</v>
      </c>
      <c r="AA48" s="2659">
        <v>0</v>
      </c>
      <c r="AB48" s="2659">
        <v>0</v>
      </c>
      <c r="AC48" s="2659">
        <v>0</v>
      </c>
      <c r="AD48" s="2659">
        <v>0</v>
      </c>
      <c r="AE48" s="2659">
        <v>0</v>
      </c>
      <c r="AF48" s="2659">
        <v>9</v>
      </c>
      <c r="AG48" s="2659">
        <v>0</v>
      </c>
      <c r="AH48" s="3126"/>
      <c r="AI48" s="3202">
        <v>0</v>
      </c>
      <c r="AJ48" s="283" cm="1">
        <f t="array" ref="AJ48">SUM(COUNTIFS($C48:$AG48,{"0","4","5","6","7","8","9"}))</f>
        <v>24</v>
      </c>
      <c r="AK48" s="283" cm="1">
        <f t="array" ref="AK48">SUM(COUNTIFS($C48:$AG48,{"0","4","5","6","7","8","9"},$C$4:$AG$4,"0"))</f>
        <v>13</v>
      </c>
      <c r="AL48" s="283" cm="1">
        <f t="array" ref="AL48">SUM(COUNTIFS($C48:$AG48,{"0","4","5","6","7","8","9"},$C$4:$AG$4,"1"))</f>
        <v>3</v>
      </c>
      <c r="AM48" s="283" cm="1">
        <f t="array" ref="AM48">SUM(COUNTIFS($C48:$AG48,{"0","4","5","6","7","8","9"},$C$4:$AG$4,"2"))</f>
        <v>4</v>
      </c>
      <c r="AN48" s="283" cm="1">
        <f t="array" ref="AN48">SUM(COUNTIFS($C48:$AG48,{"0","4","5","6","7","8","9"},$C$4:$AG$4,"3"))</f>
        <v>4</v>
      </c>
      <c r="AO48" s="283" cm="1">
        <f t="array" ref="AO48">SUM(COUNTIFS($C48:$AG48,{"1","2","3"}))</f>
        <v>7</v>
      </c>
      <c r="AP48" s="283" cm="1">
        <f t="array" ref="AP48">SUM(COUNTIFS($C48:$AG48,{"4","5","6"}))</f>
        <v>0</v>
      </c>
      <c r="AQ48" s="283">
        <f>AK48*'Spreadsheet Key'!$A$23 + AL48*'Spreadsheet Key'!$A$24 + AM48*'Spreadsheet Key'!$A$25 + AN48*'Spreadsheet Key'!$A$26</f>
        <v>960</v>
      </c>
      <c r="AR48" s="283">
        <f>AJ48/('MAR Statistics'!$B$29)*ABS(AI48-1)</f>
        <v>3.9087947882736153E-2</v>
      </c>
      <c r="AS48">
        <f t="shared" si="0"/>
        <v>0</v>
      </c>
      <c r="AT48" s="283">
        <f>AR48*'MAR Statistics'!$C$10</f>
        <v>43.702866449511397</v>
      </c>
      <c r="AV48" s="283">
        <f t="shared" si="1"/>
        <v>0</v>
      </c>
      <c r="AW48" s="283">
        <f t="shared" si="2"/>
        <v>0</v>
      </c>
      <c r="AX48" s="283">
        <f t="shared" si="3"/>
        <v>0</v>
      </c>
      <c r="AY48" s="283" cm="1">
        <f t="array" ref="AY48">COUNTIFS($C48:$AG48,"9",$C$4:$AG$4,"1")+SUM(COUNTIFS($C48:$AG48,{"8","9"},$C$4:$AG$4,"2"))+COUNTIFS($C48:$AG48,"8",$C$4:$AG$4,"3")</f>
        <v>0</v>
      </c>
      <c r="AZ48" s="283">
        <f t="shared" si="4"/>
        <v>2</v>
      </c>
      <c r="BA48" s="283">
        <f t="shared" si="5"/>
        <v>2</v>
      </c>
      <c r="BB48" s="283">
        <f>AV48*'Spreadsheet Key'!$A$27+AW48*'Spreadsheet Key'!$A$28+AX48*'Spreadsheet Key'!$A$29+AY48*'Spreadsheet Key'!$A$30+AZ48*'Spreadsheet Key'!$A$31</f>
        <v>40</v>
      </c>
      <c r="BD48" s="283">
        <f t="shared" ref="BD48" si="25">AT48-BB48</f>
        <v>3.7028664495113972</v>
      </c>
    </row>
    <row r="49" spans="1:56" ht="15.75">
      <c r="A49" s="56"/>
      <c r="B49" s="56"/>
      <c r="C49" s="779"/>
      <c r="D49" s="779"/>
      <c r="E49" s="6190" t="s">
        <v>1234</v>
      </c>
      <c r="F49" s="6190"/>
      <c r="G49" s="6190"/>
      <c r="H49" s="6190"/>
      <c r="I49" s="6190"/>
      <c r="J49" s="779"/>
      <c r="K49" s="2434"/>
      <c r="L49" s="3010" t="s">
        <v>1025</v>
      </c>
      <c r="M49" s="4850" t="s">
        <v>1243</v>
      </c>
      <c r="N49" s="4850"/>
      <c r="O49" s="3010" t="s">
        <v>1025</v>
      </c>
      <c r="P49" s="779"/>
      <c r="Q49" s="779"/>
      <c r="R49" s="779"/>
      <c r="S49" s="3010" t="s">
        <v>1025</v>
      </c>
      <c r="T49" s="6099" t="s">
        <v>1233</v>
      </c>
      <c r="U49" s="6099"/>
      <c r="V49" s="6099"/>
      <c r="W49" s="3010" t="s">
        <v>1025</v>
      </c>
      <c r="X49" s="779"/>
      <c r="Y49" s="779"/>
      <c r="Z49" s="2659"/>
      <c r="AA49" s="2659"/>
      <c r="AB49" s="2659"/>
      <c r="AC49" s="2659"/>
      <c r="AD49" s="2659"/>
      <c r="AE49" s="2434" t="s">
        <v>720</v>
      </c>
      <c r="AF49" s="2434"/>
      <c r="AG49" s="3010" t="s">
        <v>1025</v>
      </c>
      <c r="AH49" s="3126"/>
      <c r="AI49" s="3202"/>
      <c r="AJ49" s="283" cm="1">
        <f t="array" ref="AJ49">SUM(COUNTIFS($C49:$AG49,{"0","4","5","6","7","8","9"}))</f>
        <v>0</v>
      </c>
      <c r="AK49" s="283" cm="1">
        <f t="array" ref="AK49">SUM(COUNTIFS($C49:$AG49,{"0","4","5","6","7","8","9"},$C$4:$AG$4,"0"))</f>
        <v>0</v>
      </c>
      <c r="AL49" s="283" cm="1">
        <f t="array" ref="AL49">SUM(COUNTIFS($C49:$AG49,{"0","4","5","6","7","8","9"},$C$4:$AG$4,"1"))</f>
        <v>0</v>
      </c>
      <c r="AM49" s="283" cm="1">
        <f t="array" ref="AM49">SUM(COUNTIFS($C49:$AG49,{"0","4","5","6","7","8","9"},$C$4:$AG$4,"2"))</f>
        <v>0</v>
      </c>
      <c r="AN49" s="283" cm="1">
        <f t="array" ref="AN49">SUM(COUNTIFS($C49:$AG49,{"0","4","5","6","7","8","9"},$C$4:$AG$4,"3"))</f>
        <v>0</v>
      </c>
      <c r="AO49" s="283" cm="1">
        <f t="array" ref="AO49">SUM(COUNTIFS($C49:$AG49,{"1","2","3"}))</f>
        <v>0</v>
      </c>
      <c r="AP49" s="283" cm="1">
        <f t="array" ref="AP49">SUM(COUNTIFS($C49:$AG49,{"4","5","6"}))</f>
        <v>0</v>
      </c>
      <c r="AQ49" s="283">
        <f>AK49*'Spreadsheet Key'!$A$23 + AL49*'Spreadsheet Key'!$A$24 + AM49*'Spreadsheet Key'!$A$25 + AN49*'Spreadsheet Key'!$A$26</f>
        <v>0</v>
      </c>
      <c r="AR49" s="283">
        <f>AJ49/('MAR Statistics'!$B$29)*ABS(AI49-1)</f>
        <v>0</v>
      </c>
      <c r="AS49">
        <f t="shared" si="0"/>
        <v>0</v>
      </c>
      <c r="AT49" s="283">
        <f>AR49*'MAR Statistics'!$C$10</f>
        <v>0</v>
      </c>
      <c r="AV49" s="283">
        <f t="shared" si="1"/>
        <v>0</v>
      </c>
      <c r="AW49" s="283">
        <f t="shared" si="2"/>
        <v>0</v>
      </c>
      <c r="AX49" s="283">
        <f t="shared" si="3"/>
        <v>0</v>
      </c>
      <c r="AY49" s="283" cm="1">
        <f t="array" ref="AY49">COUNTIFS($C49:$AG49,"9",$C$4:$AG$4,"1")+SUM(COUNTIFS($C49:$AG49,{"8","9"},$C$4:$AG$4,"2"))+COUNTIFS($C49:$AG49,"8",$C$4:$AG$4,"3")</f>
        <v>0</v>
      </c>
      <c r="AZ49" s="283">
        <f t="shared" si="4"/>
        <v>0</v>
      </c>
      <c r="BA49" s="283">
        <f t="shared" si="5"/>
        <v>0</v>
      </c>
      <c r="BB49" s="283">
        <f>AV49*'Spreadsheet Key'!$A$27+AW49*'Spreadsheet Key'!$A$28+AX49*'Spreadsheet Key'!$A$29+AY49*'Spreadsheet Key'!$A$30+AZ49*'Spreadsheet Key'!$A$31</f>
        <v>0</v>
      </c>
    </row>
    <row r="50" spans="1:56">
      <c r="A50" s="56" t="s">
        <v>81</v>
      </c>
      <c r="B50" s="56" t="s">
        <v>396</v>
      </c>
      <c r="C50" s="2659">
        <v>0</v>
      </c>
      <c r="D50" s="2659">
        <v>0</v>
      </c>
      <c r="E50" s="2659">
        <v>7</v>
      </c>
      <c r="F50" s="2659">
        <v>7</v>
      </c>
      <c r="G50" s="2659">
        <v>7</v>
      </c>
      <c r="H50" s="2659">
        <v>7</v>
      </c>
      <c r="I50" s="2659">
        <v>7</v>
      </c>
      <c r="J50" s="2659">
        <v>0</v>
      </c>
      <c r="K50" s="2659">
        <v>0</v>
      </c>
      <c r="L50" s="2659">
        <v>1</v>
      </c>
      <c r="M50" s="2659">
        <v>2</v>
      </c>
      <c r="N50" s="2659">
        <v>2</v>
      </c>
      <c r="O50" s="2659">
        <v>3</v>
      </c>
      <c r="P50" s="2659">
        <v>0</v>
      </c>
      <c r="Q50" s="2659">
        <v>0</v>
      </c>
      <c r="R50" s="2659">
        <v>0</v>
      </c>
      <c r="S50" s="2659">
        <v>1</v>
      </c>
      <c r="T50" s="2659">
        <v>2</v>
      </c>
      <c r="U50" s="2659">
        <v>2</v>
      </c>
      <c r="V50" s="2659">
        <v>2</v>
      </c>
      <c r="W50" s="2659">
        <v>3</v>
      </c>
      <c r="X50" s="2659">
        <v>0</v>
      </c>
      <c r="Y50" s="2659">
        <v>0</v>
      </c>
      <c r="Z50" s="2659">
        <v>0</v>
      </c>
      <c r="AA50" s="2659">
        <v>0</v>
      </c>
      <c r="AB50" s="2659">
        <v>0</v>
      </c>
      <c r="AC50" s="2659">
        <v>0</v>
      </c>
      <c r="AD50" s="2659">
        <v>0</v>
      </c>
      <c r="AE50" s="2659">
        <v>8</v>
      </c>
      <c r="AF50" s="2659">
        <v>0</v>
      </c>
      <c r="AG50" s="2659">
        <v>1</v>
      </c>
      <c r="AH50" s="3126"/>
      <c r="AI50" s="3202">
        <v>0</v>
      </c>
      <c r="AJ50" s="283" cm="1">
        <f t="array" ref="AJ50">SUM(COUNTIFS($C50:$AG50,{"0","4","5","6","7","8","9"}))</f>
        <v>21</v>
      </c>
      <c r="AK50" s="283" cm="1">
        <f t="array" ref="AK50">SUM(COUNTIFS($C50:$AG50,{"0","4","5","6","7","8","9"},$C$4:$AG$4,"0"))</f>
        <v>8</v>
      </c>
      <c r="AL50" s="283" cm="1">
        <f t="array" ref="AL50">SUM(COUNTIFS($C50:$AG50,{"0","4","5","6","7","8","9"},$C$4:$AG$4,"1"))</f>
        <v>3</v>
      </c>
      <c r="AM50" s="283" cm="1">
        <f t="array" ref="AM50">SUM(COUNTIFS($C50:$AG50,{"0","4","5","6","7","8","9"},$C$4:$AG$4,"2"))</f>
        <v>5</v>
      </c>
      <c r="AN50" s="283" cm="1">
        <f t="array" ref="AN50">SUM(COUNTIFS($C50:$AG50,{"0","4","5","6","7","8","9"},$C$4:$AG$4,"3"))</f>
        <v>5</v>
      </c>
      <c r="AO50" s="283" cm="1">
        <f t="array" ref="AO50">SUM(COUNTIFS($C50:$AG50,{"1","2","3"}))</f>
        <v>10</v>
      </c>
      <c r="AP50" s="283" cm="1">
        <f t="array" ref="AP50">SUM(COUNTIFS($C50:$AG50,{"4","5","6"}))</f>
        <v>0</v>
      </c>
      <c r="AQ50" s="283">
        <f>AK50*'Spreadsheet Key'!$A$23 + AL50*'Spreadsheet Key'!$A$24 + AM50*'Spreadsheet Key'!$A$25 + AN50*'Spreadsheet Key'!$A$26</f>
        <v>978</v>
      </c>
      <c r="AR50" s="283">
        <f>AJ50/('MAR Statistics'!$B$29)*ABS(AI50-1)</f>
        <v>3.4201954397394138E-2</v>
      </c>
      <c r="AS50">
        <f t="shared" si="0"/>
        <v>0</v>
      </c>
      <c r="AT50" s="283">
        <f>AR50*'MAR Statistics'!$C$10</f>
        <v>38.240008143322477</v>
      </c>
      <c r="AV50" s="283">
        <f t="shared" si="1"/>
        <v>0</v>
      </c>
      <c r="AW50" s="283">
        <f t="shared" si="2"/>
        <v>0</v>
      </c>
      <c r="AX50" s="283">
        <f t="shared" si="3"/>
        <v>0</v>
      </c>
      <c r="AY50" s="283" cm="1">
        <f t="array" ref="AY50">COUNTIFS($C50:$AG50,"9",$C$4:$AG$4,"1")+SUM(COUNTIFS($C50:$AG50,{"8","9"},$C$4:$AG$4,"2"))+COUNTIFS($C50:$AG50,"8",$C$4:$AG$4,"3")</f>
        <v>1</v>
      </c>
      <c r="AZ50" s="283">
        <f t="shared" si="4"/>
        <v>0</v>
      </c>
      <c r="BA50" s="283">
        <f t="shared" si="5"/>
        <v>1</v>
      </c>
      <c r="BB50" s="283">
        <f>AV50*'Spreadsheet Key'!$A$27+AW50*'Spreadsheet Key'!$A$28+AX50*'Spreadsheet Key'!$A$29+AY50*'Spreadsheet Key'!$A$30+AZ50*'Spreadsheet Key'!$A$31</f>
        <v>36</v>
      </c>
      <c r="BD50" s="283">
        <f t="shared" ref="BD50" si="26">AT50-BB50</f>
        <v>2.240008143322477</v>
      </c>
    </row>
    <row r="51" spans="1:56">
      <c r="A51" s="56"/>
      <c r="B51" s="56"/>
      <c r="C51" s="779"/>
      <c r="D51" s="779"/>
      <c r="E51" s="779"/>
      <c r="F51" s="779"/>
      <c r="G51" s="779"/>
      <c r="H51" s="2434"/>
      <c r="I51" s="2434" t="s">
        <v>720</v>
      </c>
      <c r="J51" s="779"/>
      <c r="K51" s="779"/>
      <c r="L51" s="779"/>
      <c r="M51" s="779"/>
      <c r="N51" s="779"/>
      <c r="O51" s="779"/>
      <c r="P51" s="779"/>
      <c r="Q51" s="779"/>
      <c r="R51" s="2434" t="s">
        <v>720</v>
      </c>
      <c r="S51" s="779"/>
      <c r="T51" s="779"/>
      <c r="U51" s="779"/>
      <c r="V51" s="779"/>
      <c r="W51" s="779"/>
      <c r="X51" s="3628" t="s">
        <v>251</v>
      </c>
      <c r="Y51" s="6214" t="s">
        <v>754</v>
      </c>
      <c r="Z51" s="6214"/>
      <c r="AA51" s="6214"/>
      <c r="AB51" s="6214"/>
      <c r="AC51" s="3628" t="s">
        <v>1025</v>
      </c>
      <c r="AD51" s="779"/>
      <c r="AE51" s="779"/>
      <c r="AF51" s="779"/>
      <c r="AG51" s="779"/>
      <c r="AH51" s="3126"/>
      <c r="AI51" s="3202"/>
      <c r="AJ51" s="283" cm="1">
        <f t="array" ref="AJ51">SUM(COUNTIFS($C51:$AG51,{"0","4","5","6","7","8","9"}))</f>
        <v>0</v>
      </c>
      <c r="AK51" s="283" cm="1">
        <f t="array" ref="AK51">SUM(COUNTIFS($C51:$AG51,{"0","4","5","6","7","8","9"},$C$4:$AG$4,"0"))</f>
        <v>0</v>
      </c>
      <c r="AL51" s="283" cm="1">
        <f t="array" ref="AL51">SUM(COUNTIFS($C51:$AG51,{"0","4","5","6","7","8","9"},$C$4:$AG$4,"1"))</f>
        <v>0</v>
      </c>
      <c r="AM51" s="283" cm="1">
        <f t="array" ref="AM51">SUM(COUNTIFS($C51:$AG51,{"0","4","5","6","7","8","9"},$C$4:$AG$4,"2"))</f>
        <v>0</v>
      </c>
      <c r="AN51" s="283" cm="1">
        <f t="array" ref="AN51">SUM(COUNTIFS($C51:$AG51,{"0","4","5","6","7","8","9"},$C$4:$AG$4,"3"))</f>
        <v>0</v>
      </c>
      <c r="AO51" s="283" cm="1">
        <f t="array" ref="AO51">SUM(COUNTIFS($C51:$AG51,{"1","2","3"}))</f>
        <v>0</v>
      </c>
      <c r="AP51" s="283" cm="1">
        <f t="array" ref="AP51">SUM(COUNTIFS($C51:$AG51,{"4","5","6"}))</f>
        <v>0</v>
      </c>
      <c r="AQ51" s="283">
        <f>AK51*'Spreadsheet Key'!$A$23 + AL51*'Spreadsheet Key'!$A$24 + AM51*'Spreadsheet Key'!$A$25 + AN51*'Spreadsheet Key'!$A$26</f>
        <v>0</v>
      </c>
      <c r="AR51" s="283">
        <f>AJ51/('MAR Statistics'!$B$29)*ABS(AI51-1)</f>
        <v>0</v>
      </c>
      <c r="AS51">
        <f t="shared" si="0"/>
        <v>0</v>
      </c>
      <c r="AT51" s="283">
        <f>AR51*'MAR Statistics'!$C$10</f>
        <v>0</v>
      </c>
      <c r="AV51" s="283">
        <f t="shared" si="1"/>
        <v>0</v>
      </c>
      <c r="AW51" s="283">
        <f t="shared" si="2"/>
        <v>0</v>
      </c>
      <c r="AX51" s="283">
        <f t="shared" si="3"/>
        <v>0</v>
      </c>
      <c r="AY51" s="283" cm="1">
        <f t="array" ref="AY51">COUNTIFS($C51:$AG51,"9",$C$4:$AG$4,"1")+SUM(COUNTIFS($C51:$AG51,{"8","9"},$C$4:$AG$4,"2"))+COUNTIFS($C51:$AG51,"8",$C$4:$AG$4,"3")</f>
        <v>0</v>
      </c>
      <c r="AZ51" s="283">
        <f t="shared" si="4"/>
        <v>0</v>
      </c>
      <c r="BA51" s="283">
        <f t="shared" si="5"/>
        <v>0</v>
      </c>
      <c r="BB51" s="283">
        <f>AV51*'Spreadsheet Key'!$A$27+AW51*'Spreadsheet Key'!$A$28+AX51*'Spreadsheet Key'!$A$29+AY51*'Spreadsheet Key'!$A$30+AZ51*'Spreadsheet Key'!$A$31</f>
        <v>0</v>
      </c>
    </row>
    <row r="52" spans="1:56">
      <c r="A52" s="56" t="s">
        <v>95</v>
      </c>
      <c r="B52" s="56" t="s">
        <v>303</v>
      </c>
      <c r="C52" s="2659">
        <v>0</v>
      </c>
      <c r="D52" s="2659">
        <v>0</v>
      </c>
      <c r="E52" s="2659">
        <v>0</v>
      </c>
      <c r="F52" s="2659">
        <v>0</v>
      </c>
      <c r="G52" s="2659">
        <v>0</v>
      </c>
      <c r="H52" s="2659">
        <v>0</v>
      </c>
      <c r="I52" s="2659">
        <v>8</v>
      </c>
      <c r="J52" s="2659">
        <v>0</v>
      </c>
      <c r="K52" s="2659">
        <v>0</v>
      </c>
      <c r="L52" s="2659">
        <v>0</v>
      </c>
      <c r="M52" s="2659">
        <v>0</v>
      </c>
      <c r="N52" s="2659">
        <v>0</v>
      </c>
      <c r="O52" s="2659">
        <v>0</v>
      </c>
      <c r="P52" s="2659">
        <v>0</v>
      </c>
      <c r="Q52" s="2659">
        <v>0</v>
      </c>
      <c r="R52" s="2659">
        <v>8</v>
      </c>
      <c r="S52" s="2659">
        <v>0</v>
      </c>
      <c r="T52" s="2659">
        <v>0</v>
      </c>
      <c r="U52" s="2659">
        <v>0</v>
      </c>
      <c r="V52" s="2659">
        <v>0</v>
      </c>
      <c r="W52" s="2659">
        <v>0</v>
      </c>
      <c r="X52" s="2659">
        <v>1</v>
      </c>
      <c r="Y52" s="2659">
        <v>2</v>
      </c>
      <c r="Z52" s="2659">
        <v>2</v>
      </c>
      <c r="AA52" s="2659">
        <v>2</v>
      </c>
      <c r="AB52" s="2659">
        <v>2</v>
      </c>
      <c r="AC52" s="2659">
        <v>3</v>
      </c>
      <c r="AD52" s="2659">
        <v>0</v>
      </c>
      <c r="AE52" s="2659">
        <v>0</v>
      </c>
      <c r="AF52" s="2659">
        <v>0</v>
      </c>
      <c r="AG52" s="2659">
        <v>0</v>
      </c>
      <c r="AH52" s="3126"/>
      <c r="AI52" s="3202">
        <v>0</v>
      </c>
      <c r="AJ52" s="283" cm="1">
        <f t="array" ref="AJ52">SUM(COUNTIFS($C52:$AG52,{"0","4","5","6","7","8","9"}))</f>
        <v>25</v>
      </c>
      <c r="AK52" s="283" cm="1">
        <f t="array" ref="AK52">SUM(COUNTIFS($C52:$AG52,{"0","4","5","6","7","8","9"},$C$4:$AG$4,"0"))</f>
        <v>13</v>
      </c>
      <c r="AL52" s="283" cm="1">
        <f t="array" ref="AL52">SUM(COUNTIFS($C52:$AG52,{"0","4","5","6","7","8","9"},$C$4:$AG$4,"1"))</f>
        <v>4</v>
      </c>
      <c r="AM52" s="283" cm="1">
        <f t="array" ref="AM52">SUM(COUNTIFS($C52:$AG52,{"0","4","5","6","7","8","9"},$C$4:$AG$4,"2"))</f>
        <v>4</v>
      </c>
      <c r="AN52" s="283" cm="1">
        <f t="array" ref="AN52">SUM(COUNTIFS($C52:$AG52,{"0","4","5","6","7","8","9"},$C$4:$AG$4,"3"))</f>
        <v>4</v>
      </c>
      <c r="AO52" s="283" cm="1">
        <f t="array" ref="AO52">SUM(COUNTIFS($C52:$AG52,{"1","2","3"}))</f>
        <v>6</v>
      </c>
      <c r="AP52" s="283" cm="1">
        <f t="array" ref="AP52">SUM(COUNTIFS($C52:$AG52,{"4","5","6"}))</f>
        <v>0</v>
      </c>
      <c r="AQ52" s="283">
        <f>AK52*'Spreadsheet Key'!$A$23 + AL52*'Spreadsheet Key'!$A$24 + AM52*'Spreadsheet Key'!$A$25 + AN52*'Spreadsheet Key'!$A$26</f>
        <v>1014</v>
      </c>
      <c r="AR52" s="283">
        <f>AJ52/('MAR Statistics'!$B$29)*ABS(AI52-1)</f>
        <v>4.071661237785016E-2</v>
      </c>
      <c r="AS52">
        <f t="shared" si="0"/>
        <v>0</v>
      </c>
      <c r="AT52" s="283">
        <f>AR52*'MAR Statistics'!$C$10</f>
        <v>45.523819218241044</v>
      </c>
      <c r="AV52" s="283">
        <f t="shared" si="1"/>
        <v>0</v>
      </c>
      <c r="AW52" s="283">
        <f t="shared" si="2"/>
        <v>0</v>
      </c>
      <c r="AX52" s="283">
        <f t="shared" si="3"/>
        <v>1</v>
      </c>
      <c r="AY52" s="283" cm="1">
        <f t="array" ref="AY52">COUNTIFS($C52:$AG52,"9",$C$4:$AG$4,"1")+SUM(COUNTIFS($C52:$AG52,{"8","9"},$C$4:$AG$4,"2"))+COUNTIFS($C52:$AG52,"8",$C$4:$AG$4,"3")</f>
        <v>1</v>
      </c>
      <c r="AZ52" s="283">
        <f t="shared" si="4"/>
        <v>0</v>
      </c>
      <c r="BA52" s="283">
        <f t="shared" si="5"/>
        <v>2</v>
      </c>
      <c r="BB52" s="283">
        <f>AV52*'Spreadsheet Key'!$A$27+AW52*'Spreadsheet Key'!$A$28+AX52*'Spreadsheet Key'!$A$29+AY52*'Spreadsheet Key'!$A$30+AZ52*'Spreadsheet Key'!$A$31</f>
        <v>54</v>
      </c>
      <c r="BD52" s="283">
        <f t="shared" ref="BD52" si="27">AT52-BB52</f>
        <v>-8.4761807817589556</v>
      </c>
    </row>
    <row r="53" spans="1:56">
      <c r="A53" s="56"/>
      <c r="B53" s="2389"/>
      <c r="C53" s="779"/>
      <c r="D53" s="779"/>
      <c r="E53" s="779"/>
      <c r="F53" s="779"/>
      <c r="G53" s="2434" t="s">
        <v>722</v>
      </c>
      <c r="H53" s="779"/>
      <c r="I53" s="779"/>
      <c r="J53" s="779"/>
      <c r="K53" s="779"/>
      <c r="L53" s="779"/>
      <c r="M53" s="779"/>
      <c r="N53" s="2434" t="s">
        <v>722</v>
      </c>
      <c r="O53" s="779"/>
      <c r="P53" s="779"/>
      <c r="Q53" s="779"/>
      <c r="R53" s="3628" t="s">
        <v>251</v>
      </c>
      <c r="S53" s="4308" t="s">
        <v>1254</v>
      </c>
      <c r="T53" s="4308"/>
      <c r="U53" s="4308"/>
      <c r="V53" s="4308"/>
      <c r="W53" s="4308"/>
      <c r="X53" s="3628" t="s">
        <v>251</v>
      </c>
      <c r="Y53" s="779"/>
      <c r="Z53" s="2659"/>
      <c r="AA53" s="2659"/>
      <c r="AB53" s="2659"/>
      <c r="AC53" s="2659"/>
      <c r="AD53" s="2659"/>
      <c r="AE53" s="779"/>
      <c r="AF53" s="2434"/>
      <c r="AG53" s="779"/>
      <c r="AH53" s="3126"/>
      <c r="AI53" s="3202"/>
      <c r="AJ53" s="283" cm="1">
        <f t="array" ref="AJ53">SUM(COUNTIFS($C53:$AG53,{"0","4","5","6","7","8","9"}))</f>
        <v>0</v>
      </c>
      <c r="AK53" s="283" cm="1">
        <f t="array" ref="AK53">SUM(COUNTIFS($C53:$AG53,{"0","4","5","6","7","8","9"},$C$4:$AG$4,"0"))</f>
        <v>0</v>
      </c>
      <c r="AL53" s="283" cm="1">
        <f t="array" ref="AL53">SUM(COUNTIFS($C53:$AG53,{"0","4","5","6","7","8","9"},$C$4:$AG$4,"1"))</f>
        <v>0</v>
      </c>
      <c r="AM53" s="283" cm="1">
        <f t="array" ref="AM53">SUM(COUNTIFS($C53:$AG53,{"0","4","5","6","7","8","9"},$C$4:$AG$4,"2"))</f>
        <v>0</v>
      </c>
      <c r="AN53" s="283" cm="1">
        <f t="array" ref="AN53">SUM(COUNTIFS($C53:$AG53,{"0","4","5","6","7","8","9"},$C$4:$AG$4,"3"))</f>
        <v>0</v>
      </c>
      <c r="AO53" s="283" cm="1">
        <f t="array" ref="AO53">SUM(COUNTIFS($C53:$AG53,{"1","2","3"}))</f>
        <v>0</v>
      </c>
      <c r="AP53" s="283" cm="1">
        <f t="array" ref="AP53">SUM(COUNTIFS($C53:$AG53,{"4","5","6"}))</f>
        <v>0</v>
      </c>
      <c r="AQ53" s="283">
        <f>AK53*'Spreadsheet Key'!$A$23 + AL53*'Spreadsheet Key'!$A$24 + AM53*'Spreadsheet Key'!$A$25 + AN53*'Spreadsheet Key'!$A$26</f>
        <v>0</v>
      </c>
      <c r="AR53" s="283">
        <f>AJ53/('MAR Statistics'!$B$29)*ABS(AI53-1)</f>
        <v>0</v>
      </c>
      <c r="AS53">
        <f t="shared" si="0"/>
        <v>0</v>
      </c>
      <c r="AT53" s="283">
        <f>AR53*'MAR Statistics'!$C$10</f>
        <v>0</v>
      </c>
      <c r="AV53" s="283">
        <f t="shared" si="1"/>
        <v>0</v>
      </c>
      <c r="AW53" s="283">
        <f t="shared" si="2"/>
        <v>0</v>
      </c>
      <c r="AX53" s="283">
        <f t="shared" si="3"/>
        <v>0</v>
      </c>
      <c r="AY53" s="283" cm="1">
        <f t="array" ref="AY53">COUNTIFS($C53:$AG53,"9",$C$4:$AG$4,"1")+SUM(COUNTIFS($C53:$AG53,{"8","9"},$C$4:$AG$4,"2"))+COUNTIFS($C53:$AG53,"8",$C$4:$AG$4,"3")</f>
        <v>0</v>
      </c>
      <c r="AZ53" s="283">
        <f t="shared" si="4"/>
        <v>0</v>
      </c>
      <c r="BA53" s="283">
        <f t="shared" si="5"/>
        <v>0</v>
      </c>
      <c r="BB53" s="283">
        <f>AV53*'Spreadsheet Key'!$A$27+AW53*'Spreadsheet Key'!$A$28+AX53*'Spreadsheet Key'!$A$29+AY53*'Spreadsheet Key'!$A$30+AZ53*'Spreadsheet Key'!$A$31</f>
        <v>0</v>
      </c>
    </row>
    <row r="54" spans="1:56">
      <c r="A54" s="56" t="s">
        <v>155</v>
      </c>
      <c r="B54" s="2389" t="s">
        <v>532</v>
      </c>
      <c r="C54" s="2659">
        <v>0</v>
      </c>
      <c r="D54" s="2659">
        <v>0</v>
      </c>
      <c r="E54" s="2659">
        <v>0</v>
      </c>
      <c r="F54" s="2659">
        <v>0</v>
      </c>
      <c r="G54" s="2659">
        <v>9</v>
      </c>
      <c r="H54" s="2659">
        <v>0</v>
      </c>
      <c r="I54" s="2659">
        <v>0</v>
      </c>
      <c r="J54" s="2659">
        <v>0</v>
      </c>
      <c r="K54" s="2659">
        <v>0</v>
      </c>
      <c r="L54" s="2659">
        <v>0</v>
      </c>
      <c r="M54" s="2659">
        <v>0</v>
      </c>
      <c r="N54" s="2659">
        <v>9</v>
      </c>
      <c r="O54" s="2659">
        <v>0</v>
      </c>
      <c r="P54" s="2659">
        <v>0</v>
      </c>
      <c r="Q54" s="2659">
        <v>0</v>
      </c>
      <c r="R54" s="2659">
        <v>1</v>
      </c>
      <c r="S54" s="2659">
        <v>2</v>
      </c>
      <c r="T54" s="2659">
        <v>2</v>
      </c>
      <c r="U54" s="2659">
        <v>2</v>
      </c>
      <c r="V54" s="2659">
        <v>2</v>
      </c>
      <c r="W54" s="2659">
        <v>2</v>
      </c>
      <c r="X54" s="2659">
        <v>3</v>
      </c>
      <c r="Y54" s="2659">
        <v>0</v>
      </c>
      <c r="Z54" s="2659">
        <v>0</v>
      </c>
      <c r="AA54" s="2659">
        <v>0</v>
      </c>
      <c r="AB54" s="2659">
        <v>0</v>
      </c>
      <c r="AC54" s="2659">
        <v>0</v>
      </c>
      <c r="AD54" s="2659">
        <v>0</v>
      </c>
      <c r="AE54" s="2659">
        <v>0</v>
      </c>
      <c r="AF54" s="2659">
        <v>0</v>
      </c>
      <c r="AG54" s="2659">
        <v>0</v>
      </c>
      <c r="AH54" s="3126"/>
      <c r="AI54" s="3202">
        <v>0</v>
      </c>
      <c r="AJ54" s="283" cm="1">
        <f t="array" ref="AJ54">SUM(COUNTIFS($C54:$AG54,{"0","4","5","6","7","8","9"}))</f>
        <v>24</v>
      </c>
      <c r="AK54" s="283" cm="1">
        <f t="array" ref="AK54">SUM(COUNTIFS($C54:$AG54,{"0","4","5","6","7","8","9"},$C$4:$AG$4,"0"))</f>
        <v>13</v>
      </c>
      <c r="AL54" s="283" cm="1">
        <f t="array" ref="AL54">SUM(COUNTIFS($C54:$AG54,{"0","4","5","6","7","8","9"},$C$4:$AG$4,"1"))</f>
        <v>3</v>
      </c>
      <c r="AM54" s="283" cm="1">
        <f t="array" ref="AM54">SUM(COUNTIFS($C54:$AG54,{"0","4","5","6","7","8","9"},$C$4:$AG$4,"2"))</f>
        <v>4</v>
      </c>
      <c r="AN54" s="283" cm="1">
        <f t="array" ref="AN54">SUM(COUNTIFS($C54:$AG54,{"0","4","5","6","7","8","9"},$C$4:$AG$4,"3"))</f>
        <v>4</v>
      </c>
      <c r="AO54" s="283" cm="1">
        <f t="array" ref="AO54">SUM(COUNTIFS($C54:$AG54,{"1","2","3"}))</f>
        <v>7</v>
      </c>
      <c r="AP54" s="283" cm="1">
        <f t="array" ref="AP54">SUM(COUNTIFS($C54:$AG54,{"4","5","6"}))</f>
        <v>0</v>
      </c>
      <c r="AQ54" s="283">
        <f>AK54*'Spreadsheet Key'!$A$23 + AL54*'Spreadsheet Key'!$A$24 + AM54*'Spreadsheet Key'!$A$25 + AN54*'Spreadsheet Key'!$A$26</f>
        <v>960</v>
      </c>
      <c r="AR54" s="283">
        <f>AJ54/('MAR Statistics'!$B$29)*ABS(AI54-1)</f>
        <v>3.9087947882736153E-2</v>
      </c>
      <c r="AS54">
        <f t="shared" si="0"/>
        <v>0</v>
      </c>
      <c r="AT54" s="283">
        <f>AR54*'MAR Statistics'!$C$10</f>
        <v>43.702866449511397</v>
      </c>
      <c r="AV54" s="283">
        <f t="shared" si="1"/>
        <v>0</v>
      </c>
      <c r="AW54" s="283">
        <f t="shared" si="2"/>
        <v>2</v>
      </c>
      <c r="AX54" s="283">
        <f t="shared" si="3"/>
        <v>0</v>
      </c>
      <c r="AY54" s="283" cm="1">
        <f t="array" ref="AY54">COUNTIFS($C54:$AG54,"9",$C$4:$AG$4,"1")+SUM(COUNTIFS($C54:$AG54,{"8","9"},$C$4:$AG$4,"2"))+COUNTIFS($C54:$AG54,"8",$C$4:$AG$4,"3")</f>
        <v>0</v>
      </c>
      <c r="AZ54" s="283">
        <f t="shared" si="4"/>
        <v>0</v>
      </c>
      <c r="BA54" s="283">
        <f t="shared" si="5"/>
        <v>2</v>
      </c>
      <c r="BB54" s="283">
        <f>AV54*'Spreadsheet Key'!$A$27+AW54*'Spreadsheet Key'!$A$28+AX54*'Spreadsheet Key'!$A$29+AY54*'Spreadsheet Key'!$A$30+AZ54*'Spreadsheet Key'!$A$31</f>
        <v>24</v>
      </c>
      <c r="BD54" s="283">
        <f t="shared" ref="BD54" si="28">AT54-BB54</f>
        <v>19.702866449511397</v>
      </c>
    </row>
    <row r="55" spans="1:56">
      <c r="A55" s="56"/>
      <c r="B55" s="56"/>
      <c r="C55" s="779"/>
      <c r="D55" s="779"/>
      <c r="E55" s="6190" t="s">
        <v>1234</v>
      </c>
      <c r="F55" s="6190"/>
      <c r="G55" s="6190"/>
      <c r="H55" s="6190"/>
      <c r="I55" s="6190"/>
      <c r="J55" s="779"/>
      <c r="K55" s="779"/>
      <c r="L55" s="779"/>
      <c r="M55" s="779"/>
      <c r="N55" s="779"/>
      <c r="O55" s="779"/>
      <c r="P55" s="779"/>
      <c r="Q55" s="779"/>
      <c r="R55" s="779"/>
      <c r="S55" s="779"/>
      <c r="T55" s="779"/>
      <c r="U55" s="779"/>
      <c r="V55" s="779"/>
      <c r="W55" s="779"/>
      <c r="X55" s="779"/>
      <c r="Y55" s="779"/>
      <c r="Z55" s="2659"/>
      <c r="AA55" s="779"/>
      <c r="AB55" s="779"/>
      <c r="AC55" s="2434" t="s">
        <v>720</v>
      </c>
      <c r="AD55" s="779"/>
      <c r="AE55" s="779"/>
      <c r="AF55" s="779"/>
      <c r="AG55" s="2"/>
      <c r="AH55" s="3126"/>
      <c r="AI55" s="3202"/>
      <c r="AJ55" s="283" cm="1">
        <f t="array" ref="AJ55">SUM(COUNTIFS($C55:$AG55,{"0","4","5","6","7","8","9"}))</f>
        <v>0</v>
      </c>
      <c r="AK55" s="283" cm="1">
        <f t="array" ref="AK55">SUM(COUNTIFS($C55:$AG55,{"0","4","5","6","7","8","9"},$C$4:$AG$4,"0"))</f>
        <v>0</v>
      </c>
      <c r="AL55" s="283" cm="1">
        <f t="array" ref="AL55">SUM(COUNTIFS($C55:$AG55,{"0","4","5","6","7","8","9"},$C$4:$AG$4,"1"))</f>
        <v>0</v>
      </c>
      <c r="AM55" s="283" cm="1">
        <f t="array" ref="AM55">SUM(COUNTIFS($C55:$AG55,{"0","4","5","6","7","8","9"},$C$4:$AG$4,"2"))</f>
        <v>0</v>
      </c>
      <c r="AN55" s="283" cm="1">
        <f t="array" ref="AN55">SUM(COUNTIFS($C55:$AG55,{"0","4","5","6","7","8","9"},$C$4:$AG$4,"3"))</f>
        <v>0</v>
      </c>
      <c r="AO55" s="283" cm="1">
        <f t="array" ref="AO55">SUM(COUNTIFS($C55:$AG55,{"1","2","3"}))</f>
        <v>0</v>
      </c>
      <c r="AP55" s="283" cm="1">
        <f t="array" ref="AP55">SUM(COUNTIFS($C55:$AG55,{"4","5","6"}))</f>
        <v>0</v>
      </c>
      <c r="AQ55" s="283">
        <f>AK55*'Spreadsheet Key'!$A$23 + AL55*'Spreadsheet Key'!$A$24 + AM55*'Spreadsheet Key'!$A$25 + AN55*'Spreadsheet Key'!$A$26</f>
        <v>0</v>
      </c>
      <c r="AR55" s="283">
        <f>AJ55/('MAR Statistics'!$B$29)*ABS(AI55-1)</f>
        <v>0</v>
      </c>
      <c r="AS55">
        <f t="shared" si="0"/>
        <v>0</v>
      </c>
      <c r="AV55" s="283">
        <f t="shared" si="1"/>
        <v>0</v>
      </c>
      <c r="AW55" s="283">
        <f t="shared" si="2"/>
        <v>0</v>
      </c>
      <c r="AX55" s="283">
        <f t="shared" si="3"/>
        <v>0</v>
      </c>
      <c r="AY55" s="283" cm="1">
        <f t="array" ref="AY55">COUNTIFS($C55:$AG55,"9",$C$4:$AG$4,"1")+SUM(COUNTIFS($C55:$AG55,{"8","9"},$C$4:$AG$4,"2"))+COUNTIFS($C55:$AG55,"8",$C$4:$AG$4,"3")</f>
        <v>0</v>
      </c>
      <c r="AZ55" s="283">
        <f t="shared" si="4"/>
        <v>0</v>
      </c>
      <c r="BA55" s="283">
        <f t="shared" si="5"/>
        <v>0</v>
      </c>
      <c r="BB55" s="283">
        <f>AV55*'Spreadsheet Key'!$A$27+AW55*'Spreadsheet Key'!$A$28+AX55*'Spreadsheet Key'!$A$29+AY55*'Spreadsheet Key'!$A$30+AZ55*'Spreadsheet Key'!$A$31</f>
        <v>0</v>
      </c>
    </row>
    <row r="56" spans="1:56">
      <c r="A56" s="56" t="s">
        <v>100</v>
      </c>
      <c r="B56" s="56" t="s">
        <v>725</v>
      </c>
      <c r="C56" s="2659">
        <v>0</v>
      </c>
      <c r="D56" s="2659">
        <v>0</v>
      </c>
      <c r="E56" s="2659">
        <v>7</v>
      </c>
      <c r="F56" s="2659">
        <v>7</v>
      </c>
      <c r="G56" s="2659">
        <v>7</v>
      </c>
      <c r="H56" s="2659">
        <v>7</v>
      </c>
      <c r="I56" s="2659">
        <v>7</v>
      </c>
      <c r="J56" s="2659">
        <v>0</v>
      </c>
      <c r="K56" s="2659">
        <v>0</v>
      </c>
      <c r="L56" s="2659">
        <v>0</v>
      </c>
      <c r="M56" s="2659">
        <v>0</v>
      </c>
      <c r="N56" s="2659">
        <v>0</v>
      </c>
      <c r="O56" s="2659">
        <v>0</v>
      </c>
      <c r="P56" s="2659">
        <v>0</v>
      </c>
      <c r="Q56" s="2659">
        <v>0</v>
      </c>
      <c r="R56" s="2659">
        <v>0</v>
      </c>
      <c r="S56" s="2659">
        <v>0</v>
      </c>
      <c r="T56" s="2659">
        <v>0</v>
      </c>
      <c r="U56" s="2659">
        <v>0</v>
      </c>
      <c r="V56" s="2659">
        <v>0</v>
      </c>
      <c r="W56" s="2659">
        <v>0</v>
      </c>
      <c r="X56" s="2659">
        <v>0</v>
      </c>
      <c r="Y56" s="2659">
        <v>0</v>
      </c>
      <c r="Z56" s="2659">
        <v>0</v>
      </c>
      <c r="AA56" s="2659">
        <v>0</v>
      </c>
      <c r="AB56" s="2659">
        <v>0</v>
      </c>
      <c r="AC56" s="2659">
        <v>8</v>
      </c>
      <c r="AD56" s="2659">
        <v>0</v>
      </c>
      <c r="AE56" s="2659">
        <v>0</v>
      </c>
      <c r="AF56" s="2659">
        <v>0</v>
      </c>
      <c r="AG56" s="2659">
        <v>0</v>
      </c>
      <c r="AH56" s="3126"/>
      <c r="AI56" s="3202">
        <v>1</v>
      </c>
      <c r="AJ56" s="283" cm="1">
        <f t="array" ref="AJ56">SUM(COUNTIFS($C56:$AG56,{"0","4","5","6","7","8","9"}))</f>
        <v>31</v>
      </c>
      <c r="AK56" s="283" cm="1">
        <f t="array" ref="AK56">SUM(COUNTIFS($C56:$AG56,{"0","4","5","6","7","8","9"},$C$4:$AG$4,"0"))</f>
        <v>17</v>
      </c>
      <c r="AL56" s="283" cm="1">
        <f t="array" ref="AL56">SUM(COUNTIFS($C56:$AG56,{"0","4","5","6","7","8","9"},$C$4:$AG$4,"1"))</f>
        <v>4</v>
      </c>
      <c r="AM56" s="283" cm="1">
        <f t="array" ref="AM56">SUM(COUNTIFS($C56:$AG56,{"0","4","5","6","7","8","9"},$C$4:$AG$4,"2"))</f>
        <v>5</v>
      </c>
      <c r="AN56" s="283" cm="1">
        <f t="array" ref="AN56">SUM(COUNTIFS($C56:$AG56,{"0","4","5","6","7","8","9"},$C$4:$AG$4,"3"))</f>
        <v>5</v>
      </c>
      <c r="AO56" s="283" cm="1">
        <f t="array" ref="AO56">SUM(COUNTIFS($C56:$AG56,{"1","2","3"}))</f>
        <v>0</v>
      </c>
      <c r="AP56" s="283" cm="1">
        <f t="array" ref="AP56">SUM(COUNTIFS($C56:$AG56,{"4","5","6"}))</f>
        <v>0</v>
      </c>
      <c r="AQ56" s="283">
        <f>AK56*'Spreadsheet Key'!$A$23 + AL56*'Spreadsheet Key'!$A$24 + AM56*'Spreadsheet Key'!$A$25 + AN56*'Spreadsheet Key'!$A$26</f>
        <v>1230</v>
      </c>
      <c r="AR56" s="283">
        <f>AJ56/('MAR Statistics'!$B$29)*ABS(AI56-1)</f>
        <v>0</v>
      </c>
      <c r="AS56">
        <f t="shared" si="0"/>
        <v>18</v>
      </c>
      <c r="AT56" s="283">
        <f>(AJ56/'MAR Statistics'!$B$6)*'Spreadsheet Key'!$A$33</f>
        <v>18</v>
      </c>
      <c r="AV56" s="283">
        <f t="shared" si="1"/>
        <v>1</v>
      </c>
      <c r="AW56" s="283">
        <f t="shared" si="2"/>
        <v>0</v>
      </c>
      <c r="AX56" s="283">
        <f t="shared" si="3"/>
        <v>0</v>
      </c>
      <c r="AY56" s="283" cm="1">
        <f t="array" ref="AY56">COUNTIFS($C56:$AG56,"9",$C$4:$AG$4,"1")+SUM(COUNTIFS($C56:$AG56,{"8","9"},$C$4:$AG$4,"2"))+COUNTIFS($C56:$AG56,"8",$C$4:$AG$4,"3")</f>
        <v>0</v>
      </c>
      <c r="AZ56" s="283">
        <f t="shared" si="4"/>
        <v>0</v>
      </c>
      <c r="BA56" s="283">
        <f t="shared" si="5"/>
        <v>1</v>
      </c>
      <c r="BB56" s="283">
        <f>AV56*'Spreadsheet Key'!$A$27+AW56*'Spreadsheet Key'!$A$28+AX56*'Spreadsheet Key'!$A$29+AY56*'Spreadsheet Key'!$A$30+AZ56*'Spreadsheet Key'!$A$31</f>
        <v>10</v>
      </c>
      <c r="BD56" s="283">
        <f>AT56-BB56</f>
        <v>8</v>
      </c>
    </row>
    <row r="57" spans="1:56">
      <c r="A57" s="2389"/>
      <c r="B57" s="2389"/>
      <c r="C57" s="779"/>
      <c r="D57" s="779"/>
      <c r="E57" s="6190" t="s">
        <v>1234</v>
      </c>
      <c r="F57" s="6190"/>
      <c r="G57" s="6190"/>
      <c r="H57" s="6190"/>
      <c r="I57" s="6190"/>
      <c r="J57" s="779"/>
      <c r="K57" s="779"/>
      <c r="L57" s="2434" t="s">
        <v>720</v>
      </c>
      <c r="M57" s="779"/>
      <c r="N57" s="779"/>
      <c r="O57" s="779"/>
      <c r="P57" s="779"/>
      <c r="Q57" s="779"/>
      <c r="R57" s="779"/>
      <c r="S57" s="779"/>
      <c r="T57" s="779"/>
      <c r="U57" s="779"/>
      <c r="V57" s="779"/>
      <c r="W57" s="2434" t="s">
        <v>720</v>
      </c>
      <c r="X57" s="779"/>
      <c r="Y57" s="779"/>
      <c r="Z57" s="779"/>
      <c r="AA57" s="779"/>
      <c r="AB57" s="779"/>
      <c r="AC57" s="779"/>
      <c r="AD57" s="779"/>
      <c r="AE57" s="4475" t="s">
        <v>482</v>
      </c>
      <c r="AF57" s="4475"/>
      <c r="AG57" s="779"/>
      <c r="AH57" s="3126"/>
      <c r="AI57" s="3202"/>
      <c r="AJ57" s="283" cm="1">
        <f t="array" ref="AJ57">SUM(COUNTIFS($C57:$AG57,{"0","4","5","6","7","8","9"}))</f>
        <v>0</v>
      </c>
      <c r="AK57" s="283" cm="1">
        <f t="array" ref="AK57">SUM(COUNTIFS($C57:$AG57,{"0","4","5","6","7","8","9"},$C$4:$AG$4,"0"))</f>
        <v>0</v>
      </c>
      <c r="AL57" s="283" cm="1">
        <f t="array" ref="AL57">SUM(COUNTIFS($C57:$AG57,{"0","4","5","6","7","8","9"},$C$4:$AG$4,"1"))</f>
        <v>0</v>
      </c>
      <c r="AM57" s="283" cm="1">
        <f t="array" ref="AM57">SUM(COUNTIFS($C57:$AG57,{"0","4","5","6","7","8","9"},$C$4:$AG$4,"2"))</f>
        <v>0</v>
      </c>
      <c r="AN57" s="283" cm="1">
        <f t="array" ref="AN57">SUM(COUNTIFS($C57:$AG57,{"0","4","5","6","7","8","9"},$C$4:$AG$4,"3"))</f>
        <v>0</v>
      </c>
      <c r="AO57" s="283" cm="1">
        <f t="array" ref="AO57">SUM(COUNTIFS($C57:$AG57,{"1","2","3"}))</f>
        <v>0</v>
      </c>
      <c r="AP57" s="283" cm="1">
        <f t="array" ref="AP57">SUM(COUNTIFS($C57:$AG57,{"4","5","6"}))</f>
        <v>0</v>
      </c>
      <c r="AQ57" s="283">
        <f>AK57*'Spreadsheet Key'!$A$23 + AL57*'Spreadsheet Key'!$A$24 + AM57*'Spreadsheet Key'!$A$25 + AN57*'Spreadsheet Key'!$A$26</f>
        <v>0</v>
      </c>
      <c r="AR57" s="283">
        <f>AJ57/('MAR Statistics'!$B$29)*ABS(AI57-1)</f>
        <v>0</v>
      </c>
      <c r="AS57">
        <f t="shared" si="0"/>
        <v>0</v>
      </c>
      <c r="AT57" s="283">
        <f>(AJ57/'MAR Statistics'!$B$6)*'Spreadsheet Key'!$A$32</f>
        <v>0</v>
      </c>
      <c r="AV57" s="283">
        <f t="shared" si="1"/>
        <v>0</v>
      </c>
      <c r="AW57" s="283">
        <f t="shared" si="2"/>
        <v>0</v>
      </c>
      <c r="AX57" s="283">
        <f t="shared" si="3"/>
        <v>0</v>
      </c>
      <c r="AY57" s="283" cm="1">
        <f t="array" ref="AY57">COUNTIFS($C57:$AG57,"9",$C$4:$AG$4,"1")+SUM(COUNTIFS($C57:$AG57,{"8","9"},$C$4:$AG$4,"2"))+COUNTIFS($C57:$AG57,"8",$C$4:$AG$4,"3")</f>
        <v>0</v>
      </c>
      <c r="AZ57" s="283">
        <f t="shared" si="4"/>
        <v>0</v>
      </c>
      <c r="BA57" s="283">
        <f t="shared" si="5"/>
        <v>0</v>
      </c>
      <c r="BB57" s="283">
        <f>AV57*'Spreadsheet Key'!$A$27+AW57*'Spreadsheet Key'!$A$28+AX57*'Spreadsheet Key'!$A$29+AY57*'Spreadsheet Key'!$A$30+AZ57*'Spreadsheet Key'!$A$31</f>
        <v>0</v>
      </c>
    </row>
    <row r="58" spans="1:56">
      <c r="A58" s="2389" t="s">
        <v>283</v>
      </c>
      <c r="B58" s="2389" t="s">
        <v>201</v>
      </c>
      <c r="C58" s="2659">
        <v>0</v>
      </c>
      <c r="D58" s="2659">
        <v>0</v>
      </c>
      <c r="E58" s="2659">
        <v>7</v>
      </c>
      <c r="F58" s="2659">
        <v>7</v>
      </c>
      <c r="G58" s="2659">
        <v>7</v>
      </c>
      <c r="H58" s="2659">
        <v>7</v>
      </c>
      <c r="I58" s="2659">
        <v>7</v>
      </c>
      <c r="J58" s="2659">
        <v>0</v>
      </c>
      <c r="K58" s="2659">
        <v>0</v>
      </c>
      <c r="L58" s="2659">
        <v>8</v>
      </c>
      <c r="M58" s="2659">
        <v>0</v>
      </c>
      <c r="N58" s="2659">
        <v>0</v>
      </c>
      <c r="O58" s="2659">
        <v>0</v>
      </c>
      <c r="P58" s="2659">
        <v>0</v>
      </c>
      <c r="Q58" s="2659">
        <v>0</v>
      </c>
      <c r="R58" s="2659">
        <v>0</v>
      </c>
      <c r="S58" s="2659">
        <v>0</v>
      </c>
      <c r="T58" s="2659">
        <v>0</v>
      </c>
      <c r="U58" s="2659">
        <v>0</v>
      </c>
      <c r="V58" s="2659">
        <v>0</v>
      </c>
      <c r="W58" s="2659">
        <v>8</v>
      </c>
      <c r="X58" s="2659">
        <v>0</v>
      </c>
      <c r="Y58" s="2659">
        <v>0</v>
      </c>
      <c r="Z58" s="2659">
        <v>0</v>
      </c>
      <c r="AA58" s="2659">
        <v>0</v>
      </c>
      <c r="AB58" s="2659">
        <v>0</v>
      </c>
      <c r="AC58" s="2659">
        <v>0</v>
      </c>
      <c r="AD58" s="2659">
        <v>0</v>
      </c>
      <c r="AE58" s="2659">
        <v>2</v>
      </c>
      <c r="AF58" s="2659">
        <v>2</v>
      </c>
      <c r="AG58" s="2659">
        <v>0</v>
      </c>
      <c r="AH58" s="3126"/>
      <c r="AI58" s="3202">
        <v>1</v>
      </c>
      <c r="AJ58" s="283" cm="1">
        <f t="array" ref="AJ58">SUM(COUNTIFS($C58:$AG58,{"0","4","5","6","7","8","9"}))</f>
        <v>29</v>
      </c>
      <c r="AK58" s="283" cm="1">
        <f t="array" ref="AK58">SUM(COUNTIFS($C58:$AG58,{"0","4","5","6","7","8","9"},$C$4:$AG$4,"0"))</f>
        <v>17</v>
      </c>
      <c r="AL58" s="283" cm="1">
        <f t="array" ref="AL58">SUM(COUNTIFS($C58:$AG58,{"0","4","5","6","7","8","9"},$C$4:$AG$4,"1"))</f>
        <v>4</v>
      </c>
      <c r="AM58" s="283" cm="1">
        <f t="array" ref="AM58">SUM(COUNTIFS($C58:$AG58,{"0","4","5","6","7","8","9"},$C$4:$AG$4,"2"))</f>
        <v>4</v>
      </c>
      <c r="AN58" s="283" cm="1">
        <f t="array" ref="AN58">SUM(COUNTIFS($C58:$AG58,{"0","4","5","6","7","8","9"},$C$4:$AG$4,"3"))</f>
        <v>4</v>
      </c>
      <c r="AO58" s="283" cm="1">
        <f t="array" ref="AO58">SUM(COUNTIFS($C58:$AG58,{"1","2","3"}))</f>
        <v>2</v>
      </c>
      <c r="AP58" s="283" cm="1">
        <f t="array" ref="AP58">SUM(COUNTIFS($C58:$AG58,{"4","5","6"}))</f>
        <v>0</v>
      </c>
      <c r="AQ58" s="283">
        <f>AK58*'Spreadsheet Key'!$A$23 + AL58*'Spreadsheet Key'!$A$24 + AM58*'Spreadsheet Key'!$A$25 + AN58*'Spreadsheet Key'!$A$26</f>
        <v>1102</v>
      </c>
      <c r="AR58" s="283">
        <f>AJ58/('MAR Statistics'!$B$29)*ABS(AI58-1)</f>
        <v>0</v>
      </c>
      <c r="AS58">
        <f t="shared" si="0"/>
        <v>26.193548387096772</v>
      </c>
      <c r="AT58" s="283">
        <f>(AJ58/'MAR Statistics'!$B$6)*'Spreadsheet Key'!$A$32</f>
        <v>26.193548387096772</v>
      </c>
      <c r="AV58" s="283">
        <f t="shared" si="1"/>
        <v>1</v>
      </c>
      <c r="AW58" s="283">
        <f t="shared" si="2"/>
        <v>0</v>
      </c>
      <c r="AX58" s="283">
        <f t="shared" si="3"/>
        <v>1</v>
      </c>
      <c r="AY58" s="283" cm="1">
        <f t="array" ref="AY58">COUNTIFS($C58:$AG58,"9",$C$4:$AG$4,"1")+SUM(COUNTIFS($C58:$AG58,{"8","9"},$C$4:$AG$4,"2"))+COUNTIFS($C58:$AG58,"8",$C$4:$AG$4,"3")</f>
        <v>0</v>
      </c>
      <c r="AZ58" s="283">
        <f t="shared" si="4"/>
        <v>0</v>
      </c>
      <c r="BA58" s="283">
        <f t="shared" si="5"/>
        <v>2</v>
      </c>
      <c r="BB58" s="283">
        <f>AV58*'Spreadsheet Key'!$A$27+AW58*'Spreadsheet Key'!$A$28+AX58*'Spreadsheet Key'!$A$29+AY58*'Spreadsheet Key'!$A$30+AZ58*'Spreadsheet Key'!$A$31</f>
        <v>28</v>
      </c>
      <c r="BD58" s="283">
        <f>AT58-BB58</f>
        <v>-1.8064516129032278</v>
      </c>
    </row>
    <row r="59" spans="1:56">
      <c r="A59" s="3584"/>
      <c r="B59" s="3584"/>
      <c r="C59" s="3140"/>
      <c r="D59" s="3140"/>
      <c r="E59" s="6254" t="s">
        <v>1234</v>
      </c>
      <c r="F59" s="6254"/>
      <c r="G59" s="6254"/>
      <c r="H59" s="6254"/>
      <c r="I59" s="6254"/>
      <c r="J59" s="3140"/>
      <c r="K59" s="3140"/>
      <c r="L59" s="3140"/>
      <c r="M59" s="3141" t="s">
        <v>1235</v>
      </c>
      <c r="N59" s="3154" t="s">
        <v>720</v>
      </c>
      <c r="O59" s="3140"/>
      <c r="P59" s="3140"/>
      <c r="Q59" s="3140"/>
      <c r="R59" s="3140"/>
      <c r="S59" s="3142" t="s">
        <v>1025</v>
      </c>
      <c r="T59" s="6252" t="s">
        <v>1233</v>
      </c>
      <c r="U59" s="6252"/>
      <c r="V59" s="6252"/>
      <c r="W59" s="3142" t="s">
        <v>1025</v>
      </c>
      <c r="X59" s="3140"/>
      <c r="Y59" s="3142" t="s">
        <v>1025</v>
      </c>
      <c r="Z59" s="6253" t="s">
        <v>1246</v>
      </c>
      <c r="AA59" s="6253"/>
      <c r="AB59" s="6253"/>
      <c r="AC59" s="3142" t="s">
        <v>1025</v>
      </c>
      <c r="AD59" s="3140"/>
      <c r="AE59" s="3140"/>
      <c r="AF59" s="3142" t="s">
        <v>1025</v>
      </c>
      <c r="AG59" s="3158" t="s">
        <v>8</v>
      </c>
      <c r="AH59" s="3126"/>
      <c r="AI59" s="3202"/>
      <c r="AJ59" s="283" cm="1">
        <f t="array" ref="AJ59">SUM(COUNTIFS($C59:$AG59,{"0","4","5","6","7","8","9"}))</f>
        <v>0</v>
      </c>
      <c r="AK59" s="283" cm="1">
        <f t="array" ref="AK59">SUM(COUNTIFS($C59:$AG59,{"0","4","5","6","7","8","9"},$C$4:$AG$4,"0"))</f>
        <v>0</v>
      </c>
      <c r="AL59" s="283" cm="1">
        <f t="array" ref="AL59">SUM(COUNTIFS($C59:$AG59,{"0","4","5","6","7","8","9"},$C$4:$AG$4,"1"))</f>
        <v>0</v>
      </c>
      <c r="AM59" s="283" cm="1">
        <f t="array" ref="AM59">SUM(COUNTIFS($C59:$AG59,{"0","4","5","6","7","8","9"},$C$4:$AG$4,"2"))</f>
        <v>0</v>
      </c>
      <c r="AN59" s="283" cm="1">
        <f t="array" ref="AN59">SUM(COUNTIFS($C59:$AG59,{"0","4","5","6","7","8","9"},$C$4:$AG$4,"3"))</f>
        <v>0</v>
      </c>
      <c r="AO59" s="283" cm="1">
        <f t="array" ref="AO59">SUM(COUNTIFS($C59:$AG59,{"1","2","3"}))</f>
        <v>0</v>
      </c>
      <c r="AP59" s="283" cm="1">
        <f t="array" ref="AP59">SUM(COUNTIFS($C59:$AG59,{"4","5","6"}))</f>
        <v>0</v>
      </c>
      <c r="AQ59" s="283">
        <f>AK59*'Spreadsheet Key'!$A$23 + AL59*'Spreadsheet Key'!$A$24 + AM59*'Spreadsheet Key'!$A$25 + AN59*'Spreadsheet Key'!$A$26</f>
        <v>0</v>
      </c>
      <c r="AR59" s="283">
        <f>AJ59/('MAR Statistics'!$B$29)*ABS(AI59-1)</f>
        <v>0</v>
      </c>
      <c r="AS59">
        <f t="shared" si="0"/>
        <v>0</v>
      </c>
      <c r="AT59" s="283">
        <f>(AJ59/'MAR Statistics'!$B$6)*'Spreadsheet Key'!$A$32</f>
        <v>0</v>
      </c>
      <c r="AV59" s="283">
        <f t="shared" si="1"/>
        <v>0</v>
      </c>
      <c r="AW59" s="283">
        <f t="shared" si="2"/>
        <v>0</v>
      </c>
      <c r="AX59" s="283">
        <f t="shared" si="3"/>
        <v>0</v>
      </c>
      <c r="AY59" s="283" cm="1">
        <f t="array" ref="AY59">COUNTIFS($C59:$AG59,"9",$C$4:$AG$4,"1")+SUM(COUNTIFS($C59:$AG59,{"8","9"},$C$4:$AG$4,"2"))+COUNTIFS($C59:$AG59,"8",$C$4:$AG$4,"3")</f>
        <v>0</v>
      </c>
      <c r="AZ59" s="283">
        <f t="shared" si="4"/>
        <v>0</v>
      </c>
      <c r="BA59" s="283">
        <f t="shared" si="5"/>
        <v>0</v>
      </c>
      <c r="BB59" s="283">
        <f>AV59*'Spreadsheet Key'!$A$27+AW59*'Spreadsheet Key'!$A$28+AX59*'Spreadsheet Key'!$A$29+AY59*'Spreadsheet Key'!$A$30+AZ59*'Spreadsheet Key'!$A$31</f>
        <v>0</v>
      </c>
    </row>
    <row r="60" spans="1:56" s="3139" customFormat="1">
      <c r="A60" s="3584" t="s">
        <v>283</v>
      </c>
      <c r="B60" s="3584" t="s">
        <v>1036</v>
      </c>
      <c r="C60" s="2659">
        <v>0</v>
      </c>
      <c r="D60" s="2659">
        <v>0</v>
      </c>
      <c r="E60" s="2659">
        <v>7</v>
      </c>
      <c r="F60" s="2659">
        <v>7</v>
      </c>
      <c r="G60" s="2659">
        <v>7</v>
      </c>
      <c r="H60" s="2659">
        <v>7</v>
      </c>
      <c r="I60" s="2659">
        <v>7</v>
      </c>
      <c r="J60" s="2659">
        <v>0</v>
      </c>
      <c r="K60" s="2659">
        <v>0</v>
      </c>
      <c r="L60" s="2659">
        <v>0</v>
      </c>
      <c r="M60" s="2659">
        <v>7</v>
      </c>
      <c r="N60" s="2659">
        <v>8</v>
      </c>
      <c r="O60" s="2659">
        <v>0</v>
      </c>
      <c r="P60" s="2659">
        <v>0</v>
      </c>
      <c r="Q60" s="2659">
        <v>0</v>
      </c>
      <c r="R60" s="2659">
        <v>0</v>
      </c>
      <c r="S60" s="2659">
        <v>1</v>
      </c>
      <c r="T60" s="2659">
        <v>2</v>
      </c>
      <c r="U60" s="2659">
        <v>2</v>
      </c>
      <c r="V60" s="2659">
        <v>2</v>
      </c>
      <c r="W60" s="2659">
        <v>3</v>
      </c>
      <c r="X60" s="2659">
        <v>0</v>
      </c>
      <c r="Y60" s="2659">
        <v>1</v>
      </c>
      <c r="Z60" s="2659">
        <v>2</v>
      </c>
      <c r="AA60" s="2659">
        <v>2</v>
      </c>
      <c r="AB60" s="2659">
        <v>2</v>
      </c>
      <c r="AC60" s="2659">
        <v>3</v>
      </c>
      <c r="AD60" s="2659">
        <v>0</v>
      </c>
      <c r="AE60" s="2659">
        <v>0</v>
      </c>
      <c r="AF60" s="2659">
        <v>1</v>
      </c>
      <c r="AG60" s="2659">
        <v>2</v>
      </c>
      <c r="AH60" s="3126"/>
      <c r="AI60" s="3202">
        <v>1</v>
      </c>
      <c r="AJ60" s="283" cm="1">
        <f t="array" ref="AJ60">SUM(COUNTIFS($C60:$AG60,{"0","4","5","6","7","8","9"}))</f>
        <v>19</v>
      </c>
      <c r="AK60" s="283" cm="1">
        <f t="array" ref="AK60">SUM(COUNTIFS($C60:$AG60,{"0","4","5","6","7","8","9"},$C$4:$AG$4,"0"))</f>
        <v>8</v>
      </c>
      <c r="AL60" s="283" cm="1">
        <f t="array" ref="AL60">SUM(COUNTIFS($C60:$AG60,{"0","4","5","6","7","8","9"},$C$4:$AG$4,"1"))</f>
        <v>3</v>
      </c>
      <c r="AM60" s="283" cm="1">
        <f t="array" ref="AM60">SUM(COUNTIFS($C60:$AG60,{"0","4","5","6","7","8","9"},$C$4:$AG$4,"2"))</f>
        <v>5</v>
      </c>
      <c r="AN60" s="283" cm="1">
        <f t="array" ref="AN60">SUM(COUNTIFS($C60:$AG60,{"0","4","5","6","7","8","9"},$C$4:$AG$4,"3"))</f>
        <v>3</v>
      </c>
      <c r="AO60" s="283" cm="1">
        <f t="array" ref="AO60">SUM(COUNTIFS($C60:$AG60,{"1","2","3"}))</f>
        <v>12</v>
      </c>
      <c r="AP60" s="283" cm="1">
        <f t="array" ref="AP60">SUM(COUNTIFS($C60:$AG60,{"4","5","6"}))</f>
        <v>0</v>
      </c>
      <c r="AQ60" s="283">
        <f>AK60*'Spreadsheet Key'!$A$23 + AL60*'Spreadsheet Key'!$A$24 + AM60*'Spreadsheet Key'!$A$25 + AN60*'Spreadsheet Key'!$A$26</f>
        <v>866</v>
      </c>
      <c r="AR60" s="283">
        <f>AJ60/('MAR Statistics'!$B$29)*ABS(AI60-1)</f>
        <v>0</v>
      </c>
      <c r="AS60">
        <f t="shared" si="0"/>
        <v>17.161290322580644</v>
      </c>
      <c r="AT60" s="283">
        <f>(AJ60/'MAR Statistics'!$B$6)*'Spreadsheet Key'!$A$32</f>
        <v>17.161290322580644</v>
      </c>
      <c r="AU60" s="283"/>
      <c r="AV60" s="283">
        <f t="shared" si="1"/>
        <v>1</v>
      </c>
      <c r="AW60" s="283">
        <f t="shared" si="2"/>
        <v>0</v>
      </c>
      <c r="AX60" s="283">
        <f t="shared" si="3"/>
        <v>0</v>
      </c>
      <c r="AY60" s="283" cm="1">
        <f t="array" ref="AY60">COUNTIFS($C60:$AG60,"9",$C$4:$AG$4,"1")+SUM(COUNTIFS($C60:$AG60,{"8","9"},$C$4:$AG$4,"2"))+COUNTIFS($C60:$AG60,"8",$C$4:$AG$4,"3")</f>
        <v>0</v>
      </c>
      <c r="AZ60" s="283">
        <f t="shared" si="4"/>
        <v>0</v>
      </c>
      <c r="BA60" s="283">
        <f t="shared" si="5"/>
        <v>1</v>
      </c>
      <c r="BB60" s="283">
        <f>AV60*'Spreadsheet Key'!$A$27+AW60*'Spreadsheet Key'!$A$28+AX60*'Spreadsheet Key'!$A$29+AY60*'Spreadsheet Key'!$A$30+AZ60*'Spreadsheet Key'!$A$31</f>
        <v>10</v>
      </c>
      <c r="BC60" s="283"/>
      <c r="BD60" s="283">
        <f>AT60-BB60</f>
        <v>7.1612903225806441</v>
      </c>
    </row>
    <row r="61" spans="1:56" s="3139" customFormat="1" ht="15.75">
      <c r="A61" s="56"/>
      <c r="B61" s="56"/>
      <c r="C61" s="3678" t="s">
        <v>1025</v>
      </c>
      <c r="D61" s="779"/>
      <c r="E61" s="6190" t="s">
        <v>1234</v>
      </c>
      <c r="F61" s="6190"/>
      <c r="G61" s="6190"/>
      <c r="H61" s="6190"/>
      <c r="I61" s="6190"/>
      <c r="J61" s="779"/>
      <c r="K61" s="779"/>
      <c r="L61" s="3010" t="s">
        <v>1025</v>
      </c>
      <c r="M61" s="4850" t="s">
        <v>1243</v>
      </c>
      <c r="N61" s="4850"/>
      <c r="O61" s="3010" t="s">
        <v>1025</v>
      </c>
      <c r="P61" s="2"/>
      <c r="Q61" s="779"/>
      <c r="R61" s="779"/>
      <c r="S61" s="2434" t="s">
        <v>720</v>
      </c>
      <c r="T61" s="779"/>
      <c r="U61" s="779"/>
      <c r="V61" s="779"/>
      <c r="W61" s="779"/>
      <c r="X61" s="779"/>
      <c r="Y61" s="779"/>
      <c r="Z61" s="779"/>
      <c r="AA61" s="779"/>
      <c r="AB61" s="2434" t="s">
        <v>720</v>
      </c>
      <c r="AC61" s="779"/>
      <c r="AD61" s="779"/>
      <c r="AE61" s="779"/>
      <c r="AF61" s="779"/>
      <c r="AG61" s="3010" t="s">
        <v>1025</v>
      </c>
      <c r="AH61" s="3126"/>
      <c r="AI61" s="3202"/>
      <c r="AJ61" s="283" cm="1">
        <f t="array" ref="AJ61">SUM(COUNTIFS($C61:$AG61,{"0","4","5","6","7","8","9"}))</f>
        <v>0</v>
      </c>
      <c r="AK61" s="283" cm="1">
        <f t="array" ref="AK61">SUM(COUNTIFS($C61:$AG61,{"0","4","5","6","7","8","9"},$C$4:$AG$4,"0"))</f>
        <v>0</v>
      </c>
      <c r="AL61" s="283" cm="1">
        <f t="array" ref="AL61">SUM(COUNTIFS($C61:$AG61,{"0","4","5","6","7","8","9"},$C$4:$AG$4,"1"))</f>
        <v>0</v>
      </c>
      <c r="AM61" s="283" cm="1">
        <f t="array" ref="AM61">SUM(COUNTIFS($C61:$AG61,{"0","4","5","6","7","8","9"},$C$4:$AG$4,"2"))</f>
        <v>0</v>
      </c>
      <c r="AN61" s="283" cm="1">
        <f t="array" ref="AN61">SUM(COUNTIFS($C61:$AG61,{"0","4","5","6","7","8","9"},$C$4:$AG$4,"3"))</f>
        <v>0</v>
      </c>
      <c r="AO61" s="283" cm="1">
        <f t="array" ref="AO61">SUM(COUNTIFS($C61:$AG61,{"1","2","3"}))</f>
        <v>0</v>
      </c>
      <c r="AP61" s="283" cm="1">
        <f t="array" ref="AP61">SUM(COUNTIFS($C61:$AG61,{"4","5","6"}))</f>
        <v>0</v>
      </c>
      <c r="AQ61" s="283">
        <f>AK61*'Spreadsheet Key'!$A$23 + AL61*'Spreadsheet Key'!$A$24 + AM61*'Spreadsheet Key'!$A$25 + AN61*'Spreadsheet Key'!$A$26</f>
        <v>0</v>
      </c>
      <c r="AR61" s="283">
        <f>AJ61/('MAR Statistics'!$B$29)*ABS(AI61-1)</f>
        <v>0</v>
      </c>
      <c r="AS61">
        <f t="shared" si="0"/>
        <v>0</v>
      </c>
      <c r="AT61" s="283">
        <f>(AJ61/'MAR Statistics'!$B$6)*'Spreadsheet Key'!$A$32</f>
        <v>0</v>
      </c>
      <c r="AU61" s="283"/>
      <c r="AV61" s="283">
        <f t="shared" si="1"/>
        <v>0</v>
      </c>
      <c r="AW61" s="283">
        <f t="shared" si="2"/>
        <v>0</v>
      </c>
      <c r="AX61" s="283">
        <f t="shared" si="3"/>
        <v>0</v>
      </c>
      <c r="AY61" s="283" cm="1">
        <f t="array" ref="AY61">COUNTIFS($C61:$AG61,"9",$C$4:$AG$4,"1")+SUM(COUNTIFS($C61:$AG61,{"8","9"},$C$4:$AG$4,"2"))+COUNTIFS($C61:$AG61,"8",$C$4:$AG$4,"3")</f>
        <v>0</v>
      </c>
      <c r="AZ61" s="283">
        <f t="shared" si="4"/>
        <v>0</v>
      </c>
      <c r="BA61" s="283">
        <f t="shared" si="5"/>
        <v>0</v>
      </c>
      <c r="BB61" s="283">
        <f>AV61*'Spreadsheet Key'!$A$27+AW61*'Spreadsheet Key'!$A$28+AX61*'Spreadsheet Key'!$A$29+AY61*'Spreadsheet Key'!$A$30+AZ61*'Spreadsheet Key'!$A$31</f>
        <v>0</v>
      </c>
      <c r="BC61" s="283"/>
      <c r="BD61" s="283"/>
    </row>
    <row r="62" spans="1:56" s="3139" customFormat="1">
      <c r="A62" s="56" t="s">
        <v>283</v>
      </c>
      <c r="B62" s="56" t="s">
        <v>1005</v>
      </c>
      <c r="C62" s="2659">
        <v>3</v>
      </c>
      <c r="D62" s="2659">
        <v>0</v>
      </c>
      <c r="E62" s="2659">
        <v>7</v>
      </c>
      <c r="F62" s="2659">
        <v>7</v>
      </c>
      <c r="G62" s="2659">
        <v>7</v>
      </c>
      <c r="H62" s="2659">
        <v>7</v>
      </c>
      <c r="I62" s="2659">
        <v>7</v>
      </c>
      <c r="J62" s="2659">
        <v>0</v>
      </c>
      <c r="K62" s="2659">
        <v>0</v>
      </c>
      <c r="L62" s="2659">
        <v>1</v>
      </c>
      <c r="M62" s="2659">
        <v>2</v>
      </c>
      <c r="N62" s="2659">
        <v>2</v>
      </c>
      <c r="O62" s="2659">
        <v>3</v>
      </c>
      <c r="P62" s="2659">
        <v>0</v>
      </c>
      <c r="Q62" s="2659">
        <v>0</v>
      </c>
      <c r="R62" s="2659">
        <v>0</v>
      </c>
      <c r="S62" s="2659">
        <v>8</v>
      </c>
      <c r="T62" s="2659">
        <v>0</v>
      </c>
      <c r="U62" s="2659">
        <v>0</v>
      </c>
      <c r="V62" s="2659">
        <v>0</v>
      </c>
      <c r="W62" s="2659">
        <v>0</v>
      </c>
      <c r="X62" s="2659">
        <v>0</v>
      </c>
      <c r="Y62" s="2659">
        <v>0</v>
      </c>
      <c r="Z62" s="2659">
        <v>0</v>
      </c>
      <c r="AA62" s="2659">
        <v>0</v>
      </c>
      <c r="AB62" s="2659">
        <v>8</v>
      </c>
      <c r="AC62" s="2659">
        <v>0</v>
      </c>
      <c r="AD62" s="2659">
        <v>0</v>
      </c>
      <c r="AE62" s="2659">
        <v>0</v>
      </c>
      <c r="AF62" s="2659">
        <v>0</v>
      </c>
      <c r="AG62" s="2659">
        <v>1</v>
      </c>
      <c r="AH62" s="3126"/>
      <c r="AI62" s="3202">
        <v>1</v>
      </c>
      <c r="AJ62" s="283" cm="1">
        <f t="array" ref="AJ62">SUM(COUNTIFS($C62:$AG62,{"0","4","5","6","7","8","9"}))</f>
        <v>25</v>
      </c>
      <c r="AK62" s="283" cm="1">
        <f t="array" ref="AK62">SUM(COUNTIFS($C62:$AG62,{"0","4","5","6","7","8","9"},$C$4:$AG$4,"0"))</f>
        <v>12</v>
      </c>
      <c r="AL62" s="283" cm="1">
        <f t="array" ref="AL62">SUM(COUNTIFS($C62:$AG62,{"0","4","5","6","7","8","9"},$C$4:$AG$4,"1"))</f>
        <v>4</v>
      </c>
      <c r="AM62" s="283" cm="1">
        <f t="array" ref="AM62">SUM(COUNTIFS($C62:$AG62,{"0","4","5","6","7","8","9"},$C$4:$AG$4,"2"))</f>
        <v>4</v>
      </c>
      <c r="AN62" s="283" cm="1">
        <f t="array" ref="AN62">SUM(COUNTIFS($C62:$AG62,{"0","4","5","6","7","8","9"},$C$4:$AG$4,"3"))</f>
        <v>5</v>
      </c>
      <c r="AO62" s="283" cm="1">
        <f t="array" ref="AO62">SUM(COUNTIFS($C62:$AG62,{"1","2","3"}))</f>
        <v>6</v>
      </c>
      <c r="AP62" s="283" cm="1">
        <f t="array" ref="AP62">SUM(COUNTIFS($C62:$AG62,{"4","5","6"}))</f>
        <v>0</v>
      </c>
      <c r="AQ62" s="283">
        <f>AK62*'Spreadsheet Key'!$A$23 + AL62*'Spreadsheet Key'!$A$24 + AM62*'Spreadsheet Key'!$A$25 + AN62*'Spreadsheet Key'!$A$26</f>
        <v>1048</v>
      </c>
      <c r="AR62" s="283">
        <f>AJ62/('MAR Statistics'!$B$29)*ABS(AI62-1)</f>
        <v>0</v>
      </c>
      <c r="AS62">
        <f t="shared" si="0"/>
        <v>22.58064516129032</v>
      </c>
      <c r="AT62" s="283">
        <f>(AJ62/'MAR Statistics'!$B$6)*'Spreadsheet Key'!$A$32</f>
        <v>22.58064516129032</v>
      </c>
      <c r="AU62" s="283"/>
      <c r="AV62" s="283">
        <f t="shared" si="1"/>
        <v>2</v>
      </c>
      <c r="AW62" s="283">
        <f t="shared" si="2"/>
        <v>0</v>
      </c>
      <c r="AX62" s="283">
        <f t="shared" si="3"/>
        <v>0</v>
      </c>
      <c r="AY62" s="283" cm="1">
        <f t="array" ref="AY62">COUNTIFS($C62:$AG62,"9",$C$4:$AG$4,"1")+SUM(COUNTIFS($C62:$AG62,{"8","9"},$C$4:$AG$4,"2"))+COUNTIFS($C62:$AG62,"8",$C$4:$AG$4,"3")</f>
        <v>0</v>
      </c>
      <c r="AZ62" s="283">
        <f t="shared" si="4"/>
        <v>0</v>
      </c>
      <c r="BA62" s="283">
        <f t="shared" si="5"/>
        <v>2</v>
      </c>
      <c r="BB62" s="283">
        <f>AV62*'Spreadsheet Key'!$A$27+AW62*'Spreadsheet Key'!$A$28+AX62*'Spreadsheet Key'!$A$29+AY62*'Spreadsheet Key'!$A$30+AZ62*'Spreadsheet Key'!$A$31</f>
        <v>20</v>
      </c>
      <c r="BC62" s="283"/>
      <c r="BD62" s="283">
        <f>AT62-BB62</f>
        <v>2.5806451612903203</v>
      </c>
    </row>
    <row r="63" spans="1:56">
      <c r="AI63" s="3202"/>
      <c r="AR63" s="283">
        <f>SUM(AR6:AR62)</f>
        <v>1.0000000000000002</v>
      </c>
      <c r="AS63" s="283">
        <f>SUM(AS6:AS62)</f>
        <v>111.93548387096773</v>
      </c>
      <c r="AT63" s="283">
        <f>SUM(AT6:AT62)</f>
        <v>1230.0004838709676</v>
      </c>
      <c r="AV63" s="283">
        <f t="shared" ref="AV63:BD63" si="29">SUM(AV6:AV62)</f>
        <v>17</v>
      </c>
      <c r="AW63" s="283">
        <f t="shared" si="29"/>
        <v>17</v>
      </c>
      <c r="AX63" s="283">
        <f t="shared" si="29"/>
        <v>4</v>
      </c>
      <c r="AY63" s="283">
        <f t="shared" si="29"/>
        <v>19</v>
      </c>
      <c r="AZ63" s="283">
        <f t="shared" si="29"/>
        <v>5</v>
      </c>
      <c r="BA63" s="283">
        <f t="shared" si="29"/>
        <v>62</v>
      </c>
      <c r="BB63" s="283">
        <f t="shared" si="29"/>
        <v>1230</v>
      </c>
      <c r="BD63" s="283">
        <f t="shared" si="29"/>
        <v>4.8387096781254968E-4</v>
      </c>
    </row>
    <row r="64" spans="1:56">
      <c r="AI64" s="3202"/>
      <c r="BD64" s="283">
        <f>STDEV(BD6:BD54)</f>
        <v>13.574411623768667</v>
      </c>
    </row>
    <row r="65" spans="1:46">
      <c r="A65" t="s">
        <v>1151</v>
      </c>
      <c r="C65">
        <f>COUNTIF(C5:AG62,"D")</f>
        <v>31</v>
      </c>
      <c r="AI65" s="3202"/>
      <c r="AT65" s="283" t="s">
        <v>1222</v>
      </c>
    </row>
    <row r="66" spans="1:46">
      <c r="A66" t="s">
        <v>1152</v>
      </c>
      <c r="C66">
        <f>COUNTIF(C5:AG62,"8")</f>
        <v>31</v>
      </c>
      <c r="AI66" s="3202"/>
    </row>
    <row r="67" spans="1:46">
      <c r="A67" t="s">
        <v>1153</v>
      </c>
      <c r="C67">
        <f>COUNTIF(C5:AG62,"N")</f>
        <v>31</v>
      </c>
    </row>
    <row r="68" spans="1:46">
      <c r="A68" t="s">
        <v>1154</v>
      </c>
      <c r="C68">
        <f>COUNTIF(C5:AG62,"9")</f>
        <v>31</v>
      </c>
    </row>
  </sheetData>
  <mergeCells count="48">
    <mergeCell ref="E61:I61"/>
    <mergeCell ref="M61:N61"/>
    <mergeCell ref="Y51:AB51"/>
    <mergeCell ref="S53:W53"/>
    <mergeCell ref="E55:I55"/>
    <mergeCell ref="E57:I57"/>
    <mergeCell ref="AE57:AF57"/>
    <mergeCell ref="E59:I59"/>
    <mergeCell ref="T59:V59"/>
    <mergeCell ref="Z59:AB59"/>
    <mergeCell ref="E39:I39"/>
    <mergeCell ref="T39:V39"/>
    <mergeCell ref="T41:V41"/>
    <mergeCell ref="AE41:AF41"/>
    <mergeCell ref="S47:W47"/>
    <mergeCell ref="E49:I49"/>
    <mergeCell ref="M49:N49"/>
    <mergeCell ref="T49:V49"/>
    <mergeCell ref="E35:I35"/>
    <mergeCell ref="W35:AG35"/>
    <mergeCell ref="E37:I37"/>
    <mergeCell ref="T37:V37"/>
    <mergeCell ref="Z37:AD37"/>
    <mergeCell ref="AE37:AG37"/>
    <mergeCell ref="G33:Z33"/>
    <mergeCell ref="E9:I9"/>
    <mergeCell ref="AE9:AF9"/>
    <mergeCell ref="E11:I11"/>
    <mergeCell ref="S11:U11"/>
    <mergeCell ref="E13:I13"/>
    <mergeCell ref="M13:N13"/>
    <mergeCell ref="AE13:AF13"/>
    <mergeCell ref="E15:I15"/>
    <mergeCell ref="C27:F27"/>
    <mergeCell ref="AE29:AF29"/>
    <mergeCell ref="A4:B4"/>
    <mergeCell ref="E5:I5"/>
    <mergeCell ref="Z5:AD5"/>
    <mergeCell ref="E7:I7"/>
    <mergeCell ref="O7:R7"/>
    <mergeCell ref="Z7:AD7"/>
    <mergeCell ref="A1:B1"/>
    <mergeCell ref="C1:AG1"/>
    <mergeCell ref="AJ1:BH1"/>
    <mergeCell ref="A2:B2"/>
    <mergeCell ref="A3:B3"/>
    <mergeCell ref="AJ3:AT3"/>
    <mergeCell ref="AV3:BB3"/>
  </mergeCells>
  <conditionalFormatting sqref="BD1:BD62 BD64:B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fitToHeight="0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5BC98-A5C6-4451-8F44-C79430952E0A}">
  <dimension ref="A1:AG46"/>
  <sheetViews>
    <sheetView topLeftCell="A34" workbookViewId="0">
      <selection activeCell="R44" sqref="R44"/>
    </sheetView>
  </sheetViews>
  <sheetFormatPr defaultRowHeight="15"/>
  <cols>
    <col min="2" max="2" width="13.5703125" bestFit="1" customWidth="1"/>
  </cols>
  <sheetData>
    <row r="1" spans="1:33">
      <c r="A1" s="6205"/>
      <c r="B1" s="6205"/>
      <c r="C1" s="6147" t="s">
        <v>1229</v>
      </c>
      <c r="D1" s="6147"/>
      <c r="E1" s="6147"/>
      <c r="F1" s="6147"/>
      <c r="G1" s="6147"/>
      <c r="H1" s="6147"/>
      <c r="I1" s="6147"/>
      <c r="J1" s="6147"/>
      <c r="K1" s="6147"/>
      <c r="L1" s="6147"/>
      <c r="M1" s="6147"/>
      <c r="N1" s="6147"/>
      <c r="O1" s="6147"/>
      <c r="P1" s="6147"/>
      <c r="Q1" s="6147"/>
      <c r="R1" s="6147"/>
      <c r="S1" s="6147"/>
      <c r="T1" s="6147"/>
      <c r="U1" s="6147"/>
      <c r="V1" s="6147"/>
      <c r="W1" s="6147"/>
      <c r="X1" s="6147"/>
      <c r="Y1" s="6147"/>
      <c r="Z1" s="6147"/>
      <c r="AA1" s="6147"/>
      <c r="AB1" s="6147"/>
      <c r="AC1" s="6147"/>
      <c r="AD1" s="6147"/>
      <c r="AE1" s="6147"/>
      <c r="AF1" s="6147"/>
      <c r="AG1" s="6148"/>
    </row>
    <row r="2" spans="1:33">
      <c r="A2" s="4304"/>
      <c r="B2" s="4304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3588">
        <v>28</v>
      </c>
      <c r="AE2" s="3588">
        <v>29</v>
      </c>
      <c r="AF2" s="3588">
        <v>30</v>
      </c>
      <c r="AG2" s="2867">
        <v>31</v>
      </c>
    </row>
    <row r="3" spans="1:33">
      <c r="A3" s="4304"/>
      <c r="B3" s="4304"/>
      <c r="C3" s="1267" t="s">
        <v>36</v>
      </c>
      <c r="D3" s="1267" t="s">
        <v>36</v>
      </c>
      <c r="E3" s="3588" t="s">
        <v>37</v>
      </c>
      <c r="F3" s="2942" t="s">
        <v>33</v>
      </c>
      <c r="G3" s="2942" t="s">
        <v>34</v>
      </c>
      <c r="H3" s="3588" t="s">
        <v>33</v>
      </c>
      <c r="I3" s="3588" t="s">
        <v>35</v>
      </c>
      <c r="J3" s="1267" t="s">
        <v>36</v>
      </c>
      <c r="K3" s="1267" t="s">
        <v>36</v>
      </c>
      <c r="L3" s="3588" t="s">
        <v>37</v>
      </c>
      <c r="M3" s="2942" t="s">
        <v>33</v>
      </c>
      <c r="N3" s="2942" t="s">
        <v>34</v>
      </c>
      <c r="O3" s="3588" t="s">
        <v>33</v>
      </c>
      <c r="P3" s="2948" t="s">
        <v>35</v>
      </c>
      <c r="Q3" s="2946" t="s">
        <v>36</v>
      </c>
      <c r="R3" s="2946" t="s">
        <v>36</v>
      </c>
      <c r="S3" s="2948" t="s">
        <v>37</v>
      </c>
      <c r="T3" s="2942" t="s">
        <v>33</v>
      </c>
      <c r="U3" s="2942" t="s">
        <v>34</v>
      </c>
      <c r="V3" s="3588" t="s">
        <v>33</v>
      </c>
      <c r="W3" s="3588" t="s">
        <v>35</v>
      </c>
      <c r="X3" s="1267" t="s">
        <v>36</v>
      </c>
      <c r="Y3" s="1267" t="s">
        <v>36</v>
      </c>
      <c r="Z3" s="3588" t="s">
        <v>37</v>
      </c>
      <c r="AA3" s="2942" t="s">
        <v>33</v>
      </c>
      <c r="AB3" s="2942" t="s">
        <v>34</v>
      </c>
      <c r="AC3" s="3588" t="s">
        <v>33</v>
      </c>
      <c r="AD3" s="3588" t="s">
        <v>35</v>
      </c>
      <c r="AE3" s="1267" t="s">
        <v>36</v>
      </c>
      <c r="AF3" s="1267" t="s">
        <v>36</v>
      </c>
      <c r="AG3" s="2867" t="s">
        <v>37</v>
      </c>
    </row>
    <row r="4" spans="1:33" s="3118" customFormat="1">
      <c r="A4" s="6264" t="s">
        <v>1117</v>
      </c>
      <c r="B4" s="6265"/>
      <c r="C4" s="6266"/>
      <c r="D4" s="3114"/>
      <c r="E4" s="3114"/>
      <c r="F4" s="3114"/>
      <c r="G4" s="3114"/>
      <c r="H4" s="3114"/>
      <c r="I4" s="3114"/>
      <c r="J4" s="3114"/>
      <c r="K4" s="3114"/>
      <c r="L4" s="3114"/>
      <c r="M4" s="3114"/>
      <c r="N4" s="3114"/>
      <c r="O4" s="3114"/>
      <c r="P4" s="3115"/>
      <c r="Q4" s="3115"/>
      <c r="R4" s="3115"/>
      <c r="S4" s="3115"/>
      <c r="T4" s="3114"/>
      <c r="U4" s="3114"/>
      <c r="V4" s="3114"/>
      <c r="W4" s="3114"/>
      <c r="X4" s="3114"/>
      <c r="Y4" s="3114"/>
      <c r="Z4" s="3114"/>
      <c r="AA4" s="3114"/>
      <c r="AB4" s="3114"/>
      <c r="AC4" s="3114"/>
      <c r="AD4" s="3114"/>
      <c r="AE4" s="3113"/>
      <c r="AF4" s="3116"/>
      <c r="AG4" s="3117"/>
    </row>
    <row r="5" spans="1:33">
      <c r="A5" s="1225" t="s">
        <v>561</v>
      </c>
      <c r="B5" s="1226" t="s">
        <v>718</v>
      </c>
      <c r="C5" s="2013"/>
      <c r="D5" s="961"/>
      <c r="E5" s="961"/>
      <c r="F5" s="961"/>
      <c r="G5" s="961"/>
      <c r="H5" s="961"/>
      <c r="I5" s="961"/>
      <c r="J5" s="961"/>
      <c r="K5" s="961"/>
      <c r="L5" s="961"/>
      <c r="M5" s="425"/>
      <c r="N5" s="425"/>
      <c r="O5" s="961"/>
      <c r="P5" s="961"/>
      <c r="Q5" s="961"/>
      <c r="R5" s="961"/>
      <c r="S5" s="425"/>
      <c r="T5" s="425"/>
      <c r="U5" s="961"/>
      <c r="V5" s="961"/>
      <c r="W5" s="961"/>
      <c r="X5" s="961"/>
      <c r="Y5" s="3019" t="s">
        <v>1025</v>
      </c>
      <c r="Z5" s="6224" t="s">
        <v>1237</v>
      </c>
      <c r="AA5" s="6224"/>
      <c r="AB5" s="6224"/>
      <c r="AC5" s="6224"/>
      <c r="AD5" s="6224"/>
      <c r="AE5" s="3105" t="s">
        <v>1025</v>
      </c>
      <c r="AF5" s="780"/>
      <c r="AG5" s="780"/>
    </row>
    <row r="6" spans="1:33">
      <c r="A6" s="64" t="s">
        <v>326</v>
      </c>
      <c r="B6" s="63" t="s">
        <v>327</v>
      </c>
      <c r="C6" s="822"/>
      <c r="D6" s="779"/>
      <c r="E6" s="6190" t="s">
        <v>1234</v>
      </c>
      <c r="F6" s="6190"/>
      <c r="G6" s="6190"/>
      <c r="H6" s="6190"/>
      <c r="I6" s="6190"/>
      <c r="J6" s="779"/>
      <c r="K6" s="779"/>
      <c r="L6" s="779"/>
      <c r="M6" s="779"/>
      <c r="N6" s="779"/>
      <c r="O6" s="4463" t="s">
        <v>1238</v>
      </c>
      <c r="P6" s="4413"/>
      <c r="Q6" s="4413"/>
      <c r="R6" s="4414"/>
      <c r="S6" s="779"/>
      <c r="T6" s="779"/>
      <c r="U6" s="779"/>
      <c r="V6" s="779"/>
      <c r="W6" s="779"/>
      <c r="X6" s="779"/>
      <c r="Y6" s="3010" t="s">
        <v>1025</v>
      </c>
      <c r="Z6" s="6190" t="s">
        <v>1237</v>
      </c>
      <c r="AA6" s="6190"/>
      <c r="AB6" s="6190"/>
      <c r="AC6" s="6190"/>
      <c r="AD6" s="6190"/>
      <c r="AE6" s="3010" t="s">
        <v>1025</v>
      </c>
      <c r="AF6" s="779"/>
      <c r="AG6" s="804"/>
    </row>
    <row r="7" spans="1:33">
      <c r="A7" s="64" t="s">
        <v>606</v>
      </c>
      <c r="B7" s="63" t="s">
        <v>98</v>
      </c>
      <c r="C7" s="822"/>
      <c r="D7" s="779"/>
      <c r="E7" s="6190" t="s">
        <v>1234</v>
      </c>
      <c r="F7" s="6190"/>
      <c r="G7" s="6190"/>
      <c r="H7" s="6190"/>
      <c r="I7" s="6190"/>
      <c r="J7" s="779"/>
      <c r="K7" s="779"/>
      <c r="L7" s="779"/>
      <c r="M7" s="779"/>
      <c r="N7" s="779"/>
      <c r="O7" s="779"/>
      <c r="P7" s="779"/>
      <c r="Q7" s="779"/>
      <c r="R7" s="779"/>
      <c r="S7" s="779"/>
      <c r="T7" s="779"/>
      <c r="U7" s="779"/>
      <c r="V7" s="779"/>
      <c r="W7" s="779"/>
      <c r="X7" s="779"/>
      <c r="Y7" s="779"/>
      <c r="Z7" s="779"/>
      <c r="AA7" s="779"/>
      <c r="AB7" s="779"/>
      <c r="AC7" s="779"/>
      <c r="AD7" s="3021" t="s">
        <v>1025</v>
      </c>
      <c r="AE7" s="6238" t="s">
        <v>1231</v>
      </c>
      <c r="AF7" s="6239"/>
      <c r="AG7" s="3021" t="s">
        <v>1025</v>
      </c>
    </row>
    <row r="8" spans="1:33">
      <c r="A8" s="1923" t="s">
        <v>100</v>
      </c>
      <c r="B8" s="1226" t="s">
        <v>725</v>
      </c>
      <c r="C8" s="793"/>
      <c r="D8" s="778"/>
      <c r="E8" s="6139" t="s">
        <v>1234</v>
      </c>
      <c r="F8" s="6140"/>
      <c r="G8" s="6140"/>
      <c r="H8" s="6140"/>
      <c r="I8" s="6237"/>
      <c r="J8" s="778"/>
      <c r="K8" s="778"/>
      <c r="L8" s="778"/>
      <c r="M8" s="778"/>
      <c r="N8" s="778"/>
      <c r="O8" s="778"/>
      <c r="P8" s="778"/>
      <c r="Q8" s="778"/>
      <c r="R8" s="778"/>
      <c r="S8" s="778"/>
      <c r="T8" s="778"/>
      <c r="U8" s="778"/>
      <c r="V8" s="778"/>
      <c r="W8" s="778"/>
      <c r="X8" s="778"/>
      <c r="Y8" s="778"/>
      <c r="Z8" s="778"/>
      <c r="AA8" s="778"/>
      <c r="AB8" s="778"/>
      <c r="AC8" s="778"/>
      <c r="AD8" s="778"/>
      <c r="AE8" s="778"/>
      <c r="AF8" s="778"/>
    </row>
    <row r="9" spans="1:33">
      <c r="A9" s="2389" t="s">
        <v>95</v>
      </c>
      <c r="B9" s="63" t="s">
        <v>726</v>
      </c>
      <c r="C9" s="822"/>
      <c r="D9" s="779"/>
      <c r="E9" s="6164" t="s">
        <v>1234</v>
      </c>
      <c r="F9" s="5569"/>
      <c r="G9" s="5569"/>
      <c r="H9" s="5569"/>
      <c r="I9" s="6165"/>
      <c r="J9" s="779"/>
      <c r="K9" s="779"/>
      <c r="M9" s="2949" t="s">
        <v>1235</v>
      </c>
      <c r="N9" s="779"/>
      <c r="O9" s="779"/>
      <c r="P9" s="779"/>
      <c r="Q9" s="779"/>
      <c r="R9" s="779"/>
      <c r="S9" s="779"/>
      <c r="T9" s="779"/>
      <c r="U9" s="779"/>
      <c r="V9" s="779"/>
      <c r="W9" s="779"/>
      <c r="X9" s="779"/>
      <c r="Y9" s="779"/>
      <c r="Z9" s="3010" t="s">
        <v>1025</v>
      </c>
      <c r="AA9" s="4313" t="s">
        <v>1232</v>
      </c>
      <c r="AB9" s="4313"/>
      <c r="AC9" s="4313"/>
      <c r="AD9" s="3010" t="s">
        <v>1025</v>
      </c>
      <c r="AE9" s="779"/>
      <c r="AF9" s="779"/>
      <c r="AG9" s="804"/>
    </row>
    <row r="10" spans="1:33">
      <c r="A10" s="3027" t="s">
        <v>108</v>
      </c>
      <c r="B10" s="925" t="s">
        <v>109</v>
      </c>
      <c r="C10" s="822"/>
      <c r="D10" s="779"/>
      <c r="E10" s="6190" t="s">
        <v>1234</v>
      </c>
      <c r="F10" s="6190"/>
      <c r="G10" s="6190"/>
      <c r="H10" s="6190"/>
      <c r="I10" s="6190"/>
      <c r="J10" s="779"/>
      <c r="K10" s="779"/>
      <c r="L10" s="779"/>
      <c r="M10" s="779"/>
      <c r="N10" s="779"/>
      <c r="O10" s="779"/>
      <c r="P10" s="779"/>
      <c r="Q10" s="779"/>
      <c r="R10" s="2764"/>
      <c r="S10" s="779"/>
      <c r="T10" s="779"/>
      <c r="U10" s="779"/>
      <c r="V10" s="779"/>
      <c r="W10" s="779"/>
      <c r="X10" s="779"/>
      <c r="Y10" s="779"/>
      <c r="Z10" s="779"/>
      <c r="AA10" s="779"/>
      <c r="AB10" s="779"/>
      <c r="AC10" s="779"/>
      <c r="AD10" s="779"/>
      <c r="AE10" s="779"/>
      <c r="AF10" s="779"/>
      <c r="AG10" s="779"/>
    </row>
    <row r="11" spans="1:33">
      <c r="A11" s="3028" t="s">
        <v>283</v>
      </c>
      <c r="B11" s="2596" t="s">
        <v>201</v>
      </c>
      <c r="C11" s="937"/>
      <c r="D11" s="937"/>
      <c r="E11" s="6164" t="s">
        <v>1234</v>
      </c>
      <c r="F11" s="5569"/>
      <c r="G11" s="5569"/>
      <c r="H11" s="5569"/>
      <c r="I11" s="6165"/>
      <c r="J11" s="937"/>
      <c r="K11" s="937"/>
      <c r="L11" s="937"/>
      <c r="M11" s="937"/>
      <c r="N11" s="937"/>
      <c r="O11" s="937"/>
      <c r="P11" s="937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4333" t="s">
        <v>482</v>
      </c>
      <c r="AF11" s="4334"/>
      <c r="AG11" s="805"/>
    </row>
    <row r="12" spans="1:33">
      <c r="A12" s="2389" t="s">
        <v>283</v>
      </c>
      <c r="B12" s="1957" t="s">
        <v>610</v>
      </c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9"/>
      <c r="AE12" s="778"/>
      <c r="AF12" s="778"/>
      <c r="AG12" s="805"/>
    </row>
    <row r="13" spans="1:33">
      <c r="A13" s="2389" t="s">
        <v>293</v>
      </c>
      <c r="B13" s="1957" t="s">
        <v>733</v>
      </c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779"/>
      <c r="AD13" s="779"/>
      <c r="AE13" s="779"/>
      <c r="AF13" s="779"/>
      <c r="AG13" s="804"/>
    </row>
    <row r="14" spans="1:33">
      <c r="A14" s="2389" t="s">
        <v>127</v>
      </c>
      <c r="B14" s="1957" t="s">
        <v>657</v>
      </c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779"/>
      <c r="AB14" s="779"/>
      <c r="AC14" s="779"/>
      <c r="AD14" s="779"/>
      <c r="AE14" s="779"/>
      <c r="AF14" s="779"/>
      <c r="AG14" s="804"/>
    </row>
    <row r="15" spans="1:33">
      <c r="A15" s="2763" t="s">
        <v>554</v>
      </c>
      <c r="B15" s="2264" t="s">
        <v>555</v>
      </c>
      <c r="C15" s="780"/>
      <c r="D15" s="780"/>
      <c r="E15" s="780"/>
      <c r="F15" s="780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3021" t="s">
        <v>1025</v>
      </c>
      <c r="AE15" s="6238" t="s">
        <v>1231</v>
      </c>
      <c r="AF15" s="6239"/>
      <c r="AG15" s="3021" t="s">
        <v>1025</v>
      </c>
    </row>
    <row r="16" spans="1:33">
      <c r="A16" s="2596" t="s">
        <v>129</v>
      </c>
      <c r="B16" s="2389" t="s">
        <v>474</v>
      </c>
      <c r="C16" s="6242" t="s">
        <v>1245</v>
      </c>
      <c r="D16" s="6242"/>
      <c r="E16" s="6242"/>
      <c r="F16" s="6243"/>
      <c r="G16" s="779"/>
      <c r="H16" s="779"/>
      <c r="I16" s="779"/>
      <c r="J16" s="779"/>
      <c r="K16" s="779"/>
      <c r="L16" s="779"/>
      <c r="M16" s="779"/>
      <c r="N16" s="779"/>
      <c r="O16" s="779"/>
      <c r="P16" s="779"/>
      <c r="Q16" s="779"/>
      <c r="R16" s="779"/>
      <c r="S16" s="779"/>
      <c r="T16" s="779"/>
      <c r="U16" s="779"/>
      <c r="V16" s="779"/>
      <c r="W16" s="779"/>
      <c r="X16" s="779"/>
      <c r="Y16" s="779"/>
      <c r="Z16" s="779"/>
      <c r="AA16" s="779"/>
      <c r="AB16" s="779"/>
      <c r="AC16" s="779"/>
      <c r="AD16" s="779"/>
      <c r="AE16" s="779"/>
      <c r="AF16" s="779"/>
      <c r="AG16" s="804"/>
    </row>
    <row r="17" spans="1:33">
      <c r="A17" s="2763" t="s">
        <v>155</v>
      </c>
      <c r="B17" s="3103" t="s">
        <v>135</v>
      </c>
      <c r="C17" s="779"/>
      <c r="D17" s="779"/>
      <c r="E17" s="779"/>
      <c r="F17" s="779"/>
      <c r="G17" s="779"/>
      <c r="H17" s="779"/>
      <c r="I17" s="779"/>
      <c r="J17" s="779"/>
      <c r="K17" s="779"/>
      <c r="L17" s="779"/>
      <c r="M17" s="779"/>
      <c r="N17" s="779"/>
      <c r="O17" s="779"/>
      <c r="P17" s="779"/>
      <c r="Q17" s="779"/>
      <c r="R17" s="779"/>
      <c r="S17" s="779"/>
      <c r="T17" s="779"/>
      <c r="U17" s="779"/>
      <c r="V17" s="779"/>
      <c r="W17" s="779"/>
      <c r="X17" s="779"/>
      <c r="Y17" s="779"/>
      <c r="Z17" s="779"/>
      <c r="AA17" s="779"/>
      <c r="AB17" s="779"/>
      <c r="AC17" s="779"/>
      <c r="AD17" s="3021" t="s">
        <v>1025</v>
      </c>
      <c r="AE17" s="6238" t="s">
        <v>1231</v>
      </c>
      <c r="AF17" s="6239"/>
      <c r="AG17" s="3021" t="s">
        <v>1025</v>
      </c>
    </row>
    <row r="18" spans="1:33">
      <c r="A18" s="2763" t="s">
        <v>1056</v>
      </c>
      <c r="B18" s="2264" t="s">
        <v>334</v>
      </c>
      <c r="C18" s="780"/>
      <c r="D18" s="780"/>
      <c r="E18" s="780"/>
      <c r="F18" s="780"/>
      <c r="G18" s="780"/>
      <c r="H18" s="780"/>
      <c r="I18" s="780"/>
      <c r="J18" s="780"/>
      <c r="K18" s="780"/>
      <c r="L18" s="780"/>
      <c r="M18" s="780"/>
      <c r="N18" s="780"/>
      <c r="O18" s="780"/>
      <c r="P18" s="780"/>
      <c r="Q18" s="780"/>
      <c r="R18" s="780"/>
      <c r="S18" s="780"/>
      <c r="T18" s="780"/>
      <c r="U18" s="780"/>
      <c r="V18" s="780"/>
      <c r="W18" s="780"/>
      <c r="X18" s="780"/>
      <c r="Y18" s="780"/>
      <c r="Z18" s="780"/>
      <c r="AA18" s="780"/>
      <c r="AB18" s="780"/>
      <c r="AC18" s="780"/>
      <c r="AD18" s="3021" t="s">
        <v>1025</v>
      </c>
      <c r="AE18" s="6238" t="s">
        <v>1231</v>
      </c>
      <c r="AF18" s="6239"/>
      <c r="AG18" s="3021" t="s">
        <v>1025</v>
      </c>
    </row>
    <row r="19" spans="1:33">
      <c r="A19" s="56" t="s">
        <v>95</v>
      </c>
      <c r="B19" s="522" t="s">
        <v>620</v>
      </c>
      <c r="C19" s="3023" t="s">
        <v>1025</v>
      </c>
      <c r="D19" s="780"/>
      <c r="E19" s="780"/>
      <c r="F19" s="780"/>
      <c r="G19" s="4333" t="s">
        <v>1248</v>
      </c>
      <c r="H19" s="4411"/>
      <c r="I19" s="4411"/>
      <c r="J19" s="4411"/>
      <c r="K19" s="4411"/>
      <c r="L19" s="4411"/>
      <c r="M19" s="4411"/>
      <c r="N19" s="4411"/>
      <c r="O19" s="4411"/>
      <c r="P19" s="4411"/>
      <c r="Q19" s="4411"/>
      <c r="R19" s="4411"/>
      <c r="S19" s="4411"/>
      <c r="T19" s="4411"/>
      <c r="U19" s="4411"/>
      <c r="V19" s="4411"/>
      <c r="W19" s="4411"/>
      <c r="X19" s="4411"/>
      <c r="Y19" s="4411"/>
      <c r="Z19" s="4334"/>
      <c r="AA19" s="779"/>
      <c r="AB19" s="779"/>
      <c r="AC19" s="779"/>
      <c r="AD19" s="779"/>
      <c r="AE19" s="779"/>
      <c r="AF19" s="779"/>
      <c r="AG19" s="804"/>
    </row>
    <row r="20" spans="1:33">
      <c r="A20" s="56" t="s">
        <v>739</v>
      </c>
      <c r="B20" s="56" t="s">
        <v>740</v>
      </c>
      <c r="C20" s="779"/>
      <c r="D20" s="779"/>
      <c r="E20" s="6190" t="s">
        <v>1234</v>
      </c>
      <c r="F20" s="6190"/>
      <c r="G20" s="6190"/>
      <c r="H20" s="6190"/>
      <c r="I20" s="6190"/>
      <c r="J20" s="779"/>
      <c r="K20" s="779"/>
      <c r="L20" s="779"/>
      <c r="M20" s="2949" t="s">
        <v>1235</v>
      </c>
      <c r="N20" s="779"/>
      <c r="O20" s="779"/>
      <c r="P20" s="779"/>
      <c r="Q20" s="779"/>
      <c r="R20" s="779"/>
      <c r="S20" s="3023" t="s">
        <v>1025</v>
      </c>
      <c r="T20" s="6232" t="s">
        <v>1233</v>
      </c>
      <c r="U20" s="6232"/>
      <c r="V20" s="6232"/>
      <c r="W20" s="3023" t="s">
        <v>1025</v>
      </c>
      <c r="X20" s="779"/>
      <c r="Y20" s="779"/>
      <c r="Z20" s="779"/>
      <c r="AA20" s="779"/>
      <c r="AB20" s="779"/>
      <c r="AC20" s="779"/>
      <c r="AD20" s="779"/>
      <c r="AE20" s="779"/>
      <c r="AF20" s="3010" t="s">
        <v>1025</v>
      </c>
      <c r="AG20" s="2957" t="s">
        <v>1257</v>
      </c>
    </row>
    <row r="21" spans="1:33">
      <c r="A21" s="266" t="s">
        <v>145</v>
      </c>
      <c r="B21" s="2480" t="s">
        <v>148</v>
      </c>
      <c r="C21" s="778"/>
      <c r="D21" s="778"/>
      <c r="E21" s="6139" t="s">
        <v>1234</v>
      </c>
      <c r="F21" s="6140"/>
      <c r="G21" s="6140"/>
      <c r="H21" s="6140"/>
      <c r="I21" s="6237"/>
      <c r="J21" s="778"/>
      <c r="K21" s="778"/>
      <c r="L21" s="778"/>
      <c r="M21" s="778"/>
      <c r="N21" s="778"/>
      <c r="O21" s="778"/>
      <c r="P21" s="778"/>
      <c r="Q21" s="778"/>
      <c r="R21" s="778"/>
      <c r="S21" s="3023" t="s">
        <v>1025</v>
      </c>
      <c r="T21" s="6232" t="s">
        <v>1233</v>
      </c>
      <c r="U21" s="6232"/>
      <c r="V21" s="6232"/>
      <c r="W21" s="3023" t="s">
        <v>1025</v>
      </c>
      <c r="X21" s="778"/>
      <c r="Y21" s="778"/>
      <c r="Z21" s="778"/>
      <c r="AA21" s="778"/>
      <c r="AB21" s="778"/>
      <c r="AC21" s="778"/>
      <c r="AD21" s="3021" t="s">
        <v>1025</v>
      </c>
      <c r="AE21" s="6238" t="s">
        <v>1231</v>
      </c>
      <c r="AF21" s="6239"/>
      <c r="AG21" s="3021" t="s">
        <v>1025</v>
      </c>
    </row>
    <row r="22" spans="1:33">
      <c r="A22" s="56" t="s">
        <v>1038</v>
      </c>
      <c r="B22" s="522" t="s">
        <v>618</v>
      </c>
      <c r="C22" s="779"/>
      <c r="D22" s="779"/>
      <c r="E22" s="6259" t="s">
        <v>1234</v>
      </c>
      <c r="F22" s="6260"/>
      <c r="G22" s="6260"/>
      <c r="H22" s="6260"/>
      <c r="I22" s="6261"/>
      <c r="J22" s="779"/>
      <c r="K22" s="779"/>
      <c r="L22" s="779"/>
      <c r="M22" s="779"/>
      <c r="N22" s="779"/>
      <c r="O22" s="779"/>
      <c r="P22" s="779"/>
      <c r="Q22" s="779"/>
      <c r="R22" s="779"/>
      <c r="S22" s="779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  <c r="AF22" s="779"/>
      <c r="AG22" s="804"/>
    </row>
    <row r="23" spans="1:33">
      <c r="A23" s="816" t="s">
        <v>149</v>
      </c>
      <c r="B23" s="2943" t="s">
        <v>151</v>
      </c>
      <c r="C23" s="780"/>
      <c r="D23" s="780"/>
      <c r="E23" s="6255" t="s">
        <v>1234</v>
      </c>
      <c r="F23" s="6256"/>
      <c r="G23" s="6256"/>
      <c r="H23" s="6256"/>
      <c r="I23" s="6257"/>
      <c r="J23" s="780"/>
      <c r="K23" s="780"/>
      <c r="L23" s="780"/>
      <c r="M23" s="780"/>
      <c r="N23" s="780"/>
      <c r="O23" s="780"/>
      <c r="P23" s="780"/>
      <c r="Q23" s="780"/>
      <c r="R23" s="780"/>
      <c r="S23" s="780"/>
      <c r="T23" s="780"/>
      <c r="U23" s="780"/>
      <c r="V23" s="780"/>
      <c r="W23" s="780"/>
      <c r="X23" s="780"/>
      <c r="Y23" s="780"/>
      <c r="Z23" s="3010" t="s">
        <v>1025</v>
      </c>
      <c r="AA23" s="4313" t="s">
        <v>1232</v>
      </c>
      <c r="AB23" s="4313"/>
      <c r="AC23" s="4313"/>
      <c r="AD23" s="3010" t="s">
        <v>1025</v>
      </c>
      <c r="AE23" s="780"/>
      <c r="AF23" s="780"/>
      <c r="AG23" s="806"/>
    </row>
    <row r="24" spans="1:33">
      <c r="A24" s="2795" t="s">
        <v>602</v>
      </c>
      <c r="B24" s="2" t="s">
        <v>660</v>
      </c>
      <c r="C24" s="779"/>
      <c r="D24" s="779"/>
      <c r="E24" s="779"/>
      <c r="F24" s="779"/>
      <c r="G24" s="779"/>
      <c r="H24" s="779"/>
      <c r="I24" s="779"/>
      <c r="J24" s="779"/>
      <c r="K24" s="779"/>
      <c r="L24" s="779"/>
      <c r="M24" s="779"/>
      <c r="N24" s="779"/>
      <c r="O24" s="779"/>
      <c r="P24" s="779"/>
      <c r="Q24" s="779"/>
      <c r="R24" s="779"/>
      <c r="S24" s="779"/>
      <c r="T24" s="779"/>
      <c r="U24" s="779"/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  <c r="AF24" s="779"/>
      <c r="AG24" s="804"/>
    </row>
    <row r="25" spans="1:33">
      <c r="A25" s="56" t="s">
        <v>81</v>
      </c>
      <c r="B25" s="56" t="s">
        <v>396</v>
      </c>
      <c r="C25" s="3010" t="s">
        <v>1025</v>
      </c>
      <c r="D25" s="779"/>
      <c r="E25" s="6190" t="s">
        <v>1234</v>
      </c>
      <c r="F25" s="6190"/>
      <c r="G25" s="6190"/>
      <c r="H25" s="6190"/>
      <c r="I25" s="6190"/>
      <c r="J25" s="779"/>
      <c r="K25" s="779"/>
      <c r="L25" s="779"/>
      <c r="M25" s="779"/>
      <c r="N25" s="779"/>
      <c r="O25" s="779"/>
      <c r="P25" s="779"/>
      <c r="Q25" s="779"/>
      <c r="R25" s="779"/>
      <c r="S25" s="3010" t="s">
        <v>1025</v>
      </c>
      <c r="T25" s="6099" t="s">
        <v>1233</v>
      </c>
      <c r="U25" s="6099"/>
      <c r="V25" s="6099"/>
      <c r="W25" s="3685" t="s">
        <v>1258</v>
      </c>
      <c r="X25" s="779"/>
      <c r="Y25" s="779"/>
      <c r="Z25" s="3010" t="s">
        <v>1025</v>
      </c>
      <c r="AA25" s="4313" t="s">
        <v>1232</v>
      </c>
      <c r="AB25" s="4313"/>
      <c r="AC25" s="4313"/>
      <c r="AD25" s="3010" t="s">
        <v>1025</v>
      </c>
      <c r="AE25" s="779"/>
      <c r="AF25" s="779"/>
      <c r="AG25" s="804"/>
    </row>
    <row r="26" spans="1:33">
      <c r="A26" s="266" t="s">
        <v>561</v>
      </c>
      <c r="B26" s="266" t="s">
        <v>303</v>
      </c>
      <c r="C26" s="778"/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3023" t="s">
        <v>1025</v>
      </c>
      <c r="Q26" s="6137" t="s">
        <v>754</v>
      </c>
      <c r="R26" s="6137"/>
      <c r="S26" s="6137"/>
      <c r="T26" s="3023" t="s">
        <v>1025</v>
      </c>
      <c r="U26" s="778"/>
      <c r="V26" s="778"/>
      <c r="W26" s="778"/>
      <c r="X26" s="778"/>
      <c r="Y26" s="778"/>
      <c r="Z26" s="778"/>
      <c r="AA26" s="778"/>
      <c r="AB26" s="778"/>
      <c r="AC26" s="778"/>
      <c r="AD26" s="778"/>
      <c r="AE26" s="778"/>
      <c r="AF26" s="778"/>
      <c r="AG26" s="3078" t="s">
        <v>1025</v>
      </c>
    </row>
    <row r="27" spans="1:33">
      <c r="A27" s="68" t="s">
        <v>155</v>
      </c>
      <c r="B27" s="2390" t="s">
        <v>532</v>
      </c>
      <c r="C27" s="782"/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2564" t="s">
        <v>251</v>
      </c>
      <c r="S27" s="4775" t="s">
        <v>1254</v>
      </c>
      <c r="T27" s="4775"/>
      <c r="U27" s="4775"/>
      <c r="V27" s="4775"/>
      <c r="W27" s="4775"/>
      <c r="X27" s="2564" t="s">
        <v>251</v>
      </c>
      <c r="Y27" s="782"/>
      <c r="Z27" s="2599" t="s">
        <v>1025</v>
      </c>
      <c r="AA27" s="6258" t="s">
        <v>1232</v>
      </c>
      <c r="AB27" s="6258"/>
      <c r="AC27" s="6258"/>
      <c r="AD27" s="2599" t="s">
        <v>1025</v>
      </c>
      <c r="AE27" s="782"/>
      <c r="AF27" s="782"/>
      <c r="AG27" s="807"/>
    </row>
    <row r="29" spans="1:33">
      <c r="A29" s="56" t="s">
        <v>95</v>
      </c>
      <c r="B29" s="63" t="s">
        <v>738</v>
      </c>
      <c r="C29" s="3016"/>
      <c r="D29" s="2894"/>
      <c r="E29" s="6164" t="s">
        <v>1234</v>
      </c>
      <c r="F29" s="5569"/>
      <c r="G29" s="5569"/>
      <c r="H29" s="5569"/>
      <c r="I29" s="6165"/>
      <c r="J29" s="2894"/>
      <c r="K29" s="2894"/>
      <c r="L29" s="2894"/>
      <c r="M29" s="2894"/>
      <c r="N29" s="2894"/>
      <c r="O29" s="2894"/>
      <c r="P29" s="2894"/>
      <c r="Q29" s="2894"/>
      <c r="R29" s="2894"/>
      <c r="S29" s="2894"/>
      <c r="T29" s="2894"/>
      <c r="U29" s="2894"/>
      <c r="V29" s="2894"/>
      <c r="W29" s="2894"/>
      <c r="X29" s="2894"/>
      <c r="Y29" s="2894"/>
      <c r="Z29" s="2894"/>
      <c r="AA29" s="2894"/>
      <c r="AB29" s="2894"/>
      <c r="AC29" s="2894"/>
      <c r="AD29" s="3021" t="s">
        <v>1025</v>
      </c>
      <c r="AE29" s="6238" t="s">
        <v>1231</v>
      </c>
      <c r="AF29" s="6239"/>
      <c r="AG29" s="3063" t="s">
        <v>1230</v>
      </c>
    </row>
    <row r="30" spans="1:33">
      <c r="A30" s="56" t="s">
        <v>106</v>
      </c>
      <c r="B30" s="817" t="s">
        <v>1191</v>
      </c>
      <c r="C30" s="2997"/>
      <c r="D30" s="2938"/>
      <c r="E30" s="6259" t="s">
        <v>1234</v>
      </c>
      <c r="F30" s="6260"/>
      <c r="G30" s="6260"/>
      <c r="H30" s="6260"/>
      <c r="I30" s="6261"/>
      <c r="J30" s="2938"/>
      <c r="K30" s="2938"/>
      <c r="L30" s="2938"/>
      <c r="M30" s="2938"/>
      <c r="N30" s="2938"/>
      <c r="O30" s="2938"/>
      <c r="P30" s="2938"/>
      <c r="Q30" s="2938"/>
      <c r="R30" s="2938"/>
      <c r="S30" s="2938"/>
      <c r="T30" s="2938"/>
      <c r="U30" s="2938"/>
      <c r="V30" s="2938"/>
      <c r="W30" s="2938"/>
      <c r="X30" s="2938"/>
      <c r="Y30" s="2938"/>
      <c r="Z30" s="2938"/>
      <c r="AA30" s="2938"/>
      <c r="AB30" s="2938"/>
      <c r="AC30" s="2938"/>
      <c r="AD30" s="3021" t="s">
        <v>1025</v>
      </c>
      <c r="AE30" s="6238" t="s">
        <v>1231</v>
      </c>
      <c r="AF30" s="6239"/>
      <c r="AG30" s="3021" t="s">
        <v>1025</v>
      </c>
    </row>
    <row r="31" spans="1:33">
      <c r="A31" s="2389" t="s">
        <v>120</v>
      </c>
      <c r="B31" s="1957" t="s">
        <v>1079</v>
      </c>
      <c r="C31" s="779"/>
      <c r="D31" s="779"/>
      <c r="E31" s="779"/>
      <c r="F31" s="779"/>
      <c r="G31" s="779"/>
      <c r="H31" s="779"/>
      <c r="I31" s="779"/>
      <c r="J31" s="779"/>
      <c r="K31" s="779"/>
      <c r="L31" s="779"/>
      <c r="M31" s="779"/>
      <c r="N31" s="779"/>
      <c r="O31" s="779"/>
      <c r="P31" s="779"/>
      <c r="Q31" s="779"/>
      <c r="R31" s="779"/>
      <c r="S31" s="779"/>
      <c r="T31" s="779"/>
      <c r="U31" s="779"/>
      <c r="V31" s="779"/>
      <c r="W31" s="779"/>
      <c r="X31" s="779"/>
      <c r="Y31" s="779"/>
      <c r="Z31" s="779"/>
      <c r="AA31" s="779"/>
      <c r="AB31" s="779"/>
      <c r="AC31" s="779"/>
      <c r="AD31" s="779"/>
      <c r="AE31" s="779"/>
      <c r="AF31" s="779"/>
      <c r="AG31" s="804"/>
    </row>
    <row r="32" spans="1:33">
      <c r="A32" s="2389" t="s">
        <v>122</v>
      </c>
      <c r="B32" s="1957" t="s">
        <v>553</v>
      </c>
      <c r="C32" s="6164" t="s">
        <v>1194</v>
      </c>
      <c r="D32" s="6184"/>
      <c r="E32" s="6184"/>
      <c r="F32" s="6184"/>
      <c r="G32" s="6184"/>
      <c r="H32" s="6184"/>
      <c r="I32" s="6184"/>
      <c r="J32" s="6184"/>
      <c r="K32" s="6184"/>
      <c r="L32" s="6185"/>
      <c r="M32" s="779"/>
      <c r="N32" s="779"/>
      <c r="O32" s="779"/>
      <c r="P32" s="779"/>
      <c r="Q32" s="779"/>
      <c r="R32" s="779"/>
      <c r="S32" s="779"/>
      <c r="T32" s="779"/>
      <c r="U32" s="779"/>
      <c r="V32" s="779"/>
      <c r="W32" s="779"/>
      <c r="X32" s="779"/>
      <c r="Y32" s="779"/>
      <c r="Z32" s="779"/>
      <c r="AA32" s="779"/>
      <c r="AB32" s="779"/>
      <c r="AC32" s="779"/>
      <c r="AD32" s="779"/>
      <c r="AE32" s="779"/>
      <c r="AF32" s="779"/>
      <c r="AG32" s="804"/>
    </row>
    <row r="33" spans="1:33">
      <c r="A33" s="2389" t="s">
        <v>120</v>
      </c>
      <c r="B33" s="2389" t="s">
        <v>1195</v>
      </c>
      <c r="C33" s="3010" t="s">
        <v>1025</v>
      </c>
      <c r="D33" s="779"/>
      <c r="E33" s="2"/>
      <c r="F33" s="779"/>
      <c r="G33" s="779"/>
      <c r="H33" s="1631"/>
      <c r="I33" s="779"/>
      <c r="J33" s="779"/>
      <c r="K33" s="779"/>
      <c r="L33" s="779"/>
      <c r="M33" s="1631"/>
      <c r="N33" s="1631"/>
      <c r="O33" s="779"/>
      <c r="P33" s="779"/>
      <c r="Q33" s="2"/>
      <c r="R33" s="779"/>
      <c r="S33" s="2"/>
      <c r="T33" s="2"/>
      <c r="U33" s="779"/>
      <c r="V33" s="779"/>
      <c r="W33" s="779"/>
      <c r="X33" s="779"/>
      <c r="Y33" s="779"/>
      <c r="Z33" s="779"/>
      <c r="AA33" s="779"/>
      <c r="AB33" s="779"/>
      <c r="AC33" s="779"/>
      <c r="AD33" s="1631"/>
      <c r="AE33" s="779"/>
      <c r="AF33" s="2"/>
      <c r="AG33" s="804"/>
    </row>
    <row r="34" spans="1:33">
      <c r="A34" s="2389" t="s">
        <v>692</v>
      </c>
      <c r="B34" s="1957" t="s">
        <v>693</v>
      </c>
      <c r="C34" s="779"/>
      <c r="D34" s="779"/>
      <c r="E34" s="779"/>
      <c r="F34" s="779"/>
      <c r="G34" s="779"/>
      <c r="H34" s="779"/>
      <c r="I34" s="779"/>
      <c r="J34" s="779"/>
      <c r="K34" s="779"/>
      <c r="L34" s="779"/>
      <c r="M34" s="779"/>
      <c r="N34" s="779"/>
      <c r="O34" s="779"/>
      <c r="P34" s="779"/>
      <c r="Q34" s="779"/>
      <c r="R34" s="779"/>
      <c r="S34" s="779"/>
      <c r="T34" s="779"/>
      <c r="U34" s="779"/>
      <c r="V34" s="779"/>
      <c r="W34" s="779"/>
      <c r="X34" s="779"/>
      <c r="Y34" s="779"/>
      <c r="Z34" s="779"/>
      <c r="AA34" s="779"/>
      <c r="AB34" s="779"/>
      <c r="AC34" s="779"/>
      <c r="AD34" s="779"/>
      <c r="AE34" s="779"/>
      <c r="AF34" s="779"/>
      <c r="AG34" s="804"/>
    </row>
    <row r="35" spans="1:33">
      <c r="A35" s="1957" t="s">
        <v>131</v>
      </c>
      <c r="B35" s="2389" t="s">
        <v>1201</v>
      </c>
      <c r="C35" s="822"/>
      <c r="D35" s="779"/>
      <c r="E35" s="779"/>
      <c r="F35" s="779"/>
      <c r="G35" s="822"/>
      <c r="H35" s="779"/>
      <c r="I35" s="779"/>
      <c r="J35" s="779"/>
      <c r="K35" s="779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3021" t="s">
        <v>1025</v>
      </c>
      <c r="AE35" s="6238" t="s">
        <v>1231</v>
      </c>
      <c r="AF35" s="6239"/>
      <c r="AG35" s="3021" t="s">
        <v>1025</v>
      </c>
    </row>
    <row r="36" spans="1:33">
      <c r="A36" s="1923" t="s">
        <v>283</v>
      </c>
      <c r="B36" s="1923" t="s">
        <v>1036</v>
      </c>
      <c r="C36" s="4333" t="s">
        <v>482</v>
      </c>
      <c r="D36" s="4334"/>
      <c r="E36" s="6224" t="s">
        <v>1234</v>
      </c>
      <c r="F36" s="6224"/>
      <c r="G36" s="6224"/>
      <c r="H36" s="6224"/>
      <c r="I36" s="6224"/>
      <c r="J36" s="937"/>
      <c r="K36" s="937"/>
      <c r="L36" s="937"/>
      <c r="M36" s="3024" t="s">
        <v>1235</v>
      </c>
      <c r="N36" s="937"/>
      <c r="O36" s="937"/>
      <c r="P36" s="937"/>
      <c r="Q36" s="937"/>
      <c r="R36" s="937"/>
      <c r="S36" s="3019" t="s">
        <v>1025</v>
      </c>
      <c r="T36" s="6234" t="s">
        <v>1233</v>
      </c>
      <c r="U36" s="6234"/>
      <c r="V36" s="6234"/>
      <c r="W36" s="3019" t="s">
        <v>1025</v>
      </c>
      <c r="X36" s="937"/>
      <c r="Y36" s="937"/>
      <c r="Z36" s="937"/>
      <c r="AA36" s="937"/>
      <c r="AB36" s="937"/>
      <c r="AC36" s="937"/>
      <c r="AD36" s="937"/>
      <c r="AE36" s="937"/>
      <c r="AF36" s="3019" t="s">
        <v>1025</v>
      </c>
      <c r="AG36" s="3025" t="s">
        <v>1257</v>
      </c>
    </row>
    <row r="37" spans="1:33">
      <c r="A37" s="56" t="s">
        <v>95</v>
      </c>
      <c r="B37" s="56" t="s">
        <v>1058</v>
      </c>
      <c r="C37" s="780"/>
      <c r="D37" s="780"/>
      <c r="E37" s="6262" t="s">
        <v>1234</v>
      </c>
      <c r="F37" s="6262"/>
      <c r="G37" s="6262"/>
      <c r="H37" s="6262"/>
      <c r="I37" s="6262"/>
      <c r="J37" s="780"/>
      <c r="K37" s="780"/>
      <c r="L37" s="780"/>
      <c r="M37" s="3072" t="s">
        <v>1235</v>
      </c>
      <c r="N37" s="780"/>
      <c r="O37" s="780"/>
      <c r="P37" s="780"/>
      <c r="Q37" s="780"/>
      <c r="R37" s="780"/>
      <c r="S37" s="3021" t="s">
        <v>1025</v>
      </c>
      <c r="T37" s="6245" t="s">
        <v>1233</v>
      </c>
      <c r="U37" s="6245"/>
      <c r="V37" s="6245"/>
      <c r="W37" s="3021" t="s">
        <v>1025</v>
      </c>
      <c r="X37" s="780"/>
      <c r="Y37" s="3021" t="s">
        <v>1025</v>
      </c>
      <c r="Z37" s="6190" t="s">
        <v>1246</v>
      </c>
      <c r="AA37" s="6190"/>
      <c r="AB37" s="6190"/>
      <c r="AC37" s="6190"/>
      <c r="AD37" s="6190"/>
      <c r="AE37" s="3010" t="s">
        <v>1025</v>
      </c>
      <c r="AF37" s="779"/>
      <c r="AG37" s="804"/>
    </row>
    <row r="38" spans="1:33">
      <c r="A38" s="56" t="s">
        <v>95</v>
      </c>
      <c r="B38" s="56" t="s">
        <v>1037</v>
      </c>
      <c r="C38" s="3023" t="s">
        <v>1025</v>
      </c>
      <c r="D38" s="780"/>
      <c r="E38" s="6263" t="s">
        <v>1234</v>
      </c>
      <c r="F38" s="6263"/>
      <c r="G38" s="6263"/>
      <c r="H38" s="6263"/>
      <c r="I38" s="6263"/>
      <c r="J38" s="778"/>
      <c r="K38" s="778"/>
      <c r="L38" s="778"/>
      <c r="M38" s="3073" t="s">
        <v>1235</v>
      </c>
      <c r="N38" s="778"/>
      <c r="O38" s="778"/>
      <c r="P38" s="2770" t="s">
        <v>1249</v>
      </c>
      <c r="Q38" s="778"/>
      <c r="R38" s="781"/>
      <c r="S38" s="781"/>
      <c r="T38" s="781"/>
      <c r="U38" s="781"/>
      <c r="V38" s="781"/>
      <c r="W38" s="4333" t="s">
        <v>1250</v>
      </c>
      <c r="X38" s="4411"/>
      <c r="Y38" s="4411"/>
      <c r="Z38" s="4411"/>
      <c r="AA38" s="4411"/>
      <c r="AB38" s="4411"/>
      <c r="AC38" s="4411"/>
      <c r="AD38" s="4411"/>
      <c r="AE38" s="4411"/>
      <c r="AF38" s="4411"/>
      <c r="AG38" s="4559"/>
    </row>
    <row r="39" spans="1:33">
      <c r="A39" s="3042" t="s">
        <v>149</v>
      </c>
      <c r="B39" s="3043" t="s">
        <v>1207</v>
      </c>
      <c r="C39" s="3044"/>
      <c r="D39" s="3044"/>
      <c r="E39" s="3044"/>
      <c r="F39" s="3044"/>
      <c r="G39" s="3044"/>
      <c r="H39" s="3044"/>
      <c r="I39" s="3044"/>
      <c r="J39" s="3044"/>
      <c r="K39" s="3044"/>
      <c r="L39" s="3044"/>
      <c r="M39" s="3044"/>
      <c r="N39" s="3044"/>
      <c r="O39" s="3044"/>
      <c r="P39" s="3044"/>
      <c r="Q39" s="3044"/>
      <c r="R39" s="3044"/>
      <c r="S39" s="3044"/>
      <c r="T39" s="3044"/>
      <c r="U39" s="3044"/>
      <c r="V39" s="3044"/>
      <c r="W39" s="3044"/>
      <c r="X39" s="3044"/>
      <c r="Y39" s="3044"/>
      <c r="Z39" s="3044"/>
      <c r="AA39" s="3044"/>
      <c r="AB39" s="3044"/>
      <c r="AC39" s="3044"/>
      <c r="AD39" s="3044"/>
      <c r="AE39" s="3044"/>
      <c r="AF39" s="3044"/>
      <c r="AG39" s="806"/>
    </row>
    <row r="40" spans="1:33">
      <c r="A40" s="3022" t="s">
        <v>108</v>
      </c>
      <c r="B40" s="3022" t="s">
        <v>1106</v>
      </c>
      <c r="C40" s="321"/>
      <c r="D40" s="321"/>
      <c r="E40" s="6235" t="s">
        <v>1234</v>
      </c>
      <c r="F40" s="6235"/>
      <c r="G40" s="6235"/>
      <c r="H40" s="6235"/>
      <c r="I40" s="6235"/>
      <c r="J40" s="321"/>
      <c r="K40" s="321"/>
      <c r="L40" s="321"/>
      <c r="M40" s="3026" t="s">
        <v>1235</v>
      </c>
      <c r="N40" s="321"/>
      <c r="O40" s="321"/>
      <c r="P40" s="321"/>
      <c r="Q40" s="321"/>
      <c r="R40" s="321"/>
      <c r="S40" s="2599" t="s">
        <v>1025</v>
      </c>
      <c r="T40" s="6225" t="s">
        <v>1233</v>
      </c>
      <c r="U40" s="6225"/>
      <c r="V40" s="6225"/>
      <c r="W40" s="2599" t="s">
        <v>1025</v>
      </c>
      <c r="X40" s="321"/>
      <c r="Y40" s="321"/>
      <c r="Z40" s="321"/>
      <c r="AA40" s="321"/>
      <c r="AB40" s="321"/>
      <c r="AC40" s="321"/>
      <c r="AD40" s="3021" t="s">
        <v>1025</v>
      </c>
      <c r="AE40" s="6238" t="s">
        <v>1231</v>
      </c>
      <c r="AF40" s="6239"/>
      <c r="AG40" s="3021" t="s">
        <v>1025</v>
      </c>
    </row>
    <row r="41" spans="1:33">
      <c r="A41" s="68" t="s">
        <v>1211</v>
      </c>
      <c r="B41" s="68" t="s">
        <v>1212</v>
      </c>
      <c r="C41" s="2599" t="s">
        <v>1025</v>
      </c>
      <c r="D41" s="782"/>
      <c r="E41" s="782"/>
      <c r="F41" s="782"/>
      <c r="G41" s="782"/>
      <c r="H41" s="782"/>
      <c r="I41" s="782"/>
      <c r="J41" s="782"/>
      <c r="K41" s="782"/>
      <c r="L41" s="782"/>
      <c r="M41" s="782"/>
      <c r="N41" s="782"/>
      <c r="O41" s="782"/>
      <c r="P41" s="782"/>
      <c r="Q41" s="782"/>
      <c r="R41" s="782"/>
      <c r="S41" s="2599" t="s">
        <v>1025</v>
      </c>
      <c r="T41" s="6225" t="s">
        <v>1233</v>
      </c>
      <c r="U41" s="6225"/>
      <c r="V41" s="6225"/>
      <c r="W41" s="2599" t="s">
        <v>1025</v>
      </c>
      <c r="X41" s="782"/>
      <c r="Y41" s="782"/>
      <c r="Z41" s="2599" t="s">
        <v>1025</v>
      </c>
      <c r="AA41" s="6258" t="s">
        <v>1232</v>
      </c>
      <c r="AB41" s="6258"/>
      <c r="AC41" s="6258"/>
      <c r="AD41" s="2599" t="s">
        <v>1025</v>
      </c>
      <c r="AE41" s="321"/>
      <c r="AF41" s="321"/>
      <c r="AG41" s="807"/>
    </row>
    <row r="42" spans="1:33">
      <c r="A42" s="1923" t="s">
        <v>283</v>
      </c>
      <c r="B42" s="1923" t="s">
        <v>1005</v>
      </c>
      <c r="C42" s="3019" t="s">
        <v>1025</v>
      </c>
      <c r="D42" s="937"/>
      <c r="E42" s="6224" t="s">
        <v>1234</v>
      </c>
      <c r="F42" s="6224"/>
      <c r="G42" s="6224"/>
      <c r="H42" s="6224"/>
      <c r="I42" s="6224"/>
      <c r="J42" s="937"/>
      <c r="K42" s="937"/>
      <c r="L42" s="937"/>
      <c r="M42" s="937"/>
      <c r="N42" s="937"/>
      <c r="O42" s="937"/>
      <c r="P42" s="461"/>
      <c r="Q42" s="937"/>
      <c r="R42" s="937"/>
      <c r="S42" s="937"/>
      <c r="T42" s="937"/>
      <c r="U42" s="937"/>
      <c r="V42" s="937"/>
      <c r="W42" s="937"/>
      <c r="X42" s="937"/>
      <c r="Y42" s="937"/>
      <c r="Z42" s="3019" t="s">
        <v>1025</v>
      </c>
      <c r="AA42" s="6174" t="s">
        <v>1232</v>
      </c>
      <c r="AB42" s="6174"/>
      <c r="AC42" s="6174"/>
      <c r="AD42" s="3019" t="s">
        <v>1025</v>
      </c>
      <c r="AE42" s="937"/>
      <c r="AF42" s="937"/>
      <c r="AG42" s="1333"/>
    </row>
    <row r="43" spans="1:33" s="3118" customFormat="1">
      <c r="A43" s="3119"/>
      <c r="B43" s="3119"/>
      <c r="C43" s="3120"/>
      <c r="D43" s="3121"/>
      <c r="E43" s="3120"/>
      <c r="F43" s="3120"/>
      <c r="G43" s="3120"/>
      <c r="H43" s="3120"/>
      <c r="I43" s="3120"/>
      <c r="J43" s="3121"/>
      <c r="K43" s="3121"/>
      <c r="L43" s="3121"/>
      <c r="M43" s="3121"/>
      <c r="N43" s="3121"/>
      <c r="O43" s="3121"/>
      <c r="P43" s="3122"/>
      <c r="Q43" s="3121"/>
      <c r="R43" s="3121"/>
      <c r="S43" s="3121"/>
      <c r="T43" s="3121"/>
      <c r="U43" s="3121"/>
      <c r="V43" s="3121"/>
      <c r="W43" s="3121"/>
      <c r="X43" s="3121"/>
      <c r="Y43" s="3121"/>
      <c r="Z43" s="3120"/>
      <c r="AA43" s="3120"/>
      <c r="AB43" s="3120"/>
      <c r="AC43" s="3120"/>
      <c r="AD43" s="3120"/>
      <c r="AE43" s="3121"/>
      <c r="AF43" s="3121"/>
      <c r="AG43" s="3121"/>
    </row>
    <row r="44" spans="1:33" s="3118" customFormat="1"/>
    <row r="45" spans="1:33">
      <c r="A45" s="56" t="s">
        <v>145</v>
      </c>
      <c r="B45" s="522" t="s">
        <v>1251</v>
      </c>
      <c r="C45" s="779"/>
      <c r="D45" s="847"/>
      <c r="E45" s="3702"/>
      <c r="F45" s="3702"/>
      <c r="G45" s="3702"/>
      <c r="H45" s="3702"/>
      <c r="I45" s="3702"/>
      <c r="J45" s="822"/>
      <c r="K45" s="779"/>
      <c r="L45" s="779"/>
      <c r="M45" s="779"/>
      <c r="N45" s="779"/>
      <c r="O45" s="779"/>
      <c r="P45" s="779"/>
      <c r="Q45" s="779"/>
      <c r="R45" s="779"/>
      <c r="S45" s="779"/>
      <c r="T45" s="779"/>
      <c r="U45" s="779"/>
      <c r="V45" s="779"/>
      <c r="W45" s="779"/>
      <c r="X45" s="779"/>
      <c r="Y45" s="779"/>
      <c r="Z45" s="779"/>
      <c r="AA45" s="779"/>
      <c r="AB45" s="779"/>
      <c r="AC45" s="779"/>
      <c r="AD45" s="779"/>
      <c r="AE45" s="779"/>
      <c r="AF45" s="779"/>
      <c r="AG45" s="804"/>
    </row>
    <row r="46" spans="1:33">
      <c r="A46" s="56" t="s">
        <v>149</v>
      </c>
      <c r="B46" s="522" t="s">
        <v>1252</v>
      </c>
      <c r="C46" s="779"/>
      <c r="D46" s="779"/>
      <c r="E46" s="6164" t="s">
        <v>1234</v>
      </c>
      <c r="F46" s="5569"/>
      <c r="G46" s="5569"/>
      <c r="H46" s="5569"/>
      <c r="I46" s="6165"/>
      <c r="J46" s="779"/>
      <c r="K46" s="779"/>
      <c r="L46" s="779"/>
      <c r="M46" s="779"/>
      <c r="N46" s="779"/>
      <c r="O46" s="779"/>
      <c r="P46" s="779"/>
      <c r="Q46" s="779"/>
      <c r="R46" s="779"/>
      <c r="S46" s="779"/>
      <c r="T46" s="779"/>
      <c r="U46" s="779"/>
      <c r="V46" s="779"/>
      <c r="W46" s="779"/>
      <c r="X46" s="779"/>
      <c r="Y46" s="779"/>
      <c r="Z46" s="779"/>
      <c r="AA46" s="779"/>
      <c r="AB46" s="779"/>
      <c r="AC46" s="779"/>
      <c r="AD46" s="779"/>
      <c r="AE46" s="779"/>
      <c r="AF46" s="779"/>
      <c r="AG46" s="804"/>
    </row>
  </sheetData>
  <mergeCells count="58">
    <mergeCell ref="A1:B1"/>
    <mergeCell ref="C1:AG1"/>
    <mergeCell ref="A2:B2"/>
    <mergeCell ref="A3:B3"/>
    <mergeCell ref="G19:Z19"/>
    <mergeCell ref="E11:I11"/>
    <mergeCell ref="AE11:AF11"/>
    <mergeCell ref="AE15:AF15"/>
    <mergeCell ref="C16:F16"/>
    <mergeCell ref="AE17:AF17"/>
    <mergeCell ref="E8:I8"/>
    <mergeCell ref="E9:I9"/>
    <mergeCell ref="AA9:AC9"/>
    <mergeCell ref="AE18:AF18"/>
    <mergeCell ref="A4:C4"/>
    <mergeCell ref="AE7:AF7"/>
    <mergeCell ref="T41:V41"/>
    <mergeCell ref="AA41:AC41"/>
    <mergeCell ref="E29:I29"/>
    <mergeCell ref="Z5:AD5"/>
    <mergeCell ref="E37:I37"/>
    <mergeCell ref="T37:V37"/>
    <mergeCell ref="Z6:AD6"/>
    <mergeCell ref="E7:I7"/>
    <mergeCell ref="E30:I30"/>
    <mergeCell ref="E40:I40"/>
    <mergeCell ref="T40:V40"/>
    <mergeCell ref="E38:I38"/>
    <mergeCell ref="E6:I6"/>
    <mergeCell ref="E10:I10"/>
    <mergeCell ref="O6:R6"/>
    <mergeCell ref="AE30:AF30"/>
    <mergeCell ref="AA27:AC27"/>
    <mergeCell ref="E20:I20"/>
    <mergeCell ref="T20:V20"/>
    <mergeCell ref="E22:I22"/>
    <mergeCell ref="AA25:AC25"/>
    <mergeCell ref="Q26:S26"/>
    <mergeCell ref="S27:W27"/>
    <mergeCell ref="E21:I21"/>
    <mergeCell ref="T21:V21"/>
    <mergeCell ref="AE21:AF21"/>
    <mergeCell ref="E46:I46"/>
    <mergeCell ref="E23:I23"/>
    <mergeCell ref="AA23:AC23"/>
    <mergeCell ref="Z37:AD37"/>
    <mergeCell ref="W38:AG38"/>
    <mergeCell ref="C32:L32"/>
    <mergeCell ref="AE35:AF35"/>
    <mergeCell ref="AE40:AF40"/>
    <mergeCell ref="E42:I42"/>
    <mergeCell ref="AA42:AC42"/>
    <mergeCell ref="E25:I25"/>
    <mergeCell ref="T25:V25"/>
    <mergeCell ref="AE29:AF29"/>
    <mergeCell ref="C36:D36"/>
    <mergeCell ref="E36:I36"/>
    <mergeCell ref="T36:V3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F99C3-2F67-4975-B94D-E5B452DA98ED}">
  <dimension ref="A1:E29"/>
  <sheetViews>
    <sheetView workbookViewId="0">
      <selection activeCell="C10" sqref="C10"/>
    </sheetView>
  </sheetViews>
  <sheetFormatPr defaultRowHeight="15"/>
  <cols>
    <col min="1" max="1" width="29.28515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SUM(COUNTIF('MAR STWO Watchbill REV 1'!$C$4:$AG$4,"0"))</f>
        <v>17</v>
      </c>
      <c r="C2">
        <f>B2*('Spreadsheet Key'!A27+'Spreadsheet Key'!A28)</f>
        <v>374</v>
      </c>
    </row>
    <row r="3" spans="1:5">
      <c r="A3" t="s">
        <v>1159</v>
      </c>
      <c r="B3">
        <f>SUM(COUNTIF('MAR STWO Watchbill REV 1'!$C$4:$AG$4,"1"))</f>
        <v>4</v>
      </c>
      <c r="C3">
        <f>B3*('Spreadsheet Key'!A29+'Spreadsheet Key'!A30)</f>
        <v>216</v>
      </c>
    </row>
    <row r="4" spans="1:5">
      <c r="A4" t="s">
        <v>1160</v>
      </c>
      <c r="B4">
        <f>SUM(COUNTIF('MAR STWO Watchbill REV 1'!$C$4:$AG$4,"2"))</f>
        <v>5</v>
      </c>
      <c r="C4">
        <f>B4*('Spreadsheet Key'!A30+'Spreadsheet Key'!A30)</f>
        <v>360</v>
      </c>
    </row>
    <row r="5" spans="1:5">
      <c r="A5" t="s">
        <v>1161</v>
      </c>
      <c r="B5">
        <f>SUM(COUNTIF('MAR STWO Watchbill REV 1'!$C$4:$AG$4,"3"))</f>
        <v>5</v>
      </c>
      <c r="C5">
        <f>B5*('Spreadsheet Key'!A30+'Spreadsheet Key'!A31)</f>
        <v>280</v>
      </c>
    </row>
    <row r="6" spans="1:5">
      <c r="A6" t="s">
        <v>571</v>
      </c>
      <c r="B6">
        <f>SUM(B2:B5)</f>
        <v>31</v>
      </c>
      <c r="C6">
        <f>SUM(C2:C5)</f>
        <v>1230</v>
      </c>
    </row>
    <row r="7" spans="1:5">
      <c r="A7" t="s">
        <v>1162</v>
      </c>
      <c r="B7">
        <f>2*B6/$B$14</f>
        <v>2</v>
      </c>
      <c r="C7">
        <f>C6/$B$14</f>
        <v>39.677419354838712</v>
      </c>
    </row>
    <row r="9" spans="1:5">
      <c r="A9" t="s">
        <v>1214</v>
      </c>
      <c r="C9">
        <v>111.935</v>
      </c>
      <c r="E9" t="s">
        <v>1223</v>
      </c>
    </row>
    <row r="10" spans="1:5">
      <c r="A10" s="3227" t="s">
        <v>1224</v>
      </c>
      <c r="C10">
        <f>C6-C9</f>
        <v>1118.0650000000001</v>
      </c>
    </row>
    <row r="13" spans="1:5">
      <c r="A13" t="s">
        <v>1163</v>
      </c>
      <c r="B13" t="s">
        <v>1164</v>
      </c>
    </row>
    <row r="14" spans="1:5">
      <c r="A14" t="s">
        <v>1117</v>
      </c>
      <c r="B14">
        <f>COUNTA('MAR STWO Watchbill REV 1'!A5:A66)</f>
        <v>31</v>
      </c>
      <c r="E14" t="s">
        <v>1165</v>
      </c>
    </row>
    <row r="15" spans="1:5">
      <c r="A15" t="s">
        <v>1225</v>
      </c>
      <c r="B15">
        <f>SUM('MAR STWO Watchbill REV 1'!AJ6:AJ66)</f>
        <v>749</v>
      </c>
    </row>
    <row r="16" spans="1:5">
      <c r="A16" t="s">
        <v>1226</v>
      </c>
      <c r="B16">
        <f>B14-B15</f>
        <v>-718</v>
      </c>
    </row>
    <row r="20" spans="1:3">
      <c r="A20" t="s">
        <v>1166</v>
      </c>
      <c r="B20" t="s">
        <v>1155</v>
      </c>
      <c r="C20" t="s">
        <v>1156</v>
      </c>
    </row>
    <row r="21" spans="1:3">
      <c r="A21" t="s">
        <v>1158</v>
      </c>
      <c r="B21">
        <f>SUM('MAR STWO Watchbill REV 1'!AK6:AK62)</f>
        <v>403</v>
      </c>
      <c r="C21">
        <f>B21*'Spreadsheet Key'!A23</f>
        <v>8866</v>
      </c>
    </row>
    <row r="22" spans="1:3">
      <c r="A22" t="s">
        <v>1159</v>
      </c>
      <c r="B22">
        <f>SUM('MAR STWO Watchbill REV 1'!AL6:AL62)</f>
        <v>96</v>
      </c>
      <c r="C22">
        <f>B22*'Spreadsheet Key'!A24</f>
        <v>5184</v>
      </c>
    </row>
    <row r="23" spans="1:3">
      <c r="A23" t="s">
        <v>1160</v>
      </c>
      <c r="B23">
        <f>SUM('MAR STWO Watchbill REV 1'!AM6:AM62)</f>
        <v>126</v>
      </c>
      <c r="C23">
        <f>B23*'Spreadsheet Key'!A25</f>
        <v>9072</v>
      </c>
    </row>
    <row r="24" spans="1:3">
      <c r="A24" t="s">
        <v>1161</v>
      </c>
      <c r="B24">
        <f>SUM('MAR STWO Watchbill REV 1'!AN6:AN62)</f>
        <v>124</v>
      </c>
      <c r="C24">
        <f>B24*'Spreadsheet Key'!A26</f>
        <v>6944</v>
      </c>
    </row>
    <row r="25" spans="1:3">
      <c r="A25" t="s">
        <v>571</v>
      </c>
      <c r="B25">
        <f>SUM(B21:B24)</f>
        <v>749</v>
      </c>
      <c r="C25">
        <f>SUM(C21:C24)</f>
        <v>30066</v>
      </c>
    </row>
    <row r="26" spans="1:3">
      <c r="A26" t="s">
        <v>1167</v>
      </c>
      <c r="B26">
        <f>B25/B14</f>
        <v>24.161290322580644</v>
      </c>
      <c r="C26">
        <f>C25/$B14</f>
        <v>969.87096774193549</v>
      </c>
    </row>
    <row r="28" spans="1:3">
      <c r="A28" t="s">
        <v>1227</v>
      </c>
      <c r="B28" cm="1">
        <f t="array" ref="B28">SUM('MAR STWO Watchbill REV 1'!AI6:AI66*'MAR STWO Watchbill REV 1'!AJ6:AJ66)</f>
        <v>135</v>
      </c>
    </row>
    <row r="29" spans="1:3">
      <c r="A29" t="s">
        <v>1228</v>
      </c>
      <c r="B29">
        <f>B25-B28</f>
        <v>614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DA92-C73E-4B8F-9BC0-8342B57ED184}">
  <dimension ref="A1:BF74"/>
  <sheetViews>
    <sheetView zoomScale="80" zoomScaleNormal="80" workbookViewId="0">
      <pane xSplit="2" topLeftCell="C1" activePane="topRight" state="frozen"/>
      <selection pane="topRight" activeCell="F55" sqref="F55:AF56"/>
    </sheetView>
  </sheetViews>
  <sheetFormatPr defaultRowHeight="15"/>
  <cols>
    <col min="1" max="1" width="7.85546875" bestFit="1" customWidth="1"/>
    <col min="2" max="2" width="12" bestFit="1" customWidth="1"/>
    <col min="36" max="36" width="17.85546875" bestFit="1" customWidth="1"/>
    <col min="37" max="37" width="15" bestFit="1" customWidth="1"/>
    <col min="38" max="38" width="25.7109375" bestFit="1" customWidth="1"/>
    <col min="39" max="39" width="16" bestFit="1" customWidth="1"/>
    <col min="40" max="40" width="17.7109375" bestFit="1" customWidth="1"/>
    <col min="41" max="41" width="20.85546875" bestFit="1" customWidth="1"/>
    <col min="42" max="42" width="12.28515625" bestFit="1" customWidth="1"/>
    <col min="43" max="43" width="29.140625" customWidth="1"/>
    <col min="44" max="44" width="15.42578125" bestFit="1" customWidth="1"/>
    <col min="46" max="46" width="12.85546875" bestFit="1" customWidth="1"/>
    <col min="47" max="47" width="14.42578125" bestFit="1" customWidth="1"/>
    <col min="48" max="48" width="10.28515625" bestFit="1" customWidth="1"/>
    <col min="49" max="49" width="20.7109375" bestFit="1" customWidth="1"/>
    <col min="50" max="50" width="12.42578125" bestFit="1" customWidth="1"/>
    <col min="51" max="51" width="13.7109375" bestFit="1" customWidth="1"/>
    <col min="52" max="52" width="18.28515625" bestFit="1" customWidth="1"/>
  </cols>
  <sheetData>
    <row r="1" spans="1:58">
      <c r="A1" s="6281"/>
      <c r="B1" s="6281"/>
      <c r="C1" s="6282" t="s">
        <v>1259</v>
      </c>
      <c r="D1" s="6282"/>
      <c r="E1" s="6282"/>
      <c r="F1" s="6282"/>
      <c r="G1" s="6282"/>
      <c r="H1" s="6282"/>
      <c r="I1" s="6282"/>
      <c r="J1" s="6282"/>
      <c r="K1" s="6282"/>
      <c r="L1" s="6282"/>
      <c r="M1" s="6282"/>
      <c r="N1" s="6282"/>
      <c r="O1" s="6282"/>
      <c r="P1" s="6282"/>
      <c r="Q1" s="6282"/>
      <c r="R1" s="6282"/>
      <c r="S1" s="6282"/>
      <c r="T1" s="6282"/>
      <c r="U1" s="6282"/>
      <c r="V1" s="6282"/>
      <c r="W1" s="6282"/>
      <c r="X1" s="6282"/>
      <c r="Y1" s="6282"/>
      <c r="Z1" s="6282"/>
      <c r="AA1" s="6282"/>
      <c r="AB1" s="6282"/>
      <c r="AC1" s="6282"/>
      <c r="AD1" s="6282"/>
      <c r="AE1" s="6282"/>
      <c r="AF1" s="6283"/>
      <c r="AG1" s="3126"/>
      <c r="AH1" s="3126"/>
      <c r="AI1" s="6143" t="s">
        <v>1113</v>
      </c>
      <c r="AJ1" s="6143"/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</row>
    <row r="2" spans="1:58">
      <c r="A2" s="6284"/>
      <c r="B2" s="6284"/>
      <c r="C2" s="3705">
        <v>1</v>
      </c>
      <c r="D2" s="3705">
        <v>2</v>
      </c>
      <c r="E2" s="3705">
        <v>3</v>
      </c>
      <c r="F2" s="3705">
        <v>4</v>
      </c>
      <c r="G2" s="3705">
        <v>5</v>
      </c>
      <c r="H2" s="3705">
        <v>6</v>
      </c>
      <c r="I2" s="3705">
        <v>7</v>
      </c>
      <c r="J2" s="3705">
        <v>8</v>
      </c>
      <c r="K2" s="3705">
        <v>9</v>
      </c>
      <c r="L2" s="3705">
        <v>10</v>
      </c>
      <c r="M2" s="3705">
        <v>11</v>
      </c>
      <c r="N2" s="3705">
        <v>12</v>
      </c>
      <c r="O2" s="3705">
        <v>13</v>
      </c>
      <c r="P2" s="3705">
        <v>14</v>
      </c>
      <c r="Q2" s="3705">
        <v>15</v>
      </c>
      <c r="R2" s="3705">
        <v>16</v>
      </c>
      <c r="S2" s="3705">
        <v>17</v>
      </c>
      <c r="T2" s="3705">
        <v>18</v>
      </c>
      <c r="U2" s="3705">
        <v>19</v>
      </c>
      <c r="V2" s="3705">
        <v>20</v>
      </c>
      <c r="W2" s="3705">
        <v>21</v>
      </c>
      <c r="X2" s="3705">
        <v>22</v>
      </c>
      <c r="Y2" s="3705">
        <v>23</v>
      </c>
      <c r="Z2" s="3705">
        <v>24</v>
      </c>
      <c r="AA2" s="3705">
        <v>25</v>
      </c>
      <c r="AB2" s="3705">
        <v>26</v>
      </c>
      <c r="AC2" s="3705">
        <v>27</v>
      </c>
      <c r="AD2" s="3705">
        <v>28</v>
      </c>
      <c r="AE2" s="3705">
        <v>29</v>
      </c>
      <c r="AF2" s="3176">
        <v>30</v>
      </c>
      <c r="AG2" s="3126"/>
      <c r="AH2" s="3126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</row>
    <row r="3" spans="1:58">
      <c r="A3" s="6285"/>
      <c r="B3" s="6285"/>
      <c r="C3" s="3177" t="s">
        <v>33</v>
      </c>
      <c r="D3" s="3177" t="s">
        <v>34</v>
      </c>
      <c r="E3" s="3706" t="s">
        <v>33</v>
      </c>
      <c r="F3" s="3706" t="s">
        <v>35</v>
      </c>
      <c r="G3" s="3178" t="s">
        <v>36</v>
      </c>
      <c r="H3" s="3178" t="s">
        <v>36</v>
      </c>
      <c r="I3" s="3177" t="s">
        <v>37</v>
      </c>
      <c r="J3" s="3177" t="s">
        <v>33</v>
      </c>
      <c r="K3" s="3706" t="s">
        <v>34</v>
      </c>
      <c r="L3" s="3706" t="s">
        <v>33</v>
      </c>
      <c r="M3" s="3706" t="s">
        <v>35</v>
      </c>
      <c r="N3" s="3178" t="s">
        <v>36</v>
      </c>
      <c r="O3" s="3178" t="s">
        <v>36</v>
      </c>
      <c r="P3" s="3177" t="s">
        <v>37</v>
      </c>
      <c r="Q3" s="3177" t="s">
        <v>33</v>
      </c>
      <c r="R3" s="3706" t="s">
        <v>34</v>
      </c>
      <c r="S3" s="3706" t="s">
        <v>33</v>
      </c>
      <c r="T3" s="3706" t="s">
        <v>35</v>
      </c>
      <c r="U3" s="3178" t="s">
        <v>36</v>
      </c>
      <c r="V3" s="3178" t="s">
        <v>36</v>
      </c>
      <c r="W3" s="3177" t="s">
        <v>37</v>
      </c>
      <c r="X3" s="3177" t="s">
        <v>33</v>
      </c>
      <c r="Y3" s="3706" t="s">
        <v>34</v>
      </c>
      <c r="Z3" s="3706" t="s">
        <v>33</v>
      </c>
      <c r="AA3" s="3706" t="s">
        <v>35</v>
      </c>
      <c r="AB3" s="3178" t="s">
        <v>36</v>
      </c>
      <c r="AC3" s="3178" t="s">
        <v>36</v>
      </c>
      <c r="AD3" s="3177" t="s">
        <v>37</v>
      </c>
      <c r="AE3" s="3177" t="s">
        <v>33</v>
      </c>
      <c r="AF3" s="3179" t="s">
        <v>34</v>
      </c>
      <c r="AG3" s="3126"/>
      <c r="AH3" s="3126"/>
      <c r="AI3" s="6146" t="s">
        <v>1115</v>
      </c>
      <c r="AJ3" s="6146"/>
      <c r="AK3" s="6146"/>
      <c r="AL3" s="6146"/>
      <c r="AM3" s="6146"/>
      <c r="AN3" s="6146"/>
      <c r="AO3" s="6146"/>
      <c r="AP3" s="6146"/>
      <c r="AQ3" s="6146"/>
      <c r="AR3" s="6146"/>
      <c r="AS3" s="283"/>
      <c r="AT3" s="6146" t="s">
        <v>1116</v>
      </c>
      <c r="AU3" s="6146"/>
      <c r="AV3" s="6146"/>
      <c r="AW3" s="6146"/>
      <c r="AX3" s="6146"/>
      <c r="AY3" s="6146"/>
      <c r="AZ3" s="6146"/>
      <c r="BA3" s="283"/>
      <c r="BB3" s="283" t="s">
        <v>1135</v>
      </c>
      <c r="BC3" s="283"/>
      <c r="BD3" s="283"/>
      <c r="BE3" s="283"/>
      <c r="BF3" s="283"/>
    </row>
    <row r="4" spans="1:58">
      <c r="A4" s="6220" t="s">
        <v>1117</v>
      </c>
      <c r="B4" s="6220"/>
      <c r="C4" s="3155">
        <v>0</v>
      </c>
      <c r="D4" s="3155">
        <v>0</v>
      </c>
      <c r="E4" s="3155">
        <v>0</v>
      </c>
      <c r="F4" s="3155">
        <v>1</v>
      </c>
      <c r="G4" s="3155">
        <v>2</v>
      </c>
      <c r="H4" s="3217">
        <v>3</v>
      </c>
      <c r="I4" s="3155">
        <v>0</v>
      </c>
      <c r="J4" s="3155">
        <v>0</v>
      </c>
      <c r="K4" s="3155">
        <v>0</v>
      </c>
      <c r="L4" s="3155">
        <v>0</v>
      </c>
      <c r="M4" s="3155">
        <v>1</v>
      </c>
      <c r="N4" s="3155">
        <v>2</v>
      </c>
      <c r="O4" s="3155">
        <v>3</v>
      </c>
      <c r="P4" s="3155">
        <v>0</v>
      </c>
      <c r="Q4" s="3155">
        <v>0</v>
      </c>
      <c r="R4" s="3155">
        <v>0</v>
      </c>
      <c r="S4" s="3155">
        <v>0</v>
      </c>
      <c r="T4" s="3155">
        <v>1</v>
      </c>
      <c r="U4" s="3155">
        <v>2</v>
      </c>
      <c r="V4" s="3155">
        <v>3</v>
      </c>
      <c r="W4" s="3155">
        <v>0</v>
      </c>
      <c r="X4" s="3155">
        <v>0</v>
      </c>
      <c r="Y4" s="3155">
        <v>0</v>
      </c>
      <c r="Z4" s="3155">
        <v>0</v>
      </c>
      <c r="AA4" s="3155">
        <v>1</v>
      </c>
      <c r="AB4" s="3155">
        <v>2</v>
      </c>
      <c r="AC4" s="3155">
        <v>3</v>
      </c>
      <c r="AD4" s="3155">
        <v>0</v>
      </c>
      <c r="AE4" s="3155">
        <v>0</v>
      </c>
      <c r="AF4" s="3155">
        <v>0</v>
      </c>
      <c r="AG4" s="3126"/>
      <c r="AH4" s="3126"/>
      <c r="AI4" s="283" t="s">
        <v>1118</v>
      </c>
      <c r="AJ4" s="283" t="s">
        <v>1119</v>
      </c>
      <c r="AK4" s="283" t="s">
        <v>1120</v>
      </c>
      <c r="AL4" s="283" t="s">
        <v>1121</v>
      </c>
      <c r="AM4" s="283" t="s">
        <v>1122</v>
      </c>
      <c r="AN4" s="283" t="s">
        <v>1123</v>
      </c>
      <c r="AO4" s="283" t="s">
        <v>1124</v>
      </c>
      <c r="AP4" s="283" t="s">
        <v>1125</v>
      </c>
      <c r="AQ4" s="283" t="s">
        <v>1126</v>
      </c>
      <c r="AR4" s="283" t="s">
        <v>1127</v>
      </c>
      <c r="AS4" s="283"/>
      <c r="AT4" s="283" t="s">
        <v>1128</v>
      </c>
      <c r="AU4" s="283" t="s">
        <v>1129</v>
      </c>
      <c r="AV4" s="283" t="s">
        <v>1130</v>
      </c>
      <c r="AW4" s="283" t="s">
        <v>1131</v>
      </c>
      <c r="AX4" s="283" t="s">
        <v>1132</v>
      </c>
      <c r="AY4" s="283" t="s">
        <v>1133</v>
      </c>
      <c r="AZ4" s="283" t="s">
        <v>1134</v>
      </c>
      <c r="BA4" s="283"/>
      <c r="BB4" s="283"/>
      <c r="BC4" s="283"/>
      <c r="BD4" s="283"/>
      <c r="BE4" s="283"/>
      <c r="BF4" s="283"/>
    </row>
    <row r="5" spans="1:58">
      <c r="A5" s="3180"/>
      <c r="B5" s="3180"/>
      <c r="C5" s="6286" t="s">
        <v>482</v>
      </c>
      <c r="D5" s="6286"/>
      <c r="E5" s="6286"/>
      <c r="F5" s="6286"/>
      <c r="G5" s="3181"/>
      <c r="H5" s="3155"/>
      <c r="I5" s="3181"/>
      <c r="J5" s="3181"/>
      <c r="K5" s="3181"/>
      <c r="L5" s="3182" t="s">
        <v>720</v>
      </c>
      <c r="M5" s="3181"/>
      <c r="N5" s="3181"/>
      <c r="O5" s="3181"/>
      <c r="P5" s="3181"/>
      <c r="Q5" s="3182" t="s">
        <v>722</v>
      </c>
      <c r="R5" s="3181"/>
      <c r="S5" s="3181"/>
      <c r="T5" s="3181"/>
      <c r="U5" s="3182"/>
      <c r="V5" s="3181"/>
      <c r="W5" s="3183" t="s">
        <v>1025</v>
      </c>
      <c r="X5" s="6269" t="s">
        <v>667</v>
      </c>
      <c r="Y5" s="6269"/>
      <c r="Z5" s="6269"/>
      <c r="AA5" s="3183" t="s">
        <v>1025</v>
      </c>
      <c r="AB5" s="3181"/>
      <c r="AC5" s="3181"/>
      <c r="AD5" s="3181"/>
      <c r="AE5" s="3181"/>
      <c r="AF5" s="3181"/>
      <c r="AG5" s="3126"/>
      <c r="AH5" s="3126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</row>
    <row r="6" spans="1:58" s="3202" customFormat="1">
      <c r="A6" s="3180" t="s">
        <v>561</v>
      </c>
      <c r="B6" s="3180" t="s">
        <v>718</v>
      </c>
      <c r="C6" s="3198">
        <v>1</v>
      </c>
      <c r="D6" s="3198">
        <v>2</v>
      </c>
      <c r="E6" s="3198">
        <v>2</v>
      </c>
      <c r="F6" s="3198">
        <v>3</v>
      </c>
      <c r="G6" s="3199">
        <v>0</v>
      </c>
      <c r="H6" s="3199">
        <v>0</v>
      </c>
      <c r="I6" s="3199">
        <v>0</v>
      </c>
      <c r="J6" s="3199">
        <v>0</v>
      </c>
      <c r="K6" s="3199">
        <v>0</v>
      </c>
      <c r="L6" s="3199">
        <v>8</v>
      </c>
      <c r="M6" s="3199">
        <v>0</v>
      </c>
      <c r="N6" s="3199">
        <v>0</v>
      </c>
      <c r="O6" s="3199">
        <v>0</v>
      </c>
      <c r="P6" s="3199">
        <v>0</v>
      </c>
      <c r="Q6" s="3199">
        <v>9</v>
      </c>
      <c r="R6" s="3199">
        <v>0</v>
      </c>
      <c r="S6" s="3199">
        <v>0</v>
      </c>
      <c r="T6" s="3199">
        <v>0</v>
      </c>
      <c r="U6" s="3199">
        <v>0</v>
      </c>
      <c r="V6" s="3199">
        <v>0</v>
      </c>
      <c r="W6" s="3199">
        <v>1</v>
      </c>
      <c r="X6" s="3199">
        <v>2</v>
      </c>
      <c r="Y6" s="3199">
        <v>2</v>
      </c>
      <c r="Z6" s="3199">
        <v>2</v>
      </c>
      <c r="AA6" s="3199">
        <v>3</v>
      </c>
      <c r="AB6" s="3199">
        <v>0</v>
      </c>
      <c r="AC6" s="3199">
        <v>0</v>
      </c>
      <c r="AD6" s="3199">
        <v>0</v>
      </c>
      <c r="AE6" s="3199">
        <v>0</v>
      </c>
      <c r="AF6" s="3199">
        <v>0</v>
      </c>
      <c r="AG6" s="3200"/>
      <c r="AH6" s="3200"/>
      <c r="AI6" s="283" cm="1">
        <f t="array" ref="AI6">SUM(COUNTIFS($C6:$AG6,{"0","4","5","6","7","8","9"}))</f>
        <v>21</v>
      </c>
      <c r="AJ6" s="283" cm="1">
        <f t="array" ref="AJ6">SUM(COUNTIFS($C6:$AG6,{"0","4","5","6","7","8","9"},$C$4:$AG$4,"0"))</f>
        <v>11</v>
      </c>
      <c r="AK6" s="283" cm="1">
        <f t="array" ref="AK6">SUM(COUNTIFS($C6:$AG6,{"0","4","5","6","7","8","9"},$C$4:$AG$4,"1"))</f>
        <v>2</v>
      </c>
      <c r="AL6" s="283" cm="1">
        <f t="array" ref="AL6">SUM(COUNTIFS($C6:$AG6,{"0","4","5","6","7","8","9"},$C$4:$AG$4,"2"))</f>
        <v>4</v>
      </c>
      <c r="AM6" s="283" cm="1">
        <f t="array" ref="AM6">SUM(COUNTIFS($C6:$AG6,{"0","4","5","6","7","8","9"},$C$4:$AG$4,"3"))</f>
        <v>4</v>
      </c>
      <c r="AN6" s="283" cm="1">
        <f t="array" ref="AN6">SUM(COUNTIFS($C6:$AG6,{"1","2","3"}))</f>
        <v>9</v>
      </c>
      <c r="AO6" s="283" cm="1">
        <f t="array" ref="AO6">SUM(COUNTIFS($C6:$AG6,{"4","5","6"}))</f>
        <v>0</v>
      </c>
      <c r="AP6" s="283">
        <f>AJ6*'Spreadsheet Key'!$A$23 + AK6*'Spreadsheet Key'!$A$24 + AL6*'Spreadsheet Key'!$A$25 + AM6*'Spreadsheet Key'!$A$26</f>
        <v>862</v>
      </c>
      <c r="AQ6" s="283">
        <f>AI6/('APR Statistics'!$B$24)</f>
        <v>3.2967032967032968E-2</v>
      </c>
      <c r="AR6" s="283">
        <f>AQ6*'APR Statistics'!$C$6</f>
        <v>38.703296703296701</v>
      </c>
      <c r="AS6" s="283"/>
      <c r="AT6" s="283">
        <f>COUNTIFS($C6:$AG6,"8",$C$4:$AG$4,"0")</f>
        <v>1</v>
      </c>
      <c r="AU6" s="283">
        <f>COUNTIFS($C6:$AG6,"9",$C$4:$AG$4,"0")</f>
        <v>1</v>
      </c>
      <c r="AV6" s="283">
        <f>COUNTIFS($C6:$AG6,"8",$C$4:$AG$4,"1")</f>
        <v>0</v>
      </c>
      <c r="AW6" s="283" cm="1">
        <f t="array" ref="AW6">COUNTIFS($C6:$AG6,"9",$C$4:$AG$4,"1")+SUM(COUNTIFS($C6:$AG6,{"8","9"},$C$4:$AG$4,"2"))+COUNTIFS($C6:$AG6,"8",$C$4:$AG$4,"3")</f>
        <v>0</v>
      </c>
      <c r="AX6" s="283">
        <f>COUNTIFS($C6:$AG6,"9",$C$4:$AG$4,"3")</f>
        <v>0</v>
      </c>
      <c r="AY6" s="283">
        <f>SUM(AT6:AX6)</f>
        <v>2</v>
      </c>
      <c r="AZ6" s="283">
        <f>AT6*'Spreadsheet Key'!$A$27+AU6*'Spreadsheet Key'!$A$28+AV6*'Spreadsheet Key'!$A$29+AW6*'Spreadsheet Key'!$A$30+AX6*'Spreadsheet Key'!$A$31</f>
        <v>22</v>
      </c>
      <c r="BA6" s="283"/>
      <c r="BB6" s="283">
        <f>AR6-AZ6</f>
        <v>16.703296703296701</v>
      </c>
      <c r="BC6" s="3201"/>
      <c r="BD6" s="3201"/>
      <c r="BE6" s="3201"/>
      <c r="BF6" s="3201"/>
    </row>
    <row r="7" spans="1:58">
      <c r="A7" s="3197"/>
      <c r="B7" s="3197"/>
      <c r="C7" s="6270" t="s">
        <v>1231</v>
      </c>
      <c r="D7" s="6270"/>
      <c r="E7" s="3183" t="s">
        <v>1025</v>
      </c>
      <c r="F7" s="3181"/>
      <c r="G7" s="3181"/>
      <c r="H7" s="3181"/>
      <c r="I7" s="3181"/>
      <c r="J7" s="3182" t="s">
        <v>722</v>
      </c>
      <c r="K7" s="3181"/>
      <c r="L7" s="3181"/>
      <c r="M7" s="3181"/>
      <c r="N7" s="3181"/>
      <c r="O7" s="3181"/>
      <c r="P7" s="3181"/>
      <c r="Q7" s="3181"/>
      <c r="R7" s="3181"/>
      <c r="S7" s="3181"/>
      <c r="T7" s="3181"/>
      <c r="U7" s="3181"/>
      <c r="V7" s="3182" t="s">
        <v>720</v>
      </c>
      <c r="W7" s="3181"/>
      <c r="X7" s="3181"/>
      <c r="Y7" s="3181"/>
      <c r="Z7" s="3181"/>
      <c r="AA7" s="3181"/>
      <c r="AB7" s="3181"/>
      <c r="AC7" s="3181"/>
      <c r="AD7" s="3181"/>
      <c r="AE7" s="3181"/>
      <c r="AF7" s="3218" t="s">
        <v>720</v>
      </c>
      <c r="AG7" s="3126"/>
      <c r="AH7" s="3126"/>
      <c r="AI7" s="283" cm="1">
        <f t="array" ref="AI7">SUM(COUNTIFS($C7:$AG7,{"0","4","5","6","7","8","9"}))</f>
        <v>0</v>
      </c>
      <c r="AJ7" s="283" cm="1">
        <f t="array" ref="AJ7">SUM(COUNTIFS($C7:$AG7,{"0","4","5","6","7","8","9"},$C$4:$AG$4,"0"))</f>
        <v>0</v>
      </c>
      <c r="AK7" s="283" cm="1">
        <f t="array" ref="AK7">SUM(COUNTIFS($C7:$AG7,{"0","4","5","6","7","8","9"},$C$4:$AG$4,"1"))</f>
        <v>0</v>
      </c>
      <c r="AL7" s="283" cm="1">
        <f t="array" ref="AL7">SUM(COUNTIFS($C7:$AG7,{"0","4","5","6","7","8","9"},$C$4:$AG$4,"2"))</f>
        <v>0</v>
      </c>
      <c r="AM7" s="283" cm="1">
        <f t="array" ref="AM7">SUM(COUNTIFS($C7:$AG7,{"0","4","5","6","7","8","9"},$C$4:$AG$4,"3"))</f>
        <v>0</v>
      </c>
      <c r="AN7" s="283" cm="1">
        <f t="array" ref="AN7">SUM(COUNTIFS($C7:$AG7,{"1","2","3"}))</f>
        <v>0</v>
      </c>
      <c r="AO7" s="283" cm="1">
        <f t="array" ref="AO7">SUM(COUNTIFS($C7:$AG7,{"4","5","6"}))</f>
        <v>0</v>
      </c>
      <c r="AP7" s="283">
        <f>AJ7*'Spreadsheet Key'!$A$23 + AK7*'Spreadsheet Key'!$A$24 + AL7*'Spreadsheet Key'!$A$25 + AM7*'Spreadsheet Key'!$A$26</f>
        <v>0</v>
      </c>
      <c r="AQ7" s="283">
        <f>AI7/('APR Statistics'!$B$24)</f>
        <v>0</v>
      </c>
      <c r="AR7" s="283">
        <f>AQ7*'APR Statistics'!$C$6</f>
        <v>0</v>
      </c>
      <c r="AS7" s="283"/>
      <c r="AT7" s="283">
        <f t="shared" ref="AT7:AT68" si="0">COUNTIFS($C7:$AG7,"8",$C$4:$AG$4,"0")</f>
        <v>0</v>
      </c>
      <c r="AU7" s="283">
        <f t="shared" ref="AU7:AU68" si="1">COUNTIFS($C7:$AG7,"9",$C$4:$AG$4,"0")</f>
        <v>0</v>
      </c>
      <c r="AV7" s="283">
        <f t="shared" ref="AV7:AV68" si="2">COUNTIFS($C7:$AG7,"8",$C$4:$AG$4,"1")</f>
        <v>0</v>
      </c>
      <c r="AW7" s="283" cm="1">
        <f t="array" ref="AW7">COUNTIFS($C7:$AG7,"9",$C$4:$AG$4,"1")+SUM(COUNTIFS($C7:$AG7,{"8","9"},$C$4:$AG$4,"2"))+COUNTIFS($C7:$AG7,"8",$C$4:$AG$4,"3")</f>
        <v>0</v>
      </c>
      <c r="AX7" s="283">
        <f t="shared" ref="AX7:AX68" si="3">COUNTIFS($C7:$AG7,"9",$C$4:$AG$4,"3")</f>
        <v>0</v>
      </c>
      <c r="AY7" s="283">
        <f t="shared" ref="AY7:AY55" si="4">SUM(AT7:AX7)</f>
        <v>0</v>
      </c>
      <c r="AZ7" s="283">
        <f>AT7*'Spreadsheet Key'!$A$27+AU7*'Spreadsheet Key'!$A$28+AV7*'Spreadsheet Key'!$A$29+AW7*'Spreadsheet Key'!$A$30+AX7*'Spreadsheet Key'!$A$31</f>
        <v>0</v>
      </c>
      <c r="BA7" s="283"/>
      <c r="BB7" s="283"/>
      <c r="BC7" s="283"/>
      <c r="BD7" s="283"/>
      <c r="BE7" s="283"/>
      <c r="BF7" s="283"/>
    </row>
    <row r="8" spans="1:58" s="3211" customFormat="1">
      <c r="A8" s="3180" t="s">
        <v>326</v>
      </c>
      <c r="B8" s="3180" t="s">
        <v>327</v>
      </c>
      <c r="C8" s="3199">
        <v>2</v>
      </c>
      <c r="D8" s="3199">
        <v>2</v>
      </c>
      <c r="E8" s="3199">
        <v>3</v>
      </c>
      <c r="F8" s="3199">
        <v>0</v>
      </c>
      <c r="G8" s="3199">
        <v>0</v>
      </c>
      <c r="H8" s="3199">
        <v>0</v>
      </c>
      <c r="I8" s="3199">
        <v>0</v>
      </c>
      <c r="J8" s="3199">
        <v>9</v>
      </c>
      <c r="K8" s="3199">
        <v>0</v>
      </c>
      <c r="L8" s="3199">
        <v>0</v>
      </c>
      <c r="M8" s="3199">
        <v>0</v>
      </c>
      <c r="N8" s="3199">
        <v>0</v>
      </c>
      <c r="O8" s="3199">
        <v>0</v>
      </c>
      <c r="P8" s="3199">
        <v>0</v>
      </c>
      <c r="Q8" s="3199">
        <v>0</v>
      </c>
      <c r="R8" s="3199">
        <v>0</v>
      </c>
      <c r="S8" s="3199">
        <v>0</v>
      </c>
      <c r="T8" s="3199">
        <v>0</v>
      </c>
      <c r="U8" s="3199">
        <v>0</v>
      </c>
      <c r="V8" s="3199">
        <v>8</v>
      </c>
      <c r="W8" s="3199">
        <v>0</v>
      </c>
      <c r="X8" s="3199">
        <v>0</v>
      </c>
      <c r="Y8" s="3199">
        <v>0</v>
      </c>
      <c r="Z8" s="3199">
        <v>0</v>
      </c>
      <c r="AA8" s="3199">
        <v>0</v>
      </c>
      <c r="AB8" s="3199">
        <v>0</v>
      </c>
      <c r="AC8" s="3199">
        <v>0</v>
      </c>
      <c r="AD8" s="3199">
        <v>0</v>
      </c>
      <c r="AE8" s="3199">
        <v>0</v>
      </c>
      <c r="AF8" s="3199">
        <v>8</v>
      </c>
      <c r="AG8" s="3209"/>
      <c r="AH8" s="3209"/>
      <c r="AI8" s="283" cm="1">
        <f t="array" ref="AI8">SUM(COUNTIFS($C8:$AG8,{"0","4","5","6","7","8","9"}))</f>
        <v>27</v>
      </c>
      <c r="AJ8" s="283" cm="1">
        <f t="array" ref="AJ8">SUM(COUNTIFS($C8:$AG8,{"0","4","5","6","7","8","9"},$C$4:$AG$4,"0"))</f>
        <v>15</v>
      </c>
      <c r="AK8" s="283" cm="1">
        <f t="array" ref="AK8">SUM(COUNTIFS($C8:$AG8,{"0","4","5","6","7","8","9"},$C$4:$AG$4,"1"))</f>
        <v>4</v>
      </c>
      <c r="AL8" s="283" cm="1">
        <f t="array" ref="AL8">SUM(COUNTIFS($C8:$AG8,{"0","4","5","6","7","8","9"},$C$4:$AG$4,"2"))</f>
        <v>4</v>
      </c>
      <c r="AM8" s="283" cm="1">
        <f t="array" ref="AM8">SUM(COUNTIFS($C8:$AG8,{"0","4","5","6","7","8","9"},$C$4:$AG$4,"3"))</f>
        <v>4</v>
      </c>
      <c r="AN8" s="283" cm="1">
        <f t="array" ref="AN8">SUM(COUNTIFS($C8:$AG8,{"1","2","3"}))</f>
        <v>3</v>
      </c>
      <c r="AO8" s="283" cm="1">
        <f t="array" ref="AO8">SUM(COUNTIFS($C8:$AG8,{"4","5","6"}))</f>
        <v>0</v>
      </c>
      <c r="AP8" s="283">
        <f>AJ8*'Spreadsheet Key'!$A$23 + AK8*'Spreadsheet Key'!$A$24 + AL8*'Spreadsheet Key'!$A$25 + AM8*'Spreadsheet Key'!$A$26</f>
        <v>1058</v>
      </c>
      <c r="AQ8" s="283">
        <f>AI8/('APR Statistics'!$B$24)</f>
        <v>4.2386185243328101E-2</v>
      </c>
      <c r="AR8" s="283">
        <f>AQ8*'APR Statistics'!$C$6</f>
        <v>49.761381475667193</v>
      </c>
      <c r="AS8" s="283"/>
      <c r="AT8" s="283">
        <f t="shared" si="0"/>
        <v>1</v>
      </c>
      <c r="AU8" s="283">
        <f t="shared" si="1"/>
        <v>1</v>
      </c>
      <c r="AV8" s="283">
        <f t="shared" si="2"/>
        <v>0</v>
      </c>
      <c r="AW8" s="283" cm="1">
        <f t="array" ref="AW8">COUNTIFS($C8:$AG8,"9",$C$4:$AG$4,"1")+SUM(COUNTIFS($C8:$AG8,{"8","9"},$C$4:$AG$4,"2"))+COUNTIFS($C8:$AG8,"8",$C$4:$AG$4,"3")</f>
        <v>1</v>
      </c>
      <c r="AX8" s="283">
        <f t="shared" si="3"/>
        <v>0</v>
      </c>
      <c r="AY8" s="283">
        <f t="shared" si="4"/>
        <v>3</v>
      </c>
      <c r="AZ8" s="283">
        <f>AT8*'Spreadsheet Key'!$A$27+AU8*'Spreadsheet Key'!$A$28+AV8*'Spreadsheet Key'!$A$29+AW8*'Spreadsheet Key'!$A$30+AX8*'Spreadsheet Key'!$A$31</f>
        <v>58</v>
      </c>
      <c r="BA8" s="283"/>
      <c r="BB8" s="283">
        <f t="shared" ref="BB8" si="5">AR8-AZ8</f>
        <v>-8.2386185243328072</v>
      </c>
      <c r="BC8" s="3210"/>
      <c r="BD8" s="3210"/>
      <c r="BE8" s="3210"/>
      <c r="BF8" s="3210"/>
    </row>
    <row r="9" spans="1:58">
      <c r="A9" s="3208"/>
      <c r="B9" s="3208"/>
      <c r="C9" s="6267" t="s">
        <v>1260</v>
      </c>
      <c r="D9" s="6267"/>
      <c r="E9" s="3183" t="s">
        <v>1025</v>
      </c>
      <c r="F9" s="3181"/>
      <c r="G9" s="3183" t="s">
        <v>1025</v>
      </c>
      <c r="H9" s="3183" t="s">
        <v>1025</v>
      </c>
      <c r="I9" s="6276" t="s">
        <v>1261</v>
      </c>
      <c r="J9" s="6277"/>
      <c r="K9" s="6277"/>
      <c r="L9" s="6277"/>
      <c r="M9" s="6277"/>
      <c r="N9" s="3183" t="s">
        <v>1025</v>
      </c>
      <c r="O9" s="3183" t="s">
        <v>1025</v>
      </c>
      <c r="P9" s="3181"/>
      <c r="Q9" s="3181"/>
      <c r="R9" s="3181"/>
      <c r="S9" s="3181"/>
      <c r="T9" s="3181"/>
      <c r="U9" s="3182" t="s">
        <v>720</v>
      </c>
      <c r="V9" s="3181"/>
      <c r="W9" s="3181"/>
      <c r="X9" s="6276" t="s">
        <v>1262</v>
      </c>
      <c r="Y9" s="6276"/>
      <c r="Z9" s="6276"/>
      <c r="AA9" s="6276"/>
      <c r="AB9" s="6276"/>
      <c r="AC9" s="6276"/>
      <c r="AD9" s="3181"/>
      <c r="AE9" s="3182" t="s">
        <v>722</v>
      </c>
      <c r="AF9" s="3181"/>
      <c r="AG9" s="3126"/>
      <c r="AH9" s="3126"/>
      <c r="AI9" s="283" cm="1">
        <f t="array" ref="AI9">SUM(COUNTIFS($C9:$AG9,{"0","4","5","6","7","8","9"}))</f>
        <v>0</v>
      </c>
      <c r="AJ9" s="283" cm="1">
        <f t="array" ref="AJ9">SUM(COUNTIFS($C9:$AG9,{"0","4","5","6","7","8","9"},$C$4:$AG$4,"0"))</f>
        <v>0</v>
      </c>
      <c r="AK9" s="283" cm="1">
        <f t="array" ref="AK9">SUM(COUNTIFS($C9:$AG9,{"0","4","5","6","7","8","9"},$C$4:$AG$4,"1"))</f>
        <v>0</v>
      </c>
      <c r="AL9" s="283" cm="1">
        <f t="array" ref="AL9">SUM(COUNTIFS($C9:$AG9,{"0","4","5","6","7","8","9"},$C$4:$AG$4,"2"))</f>
        <v>0</v>
      </c>
      <c r="AM9" s="283" cm="1">
        <f t="array" ref="AM9">SUM(COUNTIFS($C9:$AG9,{"0","4","5","6","7","8","9"},$C$4:$AG$4,"3"))</f>
        <v>0</v>
      </c>
      <c r="AN9" s="283" cm="1">
        <f t="array" ref="AN9">SUM(COUNTIFS($C9:$AG9,{"1","2","3"}))</f>
        <v>0</v>
      </c>
      <c r="AO9" s="283" cm="1">
        <f t="array" ref="AO9">SUM(COUNTIFS($C9:$AG9,{"4","5","6"}))</f>
        <v>0</v>
      </c>
      <c r="AP9" s="283">
        <f>AJ9*'Spreadsheet Key'!$A$23 + AK9*'Spreadsheet Key'!$A$24 + AL9*'Spreadsheet Key'!$A$25 + AM9*'Spreadsheet Key'!$A$26</f>
        <v>0</v>
      </c>
      <c r="AQ9" s="283">
        <f>AI9/('APR Statistics'!$B$24)</f>
        <v>0</v>
      </c>
      <c r="AR9" s="283">
        <f>AQ9*'APR Statistics'!$C$6</f>
        <v>0</v>
      </c>
      <c r="AS9" s="283"/>
      <c r="AT9" s="283">
        <f t="shared" si="0"/>
        <v>0</v>
      </c>
      <c r="AU9" s="283">
        <f t="shared" si="1"/>
        <v>0</v>
      </c>
      <c r="AV9" s="283">
        <f t="shared" si="2"/>
        <v>0</v>
      </c>
      <c r="AW9" s="283" cm="1">
        <f t="array" ref="AW9">COUNTIFS($C9:$AG9,"9",$C$4:$AG$4,"1")+SUM(COUNTIFS($C9:$AG9,{"8","9"},$C$4:$AG$4,"2"))+COUNTIFS($C9:$AG9,"8",$C$4:$AG$4,"3")</f>
        <v>0</v>
      </c>
      <c r="AX9" s="283">
        <f t="shared" si="3"/>
        <v>0</v>
      </c>
      <c r="AY9" s="283">
        <f t="shared" si="4"/>
        <v>0</v>
      </c>
      <c r="AZ9" s="283">
        <f>AT9*'Spreadsheet Key'!$A$27+AU9*'Spreadsheet Key'!$A$28+AV9*'Spreadsheet Key'!$A$29+AW9*'Spreadsheet Key'!$A$30+AX9*'Spreadsheet Key'!$A$31</f>
        <v>0</v>
      </c>
      <c r="BA9" s="283"/>
      <c r="BB9" s="283"/>
      <c r="BC9" s="283"/>
      <c r="BD9" s="283"/>
      <c r="BE9" s="283"/>
      <c r="BF9" s="283"/>
    </row>
    <row r="10" spans="1:58" s="3211" customFormat="1">
      <c r="A10" s="3180" t="s">
        <v>606</v>
      </c>
      <c r="B10" s="3180" t="s">
        <v>98</v>
      </c>
      <c r="C10" s="3199">
        <v>2</v>
      </c>
      <c r="D10" s="3199">
        <v>2</v>
      </c>
      <c r="E10" s="3199">
        <v>3</v>
      </c>
      <c r="F10" s="3199">
        <v>0</v>
      </c>
      <c r="G10" s="3199">
        <v>1</v>
      </c>
      <c r="H10" s="3199">
        <v>1</v>
      </c>
      <c r="I10" s="3199">
        <v>2</v>
      </c>
      <c r="J10" s="3199">
        <v>2</v>
      </c>
      <c r="K10" s="3199">
        <v>2</v>
      </c>
      <c r="L10" s="3199">
        <v>2</v>
      </c>
      <c r="M10" s="3199">
        <v>2</v>
      </c>
      <c r="N10" s="3199">
        <v>3</v>
      </c>
      <c r="O10" s="3199">
        <v>3</v>
      </c>
      <c r="P10" s="3199">
        <v>0</v>
      </c>
      <c r="Q10" s="3199">
        <v>0</v>
      </c>
      <c r="R10" s="3199">
        <v>0</v>
      </c>
      <c r="S10" s="3199">
        <v>0</v>
      </c>
      <c r="T10" s="3199">
        <v>0</v>
      </c>
      <c r="U10" s="3199">
        <v>8</v>
      </c>
      <c r="V10" s="3199">
        <v>0</v>
      </c>
      <c r="W10" s="3199">
        <v>0</v>
      </c>
      <c r="X10" s="3199">
        <v>1</v>
      </c>
      <c r="Y10" s="3199">
        <v>2</v>
      </c>
      <c r="Z10" s="3199">
        <v>2</v>
      </c>
      <c r="AA10" s="3199">
        <v>2</v>
      </c>
      <c r="AB10" s="3199">
        <v>2</v>
      </c>
      <c r="AC10" s="3199">
        <v>3</v>
      </c>
      <c r="AD10" s="3199">
        <v>0</v>
      </c>
      <c r="AE10" s="3199">
        <v>9</v>
      </c>
      <c r="AF10" s="3199">
        <v>0</v>
      </c>
      <c r="AG10" s="3209"/>
      <c r="AH10" s="3209"/>
      <c r="AI10" s="283" cm="1">
        <f t="array" ref="AI10">SUM(COUNTIFS($C10:$AG10,{"0","4","5","6","7","8","9"}))</f>
        <v>12</v>
      </c>
      <c r="AJ10" s="283" cm="1">
        <f t="array" ref="AJ10">SUM(COUNTIFS($C10:$AG10,{"0","4","5","6","7","8","9"},$C$4:$AG$4,"0"))</f>
        <v>8</v>
      </c>
      <c r="AK10" s="283" cm="1">
        <f t="array" ref="AK10">SUM(COUNTIFS($C10:$AG10,{"0","4","5","6","7","8","9"},$C$4:$AG$4,"1"))</f>
        <v>2</v>
      </c>
      <c r="AL10" s="283" cm="1">
        <f t="array" ref="AL10">SUM(COUNTIFS($C10:$AG10,{"0","4","5","6","7","8","9"},$C$4:$AG$4,"2"))</f>
        <v>1</v>
      </c>
      <c r="AM10" s="283" cm="1">
        <f t="array" ref="AM10">SUM(COUNTIFS($C10:$AG10,{"0","4","5","6","7","8","9"},$C$4:$AG$4,"3"))</f>
        <v>1</v>
      </c>
      <c r="AN10" s="283" cm="1">
        <f t="array" ref="AN10">SUM(COUNTIFS($C10:$AG10,{"1","2","3"}))</f>
        <v>18</v>
      </c>
      <c r="AO10" s="283" cm="1">
        <f t="array" ref="AO10">SUM(COUNTIFS($C10:$AG10,{"4","5","6"}))</f>
        <v>0</v>
      </c>
      <c r="AP10" s="283">
        <f>AJ10*'Spreadsheet Key'!$A$23 + AK10*'Spreadsheet Key'!$A$24 + AL10*'Spreadsheet Key'!$A$25 + AM10*'Spreadsheet Key'!$A$26</f>
        <v>412</v>
      </c>
      <c r="AQ10" s="283">
        <f>AI10/('APR Statistics'!$B$24)</f>
        <v>1.8838304552590265E-2</v>
      </c>
      <c r="AR10" s="283">
        <f>AQ10*'APR Statistics'!$C$6</f>
        <v>22.11616954474097</v>
      </c>
      <c r="AS10" s="283"/>
      <c r="AT10" s="283">
        <f t="shared" si="0"/>
        <v>0</v>
      </c>
      <c r="AU10" s="283">
        <f t="shared" si="1"/>
        <v>1</v>
      </c>
      <c r="AV10" s="283">
        <f t="shared" si="2"/>
        <v>0</v>
      </c>
      <c r="AW10" s="283" cm="1">
        <f t="array" ref="AW10">COUNTIFS($C10:$AG10,"9",$C$4:$AG$4,"1")+SUM(COUNTIFS($C10:$AG10,{"8","9"},$C$4:$AG$4,"2"))+COUNTIFS($C10:$AG10,"8",$C$4:$AG$4,"3")</f>
        <v>1</v>
      </c>
      <c r="AX10" s="283">
        <f t="shared" si="3"/>
        <v>0</v>
      </c>
      <c r="AY10" s="283">
        <f t="shared" si="4"/>
        <v>2</v>
      </c>
      <c r="AZ10" s="283">
        <f>AT10*'Spreadsheet Key'!$A$27+AU10*'Spreadsheet Key'!$A$28+AV10*'Spreadsheet Key'!$A$29+AW10*'Spreadsheet Key'!$A$30+AX10*'Spreadsheet Key'!$A$31</f>
        <v>48</v>
      </c>
      <c r="BA10" s="283"/>
      <c r="BB10" s="283">
        <f t="shared" ref="BB10" si="6">AR10-AZ10</f>
        <v>-25.88383045525903</v>
      </c>
      <c r="BC10" s="3210"/>
      <c r="BD10" s="3210"/>
      <c r="BE10" s="3210"/>
      <c r="BF10" s="3210"/>
    </row>
    <row r="11" spans="1:58">
      <c r="A11" s="3208"/>
      <c r="B11" s="3208"/>
      <c r="C11" s="3184"/>
      <c r="D11" s="3185"/>
      <c r="E11" s="3184"/>
      <c r="F11" s="3186"/>
      <c r="G11" s="6276" t="s">
        <v>112</v>
      </c>
      <c r="H11" s="6276"/>
      <c r="I11" s="6276"/>
      <c r="J11" s="6276"/>
      <c r="K11" s="3181"/>
      <c r="L11" s="3182"/>
      <c r="M11" s="3181"/>
      <c r="N11" s="3181"/>
      <c r="O11" s="3181"/>
      <c r="P11" s="3181"/>
      <c r="Q11" s="6268" t="s">
        <v>1263</v>
      </c>
      <c r="R11" s="6268"/>
      <c r="S11" s="3182"/>
      <c r="T11" s="3181"/>
      <c r="U11" s="3181"/>
      <c r="V11" s="3181"/>
      <c r="W11" s="3181"/>
      <c r="X11" s="3181"/>
      <c r="Y11" s="3181"/>
      <c r="Z11" s="3182" t="s">
        <v>720</v>
      </c>
      <c r="AA11" s="3181"/>
      <c r="AB11" s="3181"/>
      <c r="AC11" s="3181"/>
      <c r="AD11" s="3181"/>
      <c r="AE11" s="3181"/>
      <c r="AF11" s="3181"/>
      <c r="AG11" s="3126"/>
      <c r="AH11" s="3126"/>
      <c r="AI11" s="283" cm="1">
        <f t="array" ref="AI11">SUM(COUNTIFS($C11:$AG11,{"0","4","5","6","7","8","9"}))</f>
        <v>0</v>
      </c>
      <c r="AJ11" s="283" cm="1">
        <f t="array" ref="AJ11">SUM(COUNTIFS($C11:$AG11,{"0","4","5","6","7","8","9"},$C$4:$AG$4,"0"))</f>
        <v>0</v>
      </c>
      <c r="AK11" s="283" cm="1">
        <f t="array" ref="AK11">SUM(COUNTIFS($C11:$AG11,{"0","4","5","6","7","8","9"},$C$4:$AG$4,"1"))</f>
        <v>0</v>
      </c>
      <c r="AL11" s="283" cm="1">
        <f t="array" ref="AL11">SUM(COUNTIFS($C11:$AG11,{"0","4","5","6","7","8","9"},$C$4:$AG$4,"2"))</f>
        <v>0</v>
      </c>
      <c r="AM11" s="283" cm="1">
        <f t="array" ref="AM11">SUM(COUNTIFS($C11:$AG11,{"0","4","5","6","7","8","9"},$C$4:$AG$4,"3"))</f>
        <v>0</v>
      </c>
      <c r="AN11" s="283" cm="1">
        <f t="array" ref="AN11">SUM(COUNTIFS($C11:$AG11,{"1","2","3"}))</f>
        <v>0</v>
      </c>
      <c r="AO11" s="283" cm="1">
        <f t="array" ref="AO11">SUM(COUNTIFS($C11:$AG11,{"4","5","6"}))</f>
        <v>0</v>
      </c>
      <c r="AP11" s="283">
        <f>AJ11*'Spreadsheet Key'!$A$23 + AK11*'Spreadsheet Key'!$A$24 + AL11*'Spreadsheet Key'!$A$25 + AM11*'Spreadsheet Key'!$A$26</f>
        <v>0</v>
      </c>
      <c r="AQ11" s="283">
        <f>AI11/('APR Statistics'!$B$24)</f>
        <v>0</v>
      </c>
      <c r="AR11" s="283">
        <f>AQ11*'APR Statistics'!$C$6</f>
        <v>0</v>
      </c>
      <c r="AS11" s="283"/>
      <c r="AT11" s="283">
        <f t="shared" si="0"/>
        <v>0</v>
      </c>
      <c r="AU11" s="283">
        <f t="shared" si="1"/>
        <v>0</v>
      </c>
      <c r="AV11" s="283">
        <f t="shared" si="2"/>
        <v>0</v>
      </c>
      <c r="AW11" s="283" cm="1">
        <f t="array" ref="AW11">COUNTIFS($C11:$AG11,"9",$C$4:$AG$4,"1")+SUM(COUNTIFS($C11:$AG11,{"8","9"},$C$4:$AG$4,"2"))+COUNTIFS($C11:$AG11,"8",$C$4:$AG$4,"3")</f>
        <v>0</v>
      </c>
      <c r="AX11" s="283">
        <f t="shared" si="3"/>
        <v>0</v>
      </c>
      <c r="AY11" s="283">
        <f t="shared" si="4"/>
        <v>0</v>
      </c>
      <c r="AZ11" s="283">
        <f>AT11*'Spreadsheet Key'!$A$27+AU11*'Spreadsheet Key'!$A$28+AV11*'Spreadsheet Key'!$A$29+AW11*'Spreadsheet Key'!$A$30+AX11*'Spreadsheet Key'!$A$31</f>
        <v>0</v>
      </c>
      <c r="BA11" s="283"/>
      <c r="BB11" s="283"/>
      <c r="BC11" s="283"/>
      <c r="BD11" s="283"/>
      <c r="BE11" s="283"/>
      <c r="BF11" s="283"/>
    </row>
    <row r="12" spans="1:58" s="3211" customFormat="1">
      <c r="A12" s="3180" t="s">
        <v>100</v>
      </c>
      <c r="B12" s="3180" t="s">
        <v>725</v>
      </c>
      <c r="C12" s="3203">
        <v>0</v>
      </c>
      <c r="D12" s="3203">
        <v>0</v>
      </c>
      <c r="E12" s="3203">
        <v>0</v>
      </c>
      <c r="F12" s="3199">
        <v>0</v>
      </c>
      <c r="G12" s="3199">
        <v>1</v>
      </c>
      <c r="H12" s="3199">
        <v>2</v>
      </c>
      <c r="I12" s="3199">
        <v>2</v>
      </c>
      <c r="J12" s="3199">
        <v>3</v>
      </c>
      <c r="K12" s="3199">
        <v>0</v>
      </c>
      <c r="L12" s="3199">
        <v>0</v>
      </c>
      <c r="M12" s="3199">
        <v>0</v>
      </c>
      <c r="N12" s="3199">
        <v>0</v>
      </c>
      <c r="O12" s="3199">
        <v>0</v>
      </c>
      <c r="P12" s="3199">
        <v>0</v>
      </c>
      <c r="Q12" s="3199">
        <v>7</v>
      </c>
      <c r="R12" s="3199">
        <v>7</v>
      </c>
      <c r="S12" s="3199">
        <v>0</v>
      </c>
      <c r="T12" s="3199">
        <v>0</v>
      </c>
      <c r="U12" s="3199">
        <v>0</v>
      </c>
      <c r="V12" s="3199">
        <v>0</v>
      </c>
      <c r="W12" s="3199">
        <v>0</v>
      </c>
      <c r="X12" s="3199">
        <v>0</v>
      </c>
      <c r="Y12" s="3199">
        <v>0</v>
      </c>
      <c r="Z12" s="3199">
        <v>8</v>
      </c>
      <c r="AA12" s="3199">
        <v>0</v>
      </c>
      <c r="AB12" s="3199">
        <v>0</v>
      </c>
      <c r="AC12" s="3199">
        <v>0</v>
      </c>
      <c r="AD12" s="3199">
        <v>0</v>
      </c>
      <c r="AE12" s="3199">
        <v>0</v>
      </c>
      <c r="AF12" s="3199">
        <v>0</v>
      </c>
      <c r="AG12" s="3209">
        <v>0</v>
      </c>
      <c r="AH12" s="3209"/>
      <c r="AI12" s="283" cm="1">
        <f t="array" ref="AI12">SUM(COUNTIFS($C12:$AG12,{"0","4","5","6","7","8","9"}))</f>
        <v>27</v>
      </c>
      <c r="AJ12" s="283" cm="1">
        <f t="array" ref="AJ12">SUM(COUNTIFS($C12:$AG12,{"0","4","5","6","7","8","9"},$C$4:$AG$4,"0"))</f>
        <v>16</v>
      </c>
      <c r="AK12" s="283" cm="1">
        <f t="array" ref="AK12">SUM(COUNTIFS($C12:$AG12,{"0","4","5","6","7","8","9"},$C$4:$AG$4,"1"))</f>
        <v>4</v>
      </c>
      <c r="AL12" s="283" cm="1">
        <f t="array" ref="AL12">SUM(COUNTIFS($C12:$AG12,{"0","4","5","6","7","8","9"},$C$4:$AG$4,"2"))</f>
        <v>3</v>
      </c>
      <c r="AM12" s="283" cm="1">
        <f t="array" ref="AM12">SUM(COUNTIFS($C12:$AG12,{"0","4","5","6","7","8","9"},$C$4:$AG$4,"3"))</f>
        <v>3</v>
      </c>
      <c r="AN12" s="283" cm="1">
        <f t="array" ref="AN12">SUM(COUNTIFS($C12:$AG12,{"1","2","3"}))</f>
        <v>4</v>
      </c>
      <c r="AO12" s="283" cm="1">
        <f t="array" ref="AO12">SUM(COUNTIFS($C12:$AG12,{"4","5","6"}))</f>
        <v>0</v>
      </c>
      <c r="AP12" s="283">
        <f>AJ12*'Spreadsheet Key'!$A$23 + AK12*'Spreadsheet Key'!$A$24 + AL12*'Spreadsheet Key'!$A$25 + AM12*'Spreadsheet Key'!$A$26</f>
        <v>952</v>
      </c>
      <c r="AQ12" s="283">
        <f>AI12/('APR Statistics'!$B$24)</f>
        <v>4.2386185243328101E-2</v>
      </c>
      <c r="AR12" s="283">
        <v>24</v>
      </c>
      <c r="AS12" s="283"/>
      <c r="AT12" s="283">
        <f t="shared" si="0"/>
        <v>1</v>
      </c>
      <c r="AU12" s="283">
        <f t="shared" si="1"/>
        <v>0</v>
      </c>
      <c r="AV12" s="283">
        <f t="shared" si="2"/>
        <v>0</v>
      </c>
      <c r="AW12" s="283" cm="1">
        <f t="array" ref="AW12">COUNTIFS($C12:$AG12,"9",$C$4:$AG$4,"1")+SUM(COUNTIFS($C12:$AG12,{"8","9"},$C$4:$AG$4,"2"))+COUNTIFS($C12:$AG12,"8",$C$4:$AG$4,"3")</f>
        <v>0</v>
      </c>
      <c r="AX12" s="283">
        <f t="shared" si="3"/>
        <v>0</v>
      </c>
      <c r="AY12" s="283">
        <f t="shared" si="4"/>
        <v>1</v>
      </c>
      <c r="AZ12" s="283">
        <f>AT12*'Spreadsheet Key'!$A$27+AU12*'Spreadsheet Key'!$A$28+AV12*'Spreadsheet Key'!$A$29+AW12*'Spreadsheet Key'!$A$30+AX12*'Spreadsheet Key'!$A$31</f>
        <v>10</v>
      </c>
      <c r="BA12" s="283"/>
      <c r="BB12" s="283">
        <f t="shared" ref="BB12" si="7">AR12-AZ12</f>
        <v>14</v>
      </c>
      <c r="BC12" s="3210"/>
      <c r="BD12" s="3210"/>
      <c r="BE12" s="3210"/>
      <c r="BF12" s="3210"/>
    </row>
    <row r="13" spans="1:58">
      <c r="A13" s="3208"/>
      <c r="B13" s="3208"/>
      <c r="C13" s="6267" t="s">
        <v>1260</v>
      </c>
      <c r="D13" s="6267"/>
      <c r="E13" s="3183" t="s">
        <v>1025</v>
      </c>
      <c r="F13" s="3181"/>
      <c r="G13" s="3181"/>
      <c r="H13" s="3183" t="s">
        <v>1025</v>
      </c>
      <c r="I13" s="6287" t="s">
        <v>1264</v>
      </c>
      <c r="J13" s="6287"/>
      <c r="K13" s="6287"/>
      <c r="L13" s="6287"/>
      <c r="M13" s="6287"/>
      <c r="N13" s="3183" t="s">
        <v>1025</v>
      </c>
      <c r="O13" s="3181"/>
      <c r="P13" s="3181"/>
      <c r="Q13" s="3181"/>
      <c r="R13" s="3184"/>
      <c r="S13" s="3181"/>
      <c r="T13" s="3182" t="s">
        <v>722</v>
      </c>
      <c r="U13" s="3181"/>
      <c r="V13" s="3181"/>
      <c r="W13" s="3181"/>
      <c r="X13" s="3181"/>
      <c r="Y13" s="3182" t="s">
        <v>720</v>
      </c>
      <c r="Z13" s="3181"/>
      <c r="AA13" s="3181"/>
      <c r="AB13" s="3181"/>
      <c r="AC13" s="3181"/>
      <c r="AD13" s="3181"/>
      <c r="AE13" s="3181"/>
      <c r="AF13" s="3181"/>
      <c r="AG13" s="3126"/>
      <c r="AH13" s="3126"/>
      <c r="AI13" s="283" cm="1">
        <f t="array" ref="AI13">SUM(COUNTIFS($C13:$AG13,{"0","4","5","6","7","8","9"}))</f>
        <v>0</v>
      </c>
      <c r="AJ13" s="283" cm="1">
        <f t="array" ref="AJ13">SUM(COUNTIFS($C13:$AG13,{"0","4","5","6","7","8","9"},$C$4:$AG$4,"0"))</f>
        <v>0</v>
      </c>
      <c r="AK13" s="283" cm="1">
        <f t="array" ref="AK13">SUM(COUNTIFS($C13:$AG13,{"0","4","5","6","7","8","9"},$C$4:$AG$4,"1"))</f>
        <v>0</v>
      </c>
      <c r="AL13" s="283" cm="1">
        <f t="array" ref="AL13">SUM(COUNTIFS($C13:$AG13,{"0","4","5","6","7","8","9"},$C$4:$AG$4,"2"))</f>
        <v>0</v>
      </c>
      <c r="AM13" s="283" cm="1">
        <f t="array" ref="AM13">SUM(COUNTIFS($C13:$AG13,{"0","4","5","6","7","8","9"},$C$4:$AG$4,"3"))</f>
        <v>0</v>
      </c>
      <c r="AN13" s="283" cm="1">
        <f t="array" ref="AN13">SUM(COUNTIFS($C13:$AG13,{"1","2","3"}))</f>
        <v>0</v>
      </c>
      <c r="AO13" s="283" cm="1">
        <f t="array" ref="AO13">SUM(COUNTIFS($C13:$AG13,{"4","5","6"}))</f>
        <v>0</v>
      </c>
      <c r="AP13" s="283">
        <f>AJ13*'Spreadsheet Key'!$A$23 + AK13*'Spreadsheet Key'!$A$24 + AL13*'Spreadsheet Key'!$A$25 + AM13*'Spreadsheet Key'!$A$26</f>
        <v>0</v>
      </c>
      <c r="AQ13" s="283">
        <f>AI13/('APR Statistics'!$B$24)</f>
        <v>0</v>
      </c>
      <c r="AR13" s="283">
        <f>AQ13*'APR Statistics'!$C$6</f>
        <v>0</v>
      </c>
      <c r="AS13" s="283"/>
      <c r="AT13" s="283">
        <f t="shared" si="0"/>
        <v>0</v>
      </c>
      <c r="AU13" s="283">
        <f t="shared" si="1"/>
        <v>0</v>
      </c>
      <c r="AV13" s="283">
        <f t="shared" si="2"/>
        <v>0</v>
      </c>
      <c r="AW13" s="283" cm="1">
        <f t="array" ref="AW13">COUNTIFS($C13:$AG13,"9",$C$4:$AG$4,"1")+SUM(COUNTIFS($C13:$AG13,{"8","9"},$C$4:$AG$4,"2"))+COUNTIFS($C13:$AG13,"8",$C$4:$AG$4,"3")</f>
        <v>0</v>
      </c>
      <c r="AX13" s="283">
        <f t="shared" si="3"/>
        <v>0</v>
      </c>
      <c r="AY13" s="283">
        <f t="shared" si="4"/>
        <v>0</v>
      </c>
      <c r="AZ13" s="283">
        <f>AT13*'Spreadsheet Key'!$A$27+AU13*'Spreadsheet Key'!$A$28+AV13*'Spreadsheet Key'!$A$29+AW13*'Spreadsheet Key'!$A$30+AX13*'Spreadsheet Key'!$A$31</f>
        <v>0</v>
      </c>
      <c r="BA13" s="283"/>
      <c r="BB13" s="283"/>
      <c r="BC13" s="3139"/>
      <c r="BD13" s="3139"/>
      <c r="BE13" s="3139"/>
      <c r="BF13" s="3139"/>
    </row>
    <row r="14" spans="1:58" s="3211" customFormat="1">
      <c r="A14" s="3187" t="s">
        <v>95</v>
      </c>
      <c r="B14" s="3180" t="s">
        <v>726</v>
      </c>
      <c r="C14" s="3199">
        <v>2</v>
      </c>
      <c r="D14" s="3199">
        <v>2</v>
      </c>
      <c r="E14" s="3199">
        <v>3</v>
      </c>
      <c r="F14" s="3199">
        <v>0</v>
      </c>
      <c r="G14" s="3199">
        <v>0</v>
      </c>
      <c r="H14" s="3199">
        <v>1</v>
      </c>
      <c r="I14" s="3199">
        <v>2</v>
      </c>
      <c r="J14" s="3199">
        <v>2</v>
      </c>
      <c r="K14" s="3199">
        <v>2</v>
      </c>
      <c r="L14" s="3199">
        <v>2</v>
      </c>
      <c r="M14" s="3199">
        <v>2</v>
      </c>
      <c r="N14" s="3199">
        <v>3</v>
      </c>
      <c r="O14" s="3199">
        <v>0</v>
      </c>
      <c r="P14" s="3199">
        <v>0</v>
      </c>
      <c r="Q14" s="3199">
        <v>0</v>
      </c>
      <c r="R14" s="3203">
        <v>0</v>
      </c>
      <c r="S14" s="3199">
        <v>0</v>
      </c>
      <c r="T14" s="3199">
        <v>9</v>
      </c>
      <c r="U14" s="3199">
        <v>0</v>
      </c>
      <c r="V14" s="3199">
        <v>0</v>
      </c>
      <c r="W14" s="3199">
        <v>0</v>
      </c>
      <c r="X14" s="3199">
        <v>0</v>
      </c>
      <c r="Y14" s="3199">
        <v>8</v>
      </c>
      <c r="Z14" s="3199">
        <v>0</v>
      </c>
      <c r="AA14" s="3199">
        <v>0</v>
      </c>
      <c r="AB14" s="3199">
        <v>0</v>
      </c>
      <c r="AC14" s="3199">
        <v>0</v>
      </c>
      <c r="AD14" s="3199">
        <v>0</v>
      </c>
      <c r="AE14" s="3199">
        <v>0</v>
      </c>
      <c r="AF14" s="3199">
        <v>0</v>
      </c>
      <c r="AG14" s="3209"/>
      <c r="AH14" s="3209"/>
      <c r="AI14" s="283" cm="1">
        <f t="array" ref="AI14">SUM(COUNTIFS($C14:$AG14,{"0","4","5","6","7","8","9"}))</f>
        <v>20</v>
      </c>
      <c r="AJ14" s="283" cm="1">
        <f t="array" ref="AJ14">SUM(COUNTIFS($C14:$AG14,{"0","4","5","6","7","8","9"},$C$4:$AG$4,"0"))</f>
        <v>11</v>
      </c>
      <c r="AK14" s="283" cm="1">
        <f t="array" ref="AK14">SUM(COUNTIFS($C14:$AG14,{"0","4","5","6","7","8","9"},$C$4:$AG$4,"1"))</f>
        <v>3</v>
      </c>
      <c r="AL14" s="283" cm="1">
        <f t="array" ref="AL14">SUM(COUNTIFS($C14:$AG14,{"0","4","5","6","7","8","9"},$C$4:$AG$4,"2"))</f>
        <v>3</v>
      </c>
      <c r="AM14" s="283" cm="1">
        <f t="array" ref="AM14">SUM(COUNTIFS($C14:$AG14,{"0","4","5","6","7","8","9"},$C$4:$AG$4,"3"))</f>
        <v>3</v>
      </c>
      <c r="AN14" s="283" cm="1">
        <f t="array" ref="AN14">SUM(COUNTIFS($C14:$AG14,{"1","2","3"}))</f>
        <v>10</v>
      </c>
      <c r="AO14" s="283" cm="1">
        <f t="array" ref="AO14">SUM(COUNTIFS($C14:$AG14,{"4","5","6"}))</f>
        <v>0</v>
      </c>
      <c r="AP14" s="283">
        <f>AJ14*'Spreadsheet Key'!$A$23 + AK14*'Spreadsheet Key'!$A$24 + AL14*'Spreadsheet Key'!$A$25 + AM14*'Spreadsheet Key'!$A$26</f>
        <v>788</v>
      </c>
      <c r="AQ14" s="283">
        <f>AI14/('APR Statistics'!$B$24)</f>
        <v>3.1397174254317109E-2</v>
      </c>
      <c r="AR14" s="283">
        <f>AQ14*'APR Statistics'!$C$6</f>
        <v>36.860282574568288</v>
      </c>
      <c r="AS14" s="283"/>
      <c r="AT14" s="283">
        <f t="shared" si="0"/>
        <v>1</v>
      </c>
      <c r="AU14" s="283">
        <f t="shared" si="1"/>
        <v>0</v>
      </c>
      <c r="AV14" s="283">
        <f t="shared" si="2"/>
        <v>0</v>
      </c>
      <c r="AW14" s="283" cm="1">
        <f t="array" ref="AW14">COUNTIFS($C14:$AG14,"9",$C$4:$AG$4,"1")+SUM(COUNTIFS($C14:$AG14,{"8","9"},$C$4:$AG$4,"2"))+COUNTIFS($C14:$AG14,"8",$C$4:$AG$4,"3")</f>
        <v>1</v>
      </c>
      <c r="AX14" s="283">
        <f t="shared" si="3"/>
        <v>0</v>
      </c>
      <c r="AY14" s="283">
        <f t="shared" si="4"/>
        <v>2</v>
      </c>
      <c r="AZ14" s="283">
        <f>AT14*'Spreadsheet Key'!$A$27+AU14*'Spreadsheet Key'!$A$28+AV14*'Spreadsheet Key'!$A$29+AW14*'Spreadsheet Key'!$A$30+AX14*'Spreadsheet Key'!$A$31</f>
        <v>46</v>
      </c>
      <c r="BA14" s="283"/>
      <c r="BB14" s="283">
        <f t="shared" ref="BB14" si="8">AR14-AZ14</f>
        <v>-9.1397174254317122</v>
      </c>
      <c r="BC14" s="3213"/>
      <c r="BD14" s="3213"/>
      <c r="BE14" s="3213"/>
      <c r="BF14" s="3213"/>
    </row>
    <row r="15" spans="1:58">
      <c r="A15" s="3212"/>
      <c r="B15" s="3208"/>
      <c r="C15" s="6270" t="s">
        <v>1231</v>
      </c>
      <c r="D15" s="6270"/>
      <c r="E15" s="3183" t="s">
        <v>1025</v>
      </c>
      <c r="F15" s="3181"/>
      <c r="G15" s="3181"/>
      <c r="H15" s="3181"/>
      <c r="I15" s="3181"/>
      <c r="J15" s="3181"/>
      <c r="K15" s="3181"/>
      <c r="L15" s="3181"/>
      <c r="M15" s="3181"/>
      <c r="N15" s="3182" t="s">
        <v>720</v>
      </c>
      <c r="O15" s="3184"/>
      <c r="P15" s="3184"/>
      <c r="Q15" s="3184"/>
      <c r="R15" s="3182" t="s">
        <v>722</v>
      </c>
      <c r="S15" s="3181"/>
      <c r="T15" s="3181"/>
      <c r="U15" s="3181"/>
      <c r="V15" s="3181"/>
      <c r="W15" s="3183" t="s">
        <v>1025</v>
      </c>
      <c r="X15" s="6269" t="s">
        <v>667</v>
      </c>
      <c r="Y15" s="6269"/>
      <c r="Z15" s="6269"/>
      <c r="AA15" s="3183" t="s">
        <v>1025</v>
      </c>
      <c r="AB15" s="3181"/>
      <c r="AC15" s="3181"/>
      <c r="AD15" s="3181"/>
      <c r="AE15" s="3181"/>
      <c r="AF15" s="3181"/>
      <c r="AG15" s="3126"/>
      <c r="AH15" s="3126"/>
      <c r="AI15" s="283" cm="1">
        <f t="array" ref="AI15">SUM(COUNTIFS($C15:$AG15,{"0","4","5","6","7","8","9"}))</f>
        <v>0</v>
      </c>
      <c r="AJ15" s="283" cm="1">
        <f t="array" ref="AJ15">SUM(COUNTIFS($C15:$AG15,{"0","4","5","6","7","8","9"},$C$4:$AG$4,"0"))</f>
        <v>0</v>
      </c>
      <c r="AK15" s="283" cm="1">
        <f t="array" ref="AK15">SUM(COUNTIFS($C15:$AG15,{"0","4","5","6","7","8","9"},$C$4:$AG$4,"1"))</f>
        <v>0</v>
      </c>
      <c r="AL15" s="283" cm="1">
        <f t="array" ref="AL15">SUM(COUNTIFS($C15:$AG15,{"0","4","5","6","7","8","9"},$C$4:$AG$4,"2"))</f>
        <v>0</v>
      </c>
      <c r="AM15" s="283" cm="1">
        <f t="array" ref="AM15">SUM(COUNTIFS($C15:$AG15,{"0","4","5","6","7","8","9"},$C$4:$AG$4,"3"))</f>
        <v>0</v>
      </c>
      <c r="AN15" s="283" cm="1">
        <f t="array" ref="AN15">SUM(COUNTIFS($C15:$AG15,{"1","2","3"}))</f>
        <v>0</v>
      </c>
      <c r="AO15" s="283" cm="1">
        <f t="array" ref="AO15">SUM(COUNTIFS($C15:$AG15,{"4","5","6"}))</f>
        <v>0</v>
      </c>
      <c r="AP15" s="283">
        <f>AJ15*'Spreadsheet Key'!$A$23 + AK15*'Spreadsheet Key'!$A$24 + AL15*'Spreadsheet Key'!$A$25 + AM15*'Spreadsheet Key'!$A$26</f>
        <v>0</v>
      </c>
      <c r="AQ15" s="283">
        <f>AI15/('APR Statistics'!$B$24)</f>
        <v>0</v>
      </c>
      <c r="AR15" s="283">
        <f>AQ15*'APR Statistics'!$C$6</f>
        <v>0</v>
      </c>
      <c r="AS15" s="283"/>
      <c r="AT15" s="283">
        <f t="shared" si="0"/>
        <v>0</v>
      </c>
      <c r="AU15" s="283">
        <f t="shared" si="1"/>
        <v>0</v>
      </c>
      <c r="AV15" s="283">
        <f t="shared" si="2"/>
        <v>0</v>
      </c>
      <c r="AW15" s="283" cm="1">
        <f t="array" ref="AW15">COUNTIFS($C15:$AG15,"9",$C$4:$AG$4,"1")+SUM(COUNTIFS($C15:$AG15,{"8","9"},$C$4:$AG$4,"2"))+COUNTIFS($C15:$AG15,"8",$C$4:$AG$4,"3")</f>
        <v>0</v>
      </c>
      <c r="AX15" s="283">
        <f t="shared" si="3"/>
        <v>0</v>
      </c>
      <c r="AY15" s="283">
        <f t="shared" si="4"/>
        <v>0</v>
      </c>
      <c r="AZ15" s="283">
        <f>AT15*'Spreadsheet Key'!$A$27+AU15*'Spreadsheet Key'!$A$28+AV15*'Spreadsheet Key'!$A$29+AW15*'Spreadsheet Key'!$A$30+AX15*'Spreadsheet Key'!$A$31</f>
        <v>0</v>
      </c>
      <c r="BA15" s="283"/>
      <c r="BB15" s="283"/>
      <c r="BC15" s="283"/>
      <c r="BD15" s="283"/>
      <c r="BE15" s="283"/>
      <c r="BF15" s="283"/>
    </row>
    <row r="16" spans="1:58" s="3211" customFormat="1">
      <c r="A16" s="3180" t="s">
        <v>95</v>
      </c>
      <c r="B16" s="3180" t="s">
        <v>738</v>
      </c>
      <c r="C16" s="3199">
        <v>2</v>
      </c>
      <c r="D16" s="3199">
        <v>2</v>
      </c>
      <c r="E16" s="3199">
        <v>3</v>
      </c>
      <c r="F16" s="3211">
        <v>0</v>
      </c>
      <c r="G16" s="3199">
        <v>0</v>
      </c>
      <c r="H16" s="3199">
        <v>0</v>
      </c>
      <c r="I16" s="3199">
        <v>0</v>
      </c>
      <c r="J16" s="3199">
        <v>0</v>
      </c>
      <c r="K16" s="3199">
        <v>0</v>
      </c>
      <c r="L16" s="3199">
        <v>0</v>
      </c>
      <c r="M16" s="3199">
        <v>0</v>
      </c>
      <c r="N16" s="3199">
        <v>8</v>
      </c>
      <c r="O16" s="3203">
        <v>0</v>
      </c>
      <c r="P16" s="3203">
        <v>0</v>
      </c>
      <c r="Q16" s="3203">
        <v>0</v>
      </c>
      <c r="R16" s="3203">
        <v>9</v>
      </c>
      <c r="S16" s="3199">
        <v>0</v>
      </c>
      <c r="T16" s="3199">
        <v>0</v>
      </c>
      <c r="U16" s="3199">
        <v>0</v>
      </c>
      <c r="V16" s="3199">
        <v>0</v>
      </c>
      <c r="W16" s="3199">
        <v>1</v>
      </c>
      <c r="X16" s="3199">
        <v>2</v>
      </c>
      <c r="Y16" s="3199">
        <v>2</v>
      </c>
      <c r="Z16" s="3199">
        <v>2</v>
      </c>
      <c r="AA16" s="3199">
        <v>3</v>
      </c>
      <c r="AB16" s="3199">
        <v>0</v>
      </c>
      <c r="AC16" s="3199">
        <v>0</v>
      </c>
      <c r="AD16" s="3199">
        <v>0</v>
      </c>
      <c r="AE16" s="3199">
        <v>0</v>
      </c>
      <c r="AF16" s="3199">
        <v>0</v>
      </c>
      <c r="AG16" s="3209"/>
      <c r="AH16" s="3209"/>
      <c r="AI16" s="283" cm="1">
        <f t="array" ref="AI16">SUM(COUNTIFS($C16:$AG16,{"0","4","5","6","7","8","9"}))</f>
        <v>22</v>
      </c>
      <c r="AJ16" s="283" cm="1">
        <f t="array" ref="AJ16">SUM(COUNTIFS($C16:$AG16,{"0","4","5","6","7","8","9"},$C$4:$AG$4,"0"))</f>
        <v>11</v>
      </c>
      <c r="AK16" s="283" cm="1">
        <f t="array" ref="AK16">SUM(COUNTIFS($C16:$AG16,{"0","4","5","6","7","8","9"},$C$4:$AG$4,"1"))</f>
        <v>3</v>
      </c>
      <c r="AL16" s="283" cm="1">
        <f t="array" ref="AL16">SUM(COUNTIFS($C16:$AG16,{"0","4","5","6","7","8","9"},$C$4:$AG$4,"2"))</f>
        <v>4</v>
      </c>
      <c r="AM16" s="283" cm="1">
        <f t="array" ref="AM16">SUM(COUNTIFS($C16:$AG16,{"0","4","5","6","7","8","9"},$C$4:$AG$4,"3"))</f>
        <v>4</v>
      </c>
      <c r="AN16" s="283" cm="1">
        <f t="array" ref="AN16">SUM(COUNTIFS($C16:$AG16,{"1","2","3"}))</f>
        <v>8</v>
      </c>
      <c r="AO16" s="283" cm="1">
        <f t="array" ref="AO16">SUM(COUNTIFS($C16:$AG16,{"4","5","6"}))</f>
        <v>0</v>
      </c>
      <c r="AP16" s="283">
        <f>AJ16*'Spreadsheet Key'!$A$23 + AK16*'Spreadsheet Key'!$A$24 + AL16*'Spreadsheet Key'!$A$25 + AM16*'Spreadsheet Key'!$A$26</f>
        <v>916</v>
      </c>
      <c r="AQ16" s="283">
        <f>AI16/('APR Statistics'!$B$24)</f>
        <v>3.453689167974882E-2</v>
      </c>
      <c r="AR16" s="283">
        <f>AQ16*'APR Statistics'!$C$6</f>
        <v>40.546310832025114</v>
      </c>
      <c r="AS16" s="283"/>
      <c r="AT16" s="283">
        <f t="shared" si="0"/>
        <v>0</v>
      </c>
      <c r="AU16" s="283">
        <f t="shared" si="1"/>
        <v>1</v>
      </c>
      <c r="AV16" s="283">
        <f t="shared" si="2"/>
        <v>0</v>
      </c>
      <c r="AW16" s="283" cm="1">
        <f t="array" ref="AW16">COUNTIFS($C16:$AG16,"9",$C$4:$AG$4,"1")+SUM(COUNTIFS($C16:$AG16,{"8","9"},$C$4:$AG$4,"2"))+COUNTIFS($C16:$AG16,"8",$C$4:$AG$4,"3")</f>
        <v>1</v>
      </c>
      <c r="AX16" s="283">
        <f t="shared" si="3"/>
        <v>0</v>
      </c>
      <c r="AY16" s="283">
        <f t="shared" si="4"/>
        <v>2</v>
      </c>
      <c r="AZ16" s="283">
        <f>AT16*'Spreadsheet Key'!$A$27+AU16*'Spreadsheet Key'!$A$28+AV16*'Spreadsheet Key'!$A$29+AW16*'Spreadsheet Key'!$A$30+AX16*'Spreadsheet Key'!$A$31</f>
        <v>48</v>
      </c>
      <c r="BA16" s="283"/>
      <c r="BB16" s="283">
        <f t="shared" ref="BB16" si="9">AR16-AZ16</f>
        <v>-7.4536891679748862</v>
      </c>
      <c r="BC16" s="3210"/>
      <c r="BD16" s="3210"/>
      <c r="BE16" s="3210"/>
      <c r="BF16" s="3210"/>
    </row>
    <row r="17" spans="1:58">
      <c r="A17" s="3208"/>
      <c r="B17" s="3208"/>
      <c r="C17" s="6270" t="s">
        <v>1231</v>
      </c>
      <c r="D17" s="6270"/>
      <c r="E17" s="3183" t="s">
        <v>1025</v>
      </c>
      <c r="F17" s="3181"/>
      <c r="G17" s="3181"/>
      <c r="H17" s="3181"/>
      <c r="I17" s="3181"/>
      <c r="J17" s="3181"/>
      <c r="K17" s="3181"/>
      <c r="L17" s="3181"/>
      <c r="M17" s="3181"/>
      <c r="N17" s="3181"/>
      <c r="O17" s="3181"/>
      <c r="P17" s="3181"/>
      <c r="Q17" s="3181"/>
      <c r="R17" s="3181"/>
      <c r="S17" s="3181"/>
      <c r="T17" s="3181"/>
      <c r="U17" s="3181"/>
      <c r="V17" s="3181"/>
      <c r="W17" s="3181"/>
      <c r="X17" s="3181"/>
      <c r="Y17" s="3181"/>
      <c r="Z17" s="3181"/>
      <c r="AA17" s="3181"/>
      <c r="AB17" s="3181"/>
      <c r="AC17" s="3181" t="s">
        <v>324</v>
      </c>
      <c r="AD17" s="3181"/>
      <c r="AE17" s="3181"/>
      <c r="AF17" s="3181"/>
      <c r="AG17" s="3126"/>
      <c r="AH17" s="3126"/>
      <c r="AI17" s="283" cm="1">
        <f t="array" ref="AI17">SUM(COUNTIFS($C17:$AG17,{"0","4","5","6","7","8","9"}))</f>
        <v>0</v>
      </c>
      <c r="AJ17" s="283" cm="1">
        <f t="array" ref="AJ17">SUM(COUNTIFS($C17:$AG17,{"0","4","5","6","7","8","9"},$C$4:$AG$4,"0"))</f>
        <v>0</v>
      </c>
      <c r="AK17" s="283" cm="1">
        <f t="array" ref="AK17">SUM(COUNTIFS($C17:$AG17,{"0","4","5","6","7","8","9"},$C$4:$AG$4,"1"))</f>
        <v>0</v>
      </c>
      <c r="AL17" s="283" cm="1">
        <f t="array" ref="AL17">SUM(COUNTIFS($C17:$AG17,{"0","4","5","6","7","8","9"},$C$4:$AG$4,"2"))</f>
        <v>0</v>
      </c>
      <c r="AM17" s="283" cm="1">
        <f t="array" ref="AM17">SUM(COUNTIFS($C17:$AG17,{"0","4","5","6","7","8","9"},$C$4:$AG$4,"3"))</f>
        <v>0</v>
      </c>
      <c r="AN17" s="283" cm="1">
        <f t="array" ref="AN17">SUM(COUNTIFS($C17:$AG17,{"1","2","3"}))</f>
        <v>0</v>
      </c>
      <c r="AO17" s="283" cm="1">
        <f t="array" ref="AO17">SUM(COUNTIFS($C17:$AG17,{"4","5","6"}))</f>
        <v>0</v>
      </c>
      <c r="AP17" s="283">
        <f>AJ17*'Spreadsheet Key'!$A$23 + AK17*'Spreadsheet Key'!$A$24 + AL17*'Spreadsheet Key'!$A$25 + AM17*'Spreadsheet Key'!$A$26</f>
        <v>0</v>
      </c>
      <c r="AQ17" s="283">
        <f>AI17/('APR Statistics'!$B$24)</f>
        <v>0</v>
      </c>
      <c r="AR17" s="283">
        <f>AQ17*'APR Statistics'!$C$6</f>
        <v>0</v>
      </c>
      <c r="AS17" s="283"/>
      <c r="AT17" s="283">
        <f t="shared" si="0"/>
        <v>0</v>
      </c>
      <c r="AU17" s="283">
        <f t="shared" si="1"/>
        <v>0</v>
      </c>
      <c r="AV17" s="283">
        <f t="shared" si="2"/>
        <v>0</v>
      </c>
      <c r="AW17" s="283" cm="1">
        <f t="array" ref="AW17">COUNTIFS($C17:$AG17,"9",$C$4:$AG$4,"1")+SUM(COUNTIFS($C17:$AG17,{"8","9"},$C$4:$AG$4,"2"))+COUNTIFS($C17:$AG17,"8",$C$4:$AG$4,"3")</f>
        <v>0</v>
      </c>
      <c r="AX17" s="283">
        <f t="shared" si="3"/>
        <v>0</v>
      </c>
      <c r="AY17" s="283">
        <f t="shared" si="4"/>
        <v>0</v>
      </c>
      <c r="AZ17" s="283">
        <f>AT17*'Spreadsheet Key'!$A$27+AU17*'Spreadsheet Key'!$A$28+AV17*'Spreadsheet Key'!$A$29+AW17*'Spreadsheet Key'!$A$30+AX17*'Spreadsheet Key'!$A$31</f>
        <v>0</v>
      </c>
      <c r="BA17" s="283"/>
      <c r="BB17" s="283"/>
      <c r="BC17" s="283"/>
      <c r="BD17" s="283"/>
      <c r="BE17" s="283"/>
      <c r="BF17" s="283"/>
    </row>
    <row r="18" spans="1:58" s="3211" customFormat="1">
      <c r="A18" s="3180" t="s">
        <v>106</v>
      </c>
      <c r="B18" s="3180" t="s">
        <v>1191</v>
      </c>
      <c r="C18" s="3199">
        <v>2</v>
      </c>
      <c r="D18" s="3199">
        <v>2</v>
      </c>
      <c r="E18" s="3199">
        <v>3</v>
      </c>
      <c r="F18" s="3199">
        <v>0</v>
      </c>
      <c r="G18" s="3199">
        <v>0</v>
      </c>
      <c r="H18" s="3199">
        <v>0</v>
      </c>
      <c r="I18" s="3199">
        <v>0</v>
      </c>
      <c r="J18" s="3199">
        <v>0</v>
      </c>
      <c r="K18" s="3199">
        <v>0</v>
      </c>
      <c r="L18" s="3199">
        <v>0</v>
      </c>
      <c r="M18" s="3199">
        <v>0</v>
      </c>
      <c r="N18" s="3199">
        <v>0</v>
      </c>
      <c r="O18" s="3199">
        <v>0</v>
      </c>
      <c r="P18" s="3199">
        <v>0</v>
      </c>
      <c r="Q18" s="3199">
        <v>0</v>
      </c>
      <c r="R18" s="3199">
        <v>0</v>
      </c>
      <c r="S18" s="3199">
        <v>0</v>
      </c>
      <c r="T18" s="3199">
        <v>0</v>
      </c>
      <c r="U18" s="3199">
        <v>0</v>
      </c>
      <c r="V18" s="3199">
        <v>0</v>
      </c>
      <c r="W18" s="3199">
        <v>0</v>
      </c>
      <c r="X18" s="3199">
        <v>0</v>
      </c>
      <c r="Y18" s="3199">
        <v>0</v>
      </c>
      <c r="Z18" s="3199">
        <v>0</v>
      </c>
      <c r="AA18" s="3199">
        <v>0</v>
      </c>
      <c r="AB18" s="3199">
        <v>0</v>
      </c>
      <c r="AC18" s="3199">
        <v>0</v>
      </c>
      <c r="AD18" s="3199">
        <v>0</v>
      </c>
      <c r="AE18" s="3199">
        <v>0</v>
      </c>
      <c r="AF18" s="3199">
        <v>0</v>
      </c>
      <c r="AG18" s="3209"/>
      <c r="AH18" s="3209"/>
      <c r="AI18" s="283" cm="1">
        <f t="array" ref="AI18">SUM(COUNTIFS($C18:$AG18,{"0","4","5","6","7","8","9"}))</f>
        <v>27</v>
      </c>
      <c r="AJ18" s="283" cm="1">
        <f t="array" ref="AJ18">SUM(COUNTIFS($C18:$AG18,{"0","4","5","6","7","8","9"},$C$4:$AG$4,"0"))</f>
        <v>15</v>
      </c>
      <c r="AK18" s="283" cm="1">
        <f t="array" ref="AK18">SUM(COUNTIFS($C18:$AG18,{"0","4","5","6","7","8","9"},$C$4:$AG$4,"1"))</f>
        <v>4</v>
      </c>
      <c r="AL18" s="283" cm="1">
        <f t="array" ref="AL18">SUM(COUNTIFS($C18:$AG18,{"0","4","5","6","7","8","9"},$C$4:$AG$4,"2"))</f>
        <v>4</v>
      </c>
      <c r="AM18" s="283" cm="1">
        <f t="array" ref="AM18">SUM(COUNTIFS($C18:$AG18,{"0","4","5","6","7","8","9"},$C$4:$AG$4,"3"))</f>
        <v>4</v>
      </c>
      <c r="AN18" s="283" cm="1">
        <f t="array" ref="AN18">SUM(COUNTIFS($C18:$AG18,{"1","2","3"}))</f>
        <v>3</v>
      </c>
      <c r="AO18" s="283" cm="1">
        <f t="array" ref="AO18">SUM(COUNTIFS($C18:$AG18,{"4","5","6"}))</f>
        <v>0</v>
      </c>
      <c r="AP18" s="283">
        <f>AJ18*'Spreadsheet Key'!$A$23 + AK18*'Spreadsheet Key'!$A$24 + AL18*'Spreadsheet Key'!$A$25 + AM18*'Spreadsheet Key'!$A$26</f>
        <v>1058</v>
      </c>
      <c r="AQ18" s="283">
        <f>AI18/('APR Statistics'!$B$24)</f>
        <v>4.2386185243328101E-2</v>
      </c>
      <c r="AR18" s="283">
        <f>AQ18*'APR Statistics'!$C$6</f>
        <v>49.761381475667193</v>
      </c>
      <c r="AS18" s="283"/>
      <c r="AT18" s="283">
        <f t="shared" si="0"/>
        <v>0</v>
      </c>
      <c r="AU18" s="283">
        <f t="shared" si="1"/>
        <v>0</v>
      </c>
      <c r="AV18" s="283">
        <f t="shared" si="2"/>
        <v>0</v>
      </c>
      <c r="AW18" s="283" cm="1">
        <f t="array" ref="AW18">COUNTIFS($C18:$AG18,"9",$C$4:$AG$4,"1")+SUM(COUNTIFS($C18:$AG18,{"8","9"},$C$4:$AG$4,"2"))+COUNTIFS($C18:$AG18,"8",$C$4:$AG$4,"3")</f>
        <v>0</v>
      </c>
      <c r="AX18" s="283">
        <f t="shared" si="3"/>
        <v>0</v>
      </c>
      <c r="AY18" s="283">
        <f t="shared" si="4"/>
        <v>0</v>
      </c>
      <c r="AZ18" s="283">
        <f>AT18*'Spreadsheet Key'!$A$27+AU18*'Spreadsheet Key'!$A$28+AV18*'Spreadsheet Key'!$A$29+AW18*'Spreadsheet Key'!$A$30+AX18*'Spreadsheet Key'!$A$31</f>
        <v>0</v>
      </c>
      <c r="BA18" s="283"/>
      <c r="BB18" s="283">
        <f t="shared" ref="BB18" si="10">AR18-AZ18</f>
        <v>49.761381475667193</v>
      </c>
      <c r="BC18" s="3210"/>
      <c r="BD18" s="3210"/>
      <c r="BE18" s="3210"/>
      <c r="BF18" s="3210"/>
    </row>
    <row r="19" spans="1:58">
      <c r="A19" s="3208"/>
      <c r="B19" s="3208"/>
      <c r="C19" s="3181"/>
      <c r="D19" s="3182" t="s">
        <v>722</v>
      </c>
      <c r="E19" s="3182"/>
      <c r="F19" s="3181"/>
      <c r="G19" s="3181"/>
      <c r="H19" s="3181"/>
      <c r="I19" s="3181"/>
      <c r="J19" s="3181"/>
      <c r="K19" s="3182" t="s">
        <v>722</v>
      </c>
      <c r="L19" s="3181"/>
      <c r="M19" s="3181"/>
      <c r="N19" s="3181"/>
      <c r="O19" s="3181"/>
      <c r="P19" s="3181"/>
      <c r="Q19" s="3181"/>
      <c r="R19" s="3188"/>
      <c r="S19" s="3181"/>
      <c r="T19" s="3181"/>
      <c r="U19" s="3181"/>
      <c r="V19" s="3181"/>
      <c r="W19" s="3181"/>
      <c r="X19" s="3181"/>
      <c r="Y19" s="3181"/>
      <c r="Z19" s="3181"/>
      <c r="AA19" s="3181"/>
      <c r="AB19" s="3181"/>
      <c r="AC19" s="3181"/>
      <c r="AD19" s="3182" t="s">
        <v>720</v>
      </c>
      <c r="AE19" s="3181"/>
      <c r="AF19" s="3181"/>
      <c r="AG19" s="3126"/>
      <c r="AH19" s="3126"/>
      <c r="AI19" s="283" cm="1">
        <f t="array" ref="AI19">SUM(COUNTIFS($C19:$AG19,{"0","4","5","6","7","8","9"}))</f>
        <v>0</v>
      </c>
      <c r="AJ19" s="283" cm="1">
        <f t="array" ref="AJ19">SUM(COUNTIFS($C19:$AG19,{"0","4","5","6","7","8","9"},$C$4:$AG$4,"0"))</f>
        <v>0</v>
      </c>
      <c r="AK19" s="283" cm="1">
        <f t="array" ref="AK19">SUM(COUNTIFS($C19:$AG19,{"0","4","5","6","7","8","9"},$C$4:$AG$4,"1"))</f>
        <v>0</v>
      </c>
      <c r="AL19" s="283" cm="1">
        <f t="array" ref="AL19">SUM(COUNTIFS($C19:$AG19,{"0","4","5","6","7","8","9"},$C$4:$AG$4,"2"))</f>
        <v>0</v>
      </c>
      <c r="AM19" s="283" cm="1">
        <f t="array" ref="AM19">SUM(COUNTIFS($C19:$AG19,{"0","4","5","6","7","8","9"},$C$4:$AG$4,"3"))</f>
        <v>0</v>
      </c>
      <c r="AN19" s="283" cm="1">
        <f t="array" ref="AN19">SUM(COUNTIFS($C19:$AG19,{"1","2","3"}))</f>
        <v>0</v>
      </c>
      <c r="AO19" s="283" cm="1">
        <f t="array" ref="AO19">SUM(COUNTIFS($C19:$AG19,{"4","5","6"}))</f>
        <v>0</v>
      </c>
      <c r="AP19" s="283">
        <f>AJ19*'Spreadsheet Key'!$A$23 + AK19*'Spreadsheet Key'!$A$24 + AL19*'Spreadsheet Key'!$A$25 + AM19*'Spreadsheet Key'!$A$26</f>
        <v>0</v>
      </c>
      <c r="AQ19" s="283">
        <f>AI19/('APR Statistics'!$B$24)</f>
        <v>0</v>
      </c>
      <c r="AR19" s="283">
        <f>AQ19*'APR Statistics'!$C$6</f>
        <v>0</v>
      </c>
      <c r="AS19" s="283"/>
      <c r="AT19" s="283">
        <f t="shared" si="0"/>
        <v>0</v>
      </c>
      <c r="AU19" s="283">
        <f t="shared" si="1"/>
        <v>0</v>
      </c>
      <c r="AV19" s="283">
        <f t="shared" si="2"/>
        <v>0</v>
      </c>
      <c r="AW19" s="283" cm="1">
        <f t="array" ref="AW19">COUNTIFS($C19:$AG19,"9",$C$4:$AG$4,"1")+SUM(COUNTIFS($C19:$AG19,{"8","9"},$C$4:$AG$4,"2"))+COUNTIFS($C19:$AG19,"8",$C$4:$AG$4,"3")</f>
        <v>0</v>
      </c>
      <c r="AX19" s="283">
        <f t="shared" si="3"/>
        <v>0</v>
      </c>
      <c r="AY19" s="283">
        <f t="shared" si="4"/>
        <v>0</v>
      </c>
      <c r="AZ19" s="283">
        <f>AT19*'Spreadsheet Key'!$A$27+AU19*'Spreadsheet Key'!$A$28+AV19*'Spreadsheet Key'!$A$29+AW19*'Spreadsheet Key'!$A$30+AX19*'Spreadsheet Key'!$A$31</f>
        <v>0</v>
      </c>
      <c r="BA19" s="283"/>
      <c r="BB19" s="283"/>
      <c r="BC19" s="283"/>
      <c r="BD19" s="283"/>
      <c r="BE19" s="283"/>
      <c r="BF19" s="283"/>
    </row>
    <row r="20" spans="1:58" s="3211" customFormat="1">
      <c r="A20" s="3180" t="s">
        <v>108</v>
      </c>
      <c r="B20" s="3180" t="s">
        <v>109</v>
      </c>
      <c r="C20" s="3206">
        <v>0</v>
      </c>
      <c r="D20" s="3206">
        <v>9</v>
      </c>
      <c r="E20" s="3206">
        <v>0</v>
      </c>
      <c r="F20" s="3206">
        <v>0</v>
      </c>
      <c r="G20" s="3206">
        <v>0</v>
      </c>
      <c r="H20" s="3206">
        <v>0</v>
      </c>
      <c r="I20" s="3206">
        <v>0</v>
      </c>
      <c r="J20" s="3206">
        <v>0</v>
      </c>
      <c r="K20" s="3206">
        <v>9</v>
      </c>
      <c r="L20" s="3206">
        <v>0</v>
      </c>
      <c r="M20" s="3206">
        <v>0</v>
      </c>
      <c r="N20" s="3206">
        <v>0</v>
      </c>
      <c r="O20" s="3206">
        <v>0</v>
      </c>
      <c r="P20" s="3206">
        <v>0</v>
      </c>
      <c r="Q20" s="3206">
        <v>0</v>
      </c>
      <c r="R20" s="3207">
        <v>0</v>
      </c>
      <c r="S20" s="3206">
        <v>0</v>
      </c>
      <c r="T20" s="3206">
        <v>0</v>
      </c>
      <c r="U20" s="3206">
        <v>0</v>
      </c>
      <c r="V20" s="3206">
        <v>0</v>
      </c>
      <c r="W20" s="3206">
        <v>0</v>
      </c>
      <c r="X20" s="3206">
        <v>0</v>
      </c>
      <c r="Y20" s="3206">
        <v>0</v>
      </c>
      <c r="Z20" s="3206">
        <v>0</v>
      </c>
      <c r="AA20" s="3206">
        <v>0</v>
      </c>
      <c r="AB20" s="3206">
        <v>0</v>
      </c>
      <c r="AC20" s="3206">
        <v>0</v>
      </c>
      <c r="AD20" s="3206">
        <v>8</v>
      </c>
      <c r="AE20" s="3206">
        <v>0</v>
      </c>
      <c r="AF20" s="3206">
        <v>0</v>
      </c>
      <c r="AG20" s="3209"/>
      <c r="AH20" s="3209"/>
      <c r="AI20" s="283" cm="1">
        <f t="array" ref="AI20">SUM(COUNTIFS($C20:$AG20,{"0","4","5","6","7","8","9"}))</f>
        <v>30</v>
      </c>
      <c r="AJ20" s="283" cm="1">
        <f t="array" ref="AJ20">SUM(COUNTIFS($C20:$AG20,{"0","4","5","6","7","8","9"},$C$4:$AG$4,"0"))</f>
        <v>18</v>
      </c>
      <c r="AK20" s="283" cm="1">
        <f t="array" ref="AK20">SUM(COUNTIFS($C20:$AG20,{"0","4","5","6","7","8","9"},$C$4:$AG$4,"1"))</f>
        <v>4</v>
      </c>
      <c r="AL20" s="283" cm="1">
        <f t="array" ref="AL20">SUM(COUNTIFS($C20:$AG20,{"0","4","5","6","7","8","9"},$C$4:$AG$4,"2"))</f>
        <v>4</v>
      </c>
      <c r="AM20" s="283" cm="1">
        <f t="array" ref="AM20">SUM(COUNTIFS($C20:$AG20,{"0","4","5","6","7","8","9"},$C$4:$AG$4,"3"))</f>
        <v>4</v>
      </c>
      <c r="AN20" s="283" cm="1">
        <f t="array" ref="AN20">SUM(COUNTIFS($C20:$AG20,{"1","2","3"}))</f>
        <v>0</v>
      </c>
      <c r="AO20" s="283" cm="1">
        <f t="array" ref="AO20">SUM(COUNTIFS($C20:$AG20,{"4","5","6"}))</f>
        <v>0</v>
      </c>
      <c r="AP20" s="283">
        <f>AJ20*'Spreadsheet Key'!$A$23 + AK20*'Spreadsheet Key'!$A$24 + AL20*'Spreadsheet Key'!$A$25 + AM20*'Spreadsheet Key'!$A$26</f>
        <v>1124</v>
      </c>
      <c r="AQ20" s="283">
        <f>AI20/('APR Statistics'!$B$24)</f>
        <v>4.709576138147567E-2</v>
      </c>
      <c r="AR20" s="283">
        <f>AQ20*'APR Statistics'!$C$6</f>
        <v>55.290423861852439</v>
      </c>
      <c r="AS20" s="283"/>
      <c r="AT20" s="283">
        <f t="shared" si="0"/>
        <v>1</v>
      </c>
      <c r="AU20" s="283">
        <f t="shared" si="1"/>
        <v>2</v>
      </c>
      <c r="AV20" s="283">
        <f t="shared" si="2"/>
        <v>0</v>
      </c>
      <c r="AW20" s="283" cm="1">
        <f t="array" ref="AW20">COUNTIFS($C20:$AG20,"9",$C$4:$AG$4,"1")+SUM(COUNTIFS($C20:$AG20,{"8","9"},$C$4:$AG$4,"2"))+COUNTIFS($C20:$AG20,"8",$C$4:$AG$4,"3")</f>
        <v>0</v>
      </c>
      <c r="AX20" s="283">
        <f t="shared" si="3"/>
        <v>0</v>
      </c>
      <c r="AY20" s="283">
        <f t="shared" si="4"/>
        <v>3</v>
      </c>
      <c r="AZ20" s="283">
        <f>AT20*'Spreadsheet Key'!$A$27+AU20*'Spreadsheet Key'!$A$28+AV20*'Spreadsheet Key'!$A$29+AW20*'Spreadsheet Key'!$A$30+AX20*'Spreadsheet Key'!$A$31</f>
        <v>34</v>
      </c>
      <c r="BA20" s="283"/>
      <c r="BB20" s="283">
        <f t="shared" ref="BB20" si="11">AR20-AZ20</f>
        <v>21.290423861852439</v>
      </c>
      <c r="BC20" s="3210"/>
      <c r="BD20" s="3210"/>
      <c r="BE20" s="3210"/>
      <c r="BF20" s="3210"/>
    </row>
    <row r="21" spans="1:58">
      <c r="A21" s="3208"/>
      <c r="B21" s="3208"/>
      <c r="C21" s="3181"/>
      <c r="D21" s="3181"/>
      <c r="E21" s="3181"/>
      <c r="F21" s="6276" t="s">
        <v>112</v>
      </c>
      <c r="G21" s="6276"/>
      <c r="H21" s="6276"/>
      <c r="I21" s="6276"/>
      <c r="J21" s="3181"/>
      <c r="K21" s="3181"/>
      <c r="L21" s="3181"/>
      <c r="M21" s="3182" t="s">
        <v>720</v>
      </c>
      <c r="N21" s="3181"/>
      <c r="O21" s="3181"/>
      <c r="P21" s="3181"/>
      <c r="Q21" s="3181"/>
      <c r="R21" s="3181"/>
      <c r="S21" s="3181"/>
      <c r="T21" s="3181"/>
      <c r="U21" s="3181"/>
      <c r="V21" s="3181"/>
      <c r="W21" s="3182" t="s">
        <v>720</v>
      </c>
      <c r="X21" s="3181"/>
      <c r="Y21" s="3181"/>
      <c r="Z21" s="3181"/>
      <c r="AA21" s="3181"/>
      <c r="AB21" s="3181"/>
      <c r="AC21" s="3181"/>
      <c r="AD21" s="3181"/>
      <c r="AE21" s="3181"/>
      <c r="AF21" s="3181"/>
      <c r="AG21" s="3126"/>
      <c r="AH21" s="3126"/>
      <c r="AI21" s="283" cm="1">
        <f t="array" ref="AI21">SUM(COUNTIFS($C21:$AG21,{"0","4","5","6","7","8","9"}))</f>
        <v>0</v>
      </c>
      <c r="AJ21" s="283" cm="1">
        <f t="array" ref="AJ21">SUM(COUNTIFS($C21:$AG21,{"0","4","5","6","7","8","9"},$C$4:$AG$4,"0"))</f>
        <v>0</v>
      </c>
      <c r="AK21" s="283" cm="1">
        <f t="array" ref="AK21">SUM(COUNTIFS($C21:$AG21,{"0","4","5","6","7","8","9"},$C$4:$AG$4,"1"))</f>
        <v>0</v>
      </c>
      <c r="AL21" s="283" cm="1">
        <f t="array" ref="AL21">SUM(COUNTIFS($C21:$AG21,{"0","4","5","6","7","8","9"},$C$4:$AG$4,"2"))</f>
        <v>0</v>
      </c>
      <c r="AM21" s="283" cm="1">
        <f t="array" ref="AM21">SUM(COUNTIFS($C21:$AG21,{"0","4","5","6","7","8","9"},$C$4:$AG$4,"3"))</f>
        <v>0</v>
      </c>
      <c r="AN21" s="283" cm="1">
        <f t="array" ref="AN21">SUM(COUNTIFS($C21:$AG21,{"1","2","3"}))</f>
        <v>0</v>
      </c>
      <c r="AO21" s="283" cm="1">
        <f t="array" ref="AO21">SUM(COUNTIFS($C21:$AG21,{"4","5","6"}))</f>
        <v>0</v>
      </c>
      <c r="AP21" s="283">
        <f>AJ21*'Spreadsheet Key'!$A$23 + AK21*'Spreadsheet Key'!$A$24 + AL21*'Spreadsheet Key'!$A$25 + AM21*'Spreadsheet Key'!$A$26</f>
        <v>0</v>
      </c>
      <c r="AQ21" s="283">
        <f>AI21/('APR Statistics'!$B$24)</f>
        <v>0</v>
      </c>
      <c r="AR21" s="283">
        <f>AQ21*'APR Statistics'!$C$6</f>
        <v>0</v>
      </c>
      <c r="AS21" s="283"/>
      <c r="AT21" s="283">
        <f t="shared" si="0"/>
        <v>0</v>
      </c>
      <c r="AU21" s="283">
        <f t="shared" si="1"/>
        <v>0</v>
      </c>
      <c r="AV21" s="283">
        <f t="shared" si="2"/>
        <v>0</v>
      </c>
      <c r="AW21" s="283" cm="1">
        <f t="array" ref="AW21">COUNTIFS($C21:$AG21,"9",$C$4:$AG$4,"1")+SUM(COUNTIFS($C21:$AG21,{"8","9"},$C$4:$AG$4,"2"))+COUNTIFS($C21:$AG21,"8",$C$4:$AG$4,"3")</f>
        <v>0</v>
      </c>
      <c r="AX21" s="283">
        <f t="shared" si="3"/>
        <v>0</v>
      </c>
      <c r="AY21" s="283">
        <f t="shared" si="4"/>
        <v>0</v>
      </c>
      <c r="AZ21" s="283">
        <f>AT21*'Spreadsheet Key'!$A$27+AU21*'Spreadsheet Key'!$A$28+AV21*'Spreadsheet Key'!$A$29+AW21*'Spreadsheet Key'!$A$30+AX21*'Spreadsheet Key'!$A$31</f>
        <v>0</v>
      </c>
      <c r="BA21" s="283"/>
      <c r="BB21" s="283"/>
      <c r="BC21" s="283"/>
      <c r="BD21" s="283"/>
      <c r="BE21" s="283"/>
      <c r="BF21" s="283"/>
    </row>
    <row r="22" spans="1:58" s="3211" customFormat="1">
      <c r="A22" s="3187" t="s">
        <v>283</v>
      </c>
      <c r="B22" s="3187" t="s">
        <v>201</v>
      </c>
      <c r="C22" s="3199">
        <v>0</v>
      </c>
      <c r="D22" s="3199">
        <v>0</v>
      </c>
      <c r="E22" s="3199">
        <v>0</v>
      </c>
      <c r="F22" s="3199">
        <v>1</v>
      </c>
      <c r="G22" s="3199">
        <v>2</v>
      </c>
      <c r="H22" s="3199">
        <v>2</v>
      </c>
      <c r="I22" s="3199">
        <v>3</v>
      </c>
      <c r="J22" s="3199">
        <v>0</v>
      </c>
      <c r="K22" s="3199">
        <v>0</v>
      </c>
      <c r="L22" s="3199">
        <v>0</v>
      </c>
      <c r="M22" s="3199">
        <v>8</v>
      </c>
      <c r="N22" s="3199">
        <v>0</v>
      </c>
      <c r="O22" s="3199">
        <v>0</v>
      </c>
      <c r="P22" s="3199">
        <v>0</v>
      </c>
      <c r="Q22" s="3199">
        <v>0</v>
      </c>
      <c r="R22" s="3199">
        <v>0</v>
      </c>
      <c r="S22" s="3199">
        <v>0</v>
      </c>
      <c r="T22" s="3199">
        <v>0</v>
      </c>
      <c r="U22" s="3199">
        <v>0</v>
      </c>
      <c r="V22" s="3199">
        <v>0</v>
      </c>
      <c r="W22" s="3199">
        <v>8</v>
      </c>
      <c r="X22" s="3199">
        <v>0</v>
      </c>
      <c r="Y22" s="3199">
        <v>0</v>
      </c>
      <c r="Z22" s="3199">
        <v>0</v>
      </c>
      <c r="AA22" s="3199">
        <v>0</v>
      </c>
      <c r="AB22" s="3199">
        <v>0</v>
      </c>
      <c r="AC22" s="3199">
        <v>0</v>
      </c>
      <c r="AD22" s="3199">
        <v>0</v>
      </c>
      <c r="AE22" s="3199">
        <v>0</v>
      </c>
      <c r="AF22" s="3199">
        <v>0</v>
      </c>
      <c r="AG22" s="3209">
        <v>0</v>
      </c>
      <c r="AH22" s="3209"/>
      <c r="AI22" s="283" cm="1">
        <f t="array" ref="AI22">SUM(COUNTIFS($C22:$AG22,{"0","4","5","6","7","8","9"}))</f>
        <v>27</v>
      </c>
      <c r="AJ22" s="283" cm="1">
        <f t="array" ref="AJ22">SUM(COUNTIFS($C22:$AG22,{"0","4","5","6","7","8","9"},$C$4:$AG$4,"0"))</f>
        <v>17</v>
      </c>
      <c r="AK22" s="283" cm="1">
        <f t="array" ref="AK22">SUM(COUNTIFS($C22:$AG22,{"0","4","5","6","7","8","9"},$C$4:$AG$4,"1"))</f>
        <v>3</v>
      </c>
      <c r="AL22" s="283" cm="1">
        <f t="array" ref="AL22">SUM(COUNTIFS($C22:$AG22,{"0","4","5","6","7","8","9"},$C$4:$AG$4,"2"))</f>
        <v>3</v>
      </c>
      <c r="AM22" s="283" cm="1">
        <f t="array" ref="AM22">SUM(COUNTIFS($C22:$AG22,{"0","4","5","6","7","8","9"},$C$4:$AG$4,"3"))</f>
        <v>3</v>
      </c>
      <c r="AN22" s="283" cm="1">
        <f t="array" ref="AN22">SUM(COUNTIFS($C22:$AG22,{"1","2","3"}))</f>
        <v>4</v>
      </c>
      <c r="AO22" s="283" cm="1">
        <f t="array" ref="AO22">SUM(COUNTIFS($C22:$AG22,{"4","5","6"}))</f>
        <v>0</v>
      </c>
      <c r="AP22" s="283">
        <f>AJ22*'Spreadsheet Key'!$A$23 + AK22*'Spreadsheet Key'!$A$24 + AL22*'Spreadsheet Key'!$A$25 + AM22*'Spreadsheet Key'!$A$26</f>
        <v>920</v>
      </c>
      <c r="AQ22" s="283">
        <f>AI22/('APR Statistics'!$B$24)</f>
        <v>4.2386185243328101E-2</v>
      </c>
      <c r="AR22" s="283">
        <v>24</v>
      </c>
      <c r="AS22" s="283"/>
      <c r="AT22" s="283">
        <f t="shared" si="0"/>
        <v>1</v>
      </c>
      <c r="AU22" s="283">
        <f t="shared" si="1"/>
        <v>0</v>
      </c>
      <c r="AV22" s="283">
        <f t="shared" si="2"/>
        <v>1</v>
      </c>
      <c r="AW22" s="283" cm="1">
        <f t="array" ref="AW22">COUNTIFS($C22:$AG22,"9",$C$4:$AG$4,"1")+SUM(COUNTIFS($C22:$AG22,{"8","9"},$C$4:$AG$4,"2"))+COUNTIFS($C22:$AG22,"8",$C$4:$AG$4,"3")</f>
        <v>0</v>
      </c>
      <c r="AX22" s="283">
        <f t="shared" si="3"/>
        <v>0</v>
      </c>
      <c r="AY22" s="283">
        <f t="shared" si="4"/>
        <v>2</v>
      </c>
      <c r="AZ22" s="283">
        <f>AT22*'Spreadsheet Key'!$A$27+AU22*'Spreadsheet Key'!$A$28+AV22*'Spreadsheet Key'!$A$29+AW22*'Spreadsheet Key'!$A$30+AX22*'Spreadsheet Key'!$A$31</f>
        <v>28</v>
      </c>
      <c r="BA22" s="283"/>
      <c r="BB22" s="283">
        <f t="shared" ref="BB22" si="12">AR22-AZ22</f>
        <v>-4</v>
      </c>
      <c r="BC22" s="3210"/>
      <c r="BD22" s="3210"/>
      <c r="BE22" s="3210"/>
      <c r="BF22" s="3210"/>
    </row>
    <row r="23" spans="1:58">
      <c r="A23" s="3212"/>
      <c r="B23" s="3212"/>
      <c r="C23" s="3181"/>
      <c r="D23" s="3181"/>
      <c r="E23" s="3182"/>
      <c r="F23" s="3182" t="s">
        <v>720</v>
      </c>
      <c r="G23" s="3181"/>
      <c r="H23" s="3181"/>
      <c r="I23" s="3181"/>
      <c r="J23" s="3181"/>
      <c r="K23" s="3181"/>
      <c r="L23" s="3181"/>
      <c r="M23" s="6276" t="s">
        <v>1265</v>
      </c>
      <c r="N23" s="6276"/>
      <c r="O23" s="6276"/>
      <c r="P23" s="6276"/>
      <c r="Q23" s="6276"/>
      <c r="R23" s="6276"/>
      <c r="S23" s="6276"/>
      <c r="T23" s="6276"/>
      <c r="U23" s="6276"/>
      <c r="V23" s="6276"/>
      <c r="W23" s="6276"/>
      <c r="X23" s="6276"/>
      <c r="Y23" s="3181"/>
      <c r="Z23" s="3181"/>
      <c r="AA23" s="3182" t="s">
        <v>720</v>
      </c>
      <c r="AB23" s="3182"/>
      <c r="AC23" s="3181"/>
      <c r="AD23" s="6276" t="s">
        <v>737</v>
      </c>
      <c r="AE23" s="6276"/>
      <c r="AF23" s="6276"/>
      <c r="AG23" s="3126"/>
      <c r="AH23" s="3126"/>
      <c r="AI23" s="283" cm="1">
        <f t="array" ref="AI23">SUM(COUNTIFS($C23:$AG23,{"0","4","5","6","7","8","9"}))</f>
        <v>0</v>
      </c>
      <c r="AJ23" s="283" cm="1">
        <f t="array" ref="AJ23">SUM(COUNTIFS($C23:$AG23,{"0","4","5","6","7","8","9"},$C$4:$AG$4,"0"))</f>
        <v>0</v>
      </c>
      <c r="AK23" s="283" cm="1">
        <f t="array" ref="AK23">SUM(COUNTIFS($C23:$AG23,{"0","4","5","6","7","8","9"},$C$4:$AG$4,"1"))</f>
        <v>0</v>
      </c>
      <c r="AL23" s="283" cm="1">
        <f t="array" ref="AL23">SUM(COUNTIFS($C23:$AG23,{"0","4","5","6","7","8","9"},$C$4:$AG$4,"2"))</f>
        <v>0</v>
      </c>
      <c r="AM23" s="283" cm="1">
        <f t="array" ref="AM23">SUM(COUNTIFS($C23:$AG23,{"0","4","5","6","7","8","9"},$C$4:$AG$4,"3"))</f>
        <v>0</v>
      </c>
      <c r="AN23" s="283" cm="1">
        <f t="array" ref="AN23">SUM(COUNTIFS($C23:$AG23,{"1","2","3"}))</f>
        <v>0</v>
      </c>
      <c r="AO23" s="283" cm="1">
        <f t="array" ref="AO23">SUM(COUNTIFS($C23:$AG23,{"4","5","6"}))</f>
        <v>0</v>
      </c>
      <c r="AP23" s="283">
        <f>AJ23*'Spreadsheet Key'!$A$23 + AK23*'Spreadsheet Key'!$A$24 + AL23*'Spreadsheet Key'!$A$25 + AM23*'Spreadsheet Key'!$A$26</f>
        <v>0</v>
      </c>
      <c r="AQ23" s="283">
        <f>AI23/('APR Statistics'!$B$24)</f>
        <v>0</v>
      </c>
      <c r="AR23" s="283">
        <f>AQ23*'APR Statistics'!$C$6</f>
        <v>0</v>
      </c>
      <c r="AS23" s="283"/>
      <c r="AT23" s="283">
        <f t="shared" si="0"/>
        <v>0</v>
      </c>
      <c r="AU23" s="283">
        <f t="shared" si="1"/>
        <v>0</v>
      </c>
      <c r="AV23" s="283">
        <f t="shared" si="2"/>
        <v>0</v>
      </c>
      <c r="AW23" s="283" cm="1">
        <f t="array" ref="AW23">COUNTIFS($C23:$AG23,"9",$C$4:$AG$4,"1")+SUM(COUNTIFS($C23:$AG23,{"8","9"},$C$4:$AG$4,"2"))+COUNTIFS($C23:$AG23,"8",$C$4:$AG$4,"3")</f>
        <v>0</v>
      </c>
      <c r="AX23" s="283">
        <f t="shared" si="3"/>
        <v>0</v>
      </c>
      <c r="AY23" s="283">
        <f t="shared" si="4"/>
        <v>0</v>
      </c>
      <c r="AZ23" s="283">
        <f>AT23*'Spreadsheet Key'!$A$27+AU23*'Spreadsheet Key'!$A$28+AV23*'Spreadsheet Key'!$A$29+AW23*'Spreadsheet Key'!$A$30+AX23*'Spreadsheet Key'!$A$31</f>
        <v>0</v>
      </c>
      <c r="BA23" s="283"/>
      <c r="BB23" s="283"/>
      <c r="BC23" s="283"/>
      <c r="BD23" s="283"/>
      <c r="BE23" s="283"/>
      <c r="BF23" s="283"/>
    </row>
    <row r="24" spans="1:58" s="3211" customFormat="1">
      <c r="A24" s="3187" t="s">
        <v>283</v>
      </c>
      <c r="B24" s="3187" t="s">
        <v>610</v>
      </c>
      <c r="C24" s="3199">
        <v>0</v>
      </c>
      <c r="D24" s="3199">
        <v>0</v>
      </c>
      <c r="E24" s="3199">
        <v>0</v>
      </c>
      <c r="F24" s="3199">
        <v>8</v>
      </c>
      <c r="G24" s="3199">
        <v>0</v>
      </c>
      <c r="H24" s="3199">
        <v>0</v>
      </c>
      <c r="I24" s="3199">
        <v>0</v>
      </c>
      <c r="J24" s="3199">
        <v>0</v>
      </c>
      <c r="K24" s="3199">
        <v>0</v>
      </c>
      <c r="L24" s="3199">
        <v>0</v>
      </c>
      <c r="M24" s="3199">
        <v>1</v>
      </c>
      <c r="N24" s="3199">
        <v>2</v>
      </c>
      <c r="O24" s="3199">
        <v>2</v>
      </c>
      <c r="P24" s="3199">
        <v>2</v>
      </c>
      <c r="Q24" s="3199">
        <v>2</v>
      </c>
      <c r="R24" s="3199">
        <v>2</v>
      </c>
      <c r="S24" s="3199">
        <v>2</v>
      </c>
      <c r="T24" s="3199">
        <v>2</v>
      </c>
      <c r="U24" s="3199">
        <v>2</v>
      </c>
      <c r="V24" s="3199">
        <v>2</v>
      </c>
      <c r="W24" s="3199">
        <v>2</v>
      </c>
      <c r="X24" s="3199">
        <v>3</v>
      </c>
      <c r="Y24" s="3199">
        <v>0</v>
      </c>
      <c r="Z24" s="3199">
        <v>0</v>
      </c>
      <c r="AA24" s="3199">
        <v>8</v>
      </c>
      <c r="AB24" s="3199">
        <v>0</v>
      </c>
      <c r="AC24" s="3199">
        <v>0</v>
      </c>
      <c r="AD24" s="3199">
        <v>7</v>
      </c>
      <c r="AE24" s="3199">
        <v>7</v>
      </c>
      <c r="AF24" s="3199">
        <v>7</v>
      </c>
      <c r="AG24" s="3209"/>
      <c r="AH24" s="3209"/>
      <c r="AI24" s="283" cm="1">
        <f t="array" ref="AI24">SUM(COUNTIFS($C24:$AG24,{"0","4","5","6","7","8","9"}))</f>
        <v>18</v>
      </c>
      <c r="AJ24" s="283" cm="1">
        <f t="array" ref="AJ24">SUM(COUNTIFS($C24:$AG24,{"0","4","5","6","7","8","9"},$C$4:$AG$4,"0"))</f>
        <v>12</v>
      </c>
      <c r="AK24" s="283" cm="1">
        <f t="array" ref="AK24">SUM(COUNTIFS($C24:$AG24,{"0","4","5","6","7","8","9"},$C$4:$AG$4,"1"))</f>
        <v>2</v>
      </c>
      <c r="AL24" s="283" cm="1">
        <f t="array" ref="AL24">SUM(COUNTIFS($C24:$AG24,{"0","4","5","6","7","8","9"},$C$4:$AG$4,"2"))</f>
        <v>2</v>
      </c>
      <c r="AM24" s="283" cm="1">
        <f t="array" ref="AM24">SUM(COUNTIFS($C24:$AG24,{"0","4","5","6","7","8","9"},$C$4:$AG$4,"3"))</f>
        <v>2</v>
      </c>
      <c r="AN24" s="283" cm="1">
        <f t="array" ref="AN24">SUM(COUNTIFS($C24:$AG24,{"1","2","3"}))</f>
        <v>12</v>
      </c>
      <c r="AO24" s="283" cm="1">
        <f t="array" ref="AO24">SUM(COUNTIFS($C24:$AG24,{"4","5","6"}))</f>
        <v>0</v>
      </c>
      <c r="AP24" s="283">
        <f>AJ24*'Spreadsheet Key'!$A$23 + AK24*'Spreadsheet Key'!$A$24 + AL24*'Spreadsheet Key'!$A$25 + AM24*'Spreadsheet Key'!$A$26</f>
        <v>628</v>
      </c>
      <c r="AQ24" s="283">
        <f>AI24/('APR Statistics'!$B$24)</f>
        <v>2.8257456828885402E-2</v>
      </c>
      <c r="AR24" s="283">
        <v>24</v>
      </c>
      <c r="AS24" s="283"/>
      <c r="AT24" s="283">
        <f t="shared" si="0"/>
        <v>0</v>
      </c>
      <c r="AU24" s="283">
        <f t="shared" si="1"/>
        <v>0</v>
      </c>
      <c r="AV24" s="283">
        <f t="shared" si="2"/>
        <v>2</v>
      </c>
      <c r="AW24" s="283" cm="1">
        <f t="array" ref="AW24">COUNTIFS($C24:$AG24,"9",$C$4:$AG$4,"1")+SUM(COUNTIFS($C24:$AG24,{"8","9"},$C$4:$AG$4,"2"))+COUNTIFS($C24:$AG24,"8",$C$4:$AG$4,"3")</f>
        <v>0</v>
      </c>
      <c r="AX24" s="283">
        <f t="shared" si="3"/>
        <v>0</v>
      </c>
      <c r="AY24" s="283">
        <f t="shared" si="4"/>
        <v>2</v>
      </c>
      <c r="AZ24" s="283">
        <f>AT24*'Spreadsheet Key'!$A$27+AU24*'Spreadsheet Key'!$A$28+AV24*'Spreadsheet Key'!$A$29+AW24*'Spreadsheet Key'!$A$30+AX24*'Spreadsheet Key'!$A$31</f>
        <v>36</v>
      </c>
      <c r="BA24" s="283"/>
      <c r="BB24" s="283">
        <f t="shared" ref="BB24" si="13">AR24-AZ24</f>
        <v>-12</v>
      </c>
      <c r="BC24" s="3210"/>
      <c r="BD24" s="3210"/>
      <c r="BE24" s="3210"/>
      <c r="BF24" s="3210"/>
    </row>
    <row r="25" spans="1:58">
      <c r="A25" s="3212"/>
      <c r="B25" s="3212"/>
      <c r="C25" s="6276" t="s">
        <v>375</v>
      </c>
      <c r="D25" s="6276"/>
      <c r="E25" s="6276"/>
      <c r="F25" s="6276"/>
      <c r="G25" s="6276"/>
      <c r="H25" s="6276"/>
      <c r="I25" s="3181"/>
      <c r="J25" s="3181"/>
      <c r="K25" s="3181"/>
      <c r="L25" s="3181"/>
      <c r="M25" s="3181"/>
      <c r="N25" s="3181"/>
      <c r="O25" s="3182" t="s">
        <v>722</v>
      </c>
      <c r="P25" s="3181"/>
      <c r="Q25" s="3181"/>
      <c r="R25" s="3181"/>
      <c r="S25" s="3181"/>
      <c r="T25" s="3181"/>
      <c r="U25" s="3181"/>
      <c r="V25" s="3181"/>
      <c r="W25" s="3181"/>
      <c r="X25" s="3181"/>
      <c r="Y25" s="3181"/>
      <c r="Z25" s="3181"/>
      <c r="AA25" s="3181"/>
      <c r="AB25" s="3181"/>
      <c r="AC25" s="3181"/>
      <c r="AD25" s="3182" t="s">
        <v>722</v>
      </c>
      <c r="AE25" s="3181"/>
      <c r="AF25" s="3181"/>
      <c r="AG25" s="3126"/>
      <c r="AH25" s="3126"/>
      <c r="AI25" s="283" cm="1">
        <f t="array" ref="AI25">SUM(COUNTIFS($C25:$AG25,{"0","4","5","6","7","8","9"}))</f>
        <v>0</v>
      </c>
      <c r="AJ25" s="283" cm="1">
        <f t="array" ref="AJ25">SUM(COUNTIFS($C25:$AG25,{"0","4","5","6","7","8","9"},$C$4:$AG$4,"0"))</f>
        <v>0</v>
      </c>
      <c r="AK25" s="283" cm="1">
        <f t="array" ref="AK25">SUM(COUNTIFS($C25:$AG25,{"0","4","5","6","7","8","9"},$C$4:$AG$4,"1"))</f>
        <v>0</v>
      </c>
      <c r="AL25" s="283" cm="1">
        <f t="array" ref="AL25">SUM(COUNTIFS($C25:$AG25,{"0","4","5","6","7","8","9"},$C$4:$AG$4,"2"))</f>
        <v>0</v>
      </c>
      <c r="AM25" s="283" cm="1">
        <f t="array" ref="AM25">SUM(COUNTIFS($C25:$AG25,{"0","4","5","6","7","8","9"},$C$4:$AG$4,"3"))</f>
        <v>0</v>
      </c>
      <c r="AN25" s="283" cm="1">
        <f t="array" ref="AN25">SUM(COUNTIFS($C25:$AG25,{"1","2","3"}))</f>
        <v>0</v>
      </c>
      <c r="AO25" s="283" cm="1">
        <f t="array" ref="AO25">SUM(COUNTIFS($C25:$AG25,{"4","5","6"}))</f>
        <v>0</v>
      </c>
      <c r="AP25" s="283">
        <f>AJ25*'Spreadsheet Key'!$A$23 + AK25*'Spreadsheet Key'!$A$24 + AL25*'Spreadsheet Key'!$A$25 + AM25*'Spreadsheet Key'!$A$26</f>
        <v>0</v>
      </c>
      <c r="AQ25" s="283">
        <f>AI25/('APR Statistics'!$B$24)</f>
        <v>0</v>
      </c>
      <c r="AR25" s="283">
        <f>AQ25*'APR Statistics'!$C$6</f>
        <v>0</v>
      </c>
      <c r="AS25" s="283"/>
      <c r="AT25" s="283">
        <f t="shared" si="0"/>
        <v>0</v>
      </c>
      <c r="AU25" s="283">
        <f t="shared" si="1"/>
        <v>0</v>
      </c>
      <c r="AV25" s="283">
        <f t="shared" si="2"/>
        <v>0</v>
      </c>
      <c r="AW25" s="283" cm="1">
        <f t="array" ref="AW25">COUNTIFS($C25:$AG25,"9",$C$4:$AG$4,"1")+SUM(COUNTIFS($C25:$AG25,{"8","9"},$C$4:$AG$4,"2"))+COUNTIFS($C25:$AG25,"8",$C$4:$AG$4,"3")</f>
        <v>0</v>
      </c>
      <c r="AX25" s="283">
        <f t="shared" si="3"/>
        <v>0</v>
      </c>
      <c r="AY25" s="283">
        <f t="shared" si="4"/>
        <v>0</v>
      </c>
      <c r="AZ25" s="283">
        <f>AT25*'Spreadsheet Key'!$A$27+AU25*'Spreadsheet Key'!$A$28+AV25*'Spreadsheet Key'!$A$29+AW25*'Spreadsheet Key'!$A$30+AX25*'Spreadsheet Key'!$A$31</f>
        <v>0</v>
      </c>
      <c r="BA25" s="283"/>
      <c r="BB25" s="283"/>
      <c r="BC25" s="283"/>
      <c r="BD25" s="283"/>
      <c r="BE25" s="283"/>
      <c r="BF25" s="283"/>
    </row>
    <row r="26" spans="1:58" s="3211" customFormat="1">
      <c r="A26" s="3187" t="s">
        <v>122</v>
      </c>
      <c r="B26" s="3187" t="s">
        <v>553</v>
      </c>
      <c r="C26" s="3199">
        <v>2</v>
      </c>
      <c r="D26" s="3199">
        <v>2</v>
      </c>
      <c r="E26" s="3199">
        <v>2</v>
      </c>
      <c r="F26" s="3199">
        <v>2</v>
      </c>
      <c r="G26" s="3199">
        <v>2</v>
      </c>
      <c r="H26" s="3199">
        <v>3</v>
      </c>
      <c r="I26" s="3199">
        <v>0</v>
      </c>
      <c r="J26" s="3199">
        <v>0</v>
      </c>
      <c r="K26" s="3199">
        <v>0</v>
      </c>
      <c r="L26" s="3199">
        <v>0</v>
      </c>
      <c r="M26" s="3199">
        <v>0</v>
      </c>
      <c r="N26" s="3199">
        <v>0</v>
      </c>
      <c r="O26" s="3199">
        <v>9</v>
      </c>
      <c r="P26" s="3199">
        <v>0</v>
      </c>
      <c r="Q26" s="3199">
        <v>0</v>
      </c>
      <c r="R26" s="3199">
        <v>0</v>
      </c>
      <c r="S26" s="3199">
        <v>0</v>
      </c>
      <c r="T26" s="3199">
        <v>0</v>
      </c>
      <c r="U26" s="3199">
        <v>0</v>
      </c>
      <c r="V26" s="3199">
        <v>0</v>
      </c>
      <c r="W26" s="3199">
        <v>0</v>
      </c>
      <c r="X26" s="3199">
        <v>0</v>
      </c>
      <c r="Y26" s="3199">
        <v>0</v>
      </c>
      <c r="Z26" s="3199">
        <v>0</v>
      </c>
      <c r="AA26" s="3199">
        <v>0</v>
      </c>
      <c r="AB26" s="3199">
        <v>0</v>
      </c>
      <c r="AC26" s="3199">
        <v>0</v>
      </c>
      <c r="AD26" s="3199">
        <v>9</v>
      </c>
      <c r="AE26" s="3199">
        <v>0</v>
      </c>
      <c r="AF26" s="3199">
        <v>0</v>
      </c>
      <c r="AG26" s="3209"/>
      <c r="AH26" s="3209"/>
      <c r="AI26" s="283" cm="1">
        <f t="array" ref="AI26">SUM(COUNTIFS($C26:$AG26,{"0","4","5","6","7","8","9"}))</f>
        <v>24</v>
      </c>
      <c r="AJ26" s="283" cm="1">
        <f t="array" ref="AJ26">SUM(COUNTIFS($C26:$AG26,{"0","4","5","6","7","8","9"},$C$4:$AG$4,"0"))</f>
        <v>15</v>
      </c>
      <c r="AK26" s="283" cm="1">
        <f t="array" ref="AK26">SUM(COUNTIFS($C26:$AG26,{"0","4","5","6","7","8","9"},$C$4:$AG$4,"1"))</f>
        <v>3</v>
      </c>
      <c r="AL26" s="283" cm="1">
        <f t="array" ref="AL26">SUM(COUNTIFS($C26:$AG26,{"0","4","5","6","7","8","9"},$C$4:$AG$4,"2"))</f>
        <v>3</v>
      </c>
      <c r="AM26" s="283" cm="1">
        <f t="array" ref="AM26">SUM(COUNTIFS($C26:$AG26,{"0","4","5","6","7","8","9"},$C$4:$AG$4,"3"))</f>
        <v>3</v>
      </c>
      <c r="AN26" s="283" cm="1">
        <f t="array" ref="AN26">SUM(COUNTIFS($C26:$AG26,{"1","2","3"}))</f>
        <v>6</v>
      </c>
      <c r="AO26" s="283" cm="1">
        <f t="array" ref="AO26">SUM(COUNTIFS($C26:$AG26,{"4","5","6"}))</f>
        <v>0</v>
      </c>
      <c r="AP26" s="283">
        <f>AJ26*'Spreadsheet Key'!$A$23 + AK26*'Spreadsheet Key'!$A$24 + AL26*'Spreadsheet Key'!$A$25 + AM26*'Spreadsheet Key'!$A$26</f>
        <v>876</v>
      </c>
      <c r="AQ26" s="283">
        <f>AI26/('APR Statistics'!$B$24)</f>
        <v>3.7676609105180531E-2</v>
      </c>
      <c r="AR26" s="283">
        <f>AQ26*'APR Statistics'!$C$6</f>
        <v>44.23233908948194</v>
      </c>
      <c r="AS26" s="283"/>
      <c r="AT26" s="283">
        <f t="shared" si="0"/>
        <v>0</v>
      </c>
      <c r="AU26" s="283">
        <f t="shared" si="1"/>
        <v>1</v>
      </c>
      <c r="AV26" s="283">
        <f t="shared" si="2"/>
        <v>0</v>
      </c>
      <c r="AW26" s="283" cm="1">
        <f t="array" ref="AW26">COUNTIFS($C26:$AG26,"9",$C$4:$AG$4,"1")+SUM(COUNTIFS($C26:$AG26,{"8","9"},$C$4:$AG$4,"2"))+COUNTIFS($C26:$AG26,"8",$C$4:$AG$4,"3")</f>
        <v>0</v>
      </c>
      <c r="AX26" s="283">
        <f t="shared" si="3"/>
        <v>1</v>
      </c>
      <c r="AY26" s="283">
        <f t="shared" si="4"/>
        <v>2</v>
      </c>
      <c r="AZ26" s="283">
        <f>AT26*'Spreadsheet Key'!$A$27+AU26*'Spreadsheet Key'!$A$28+AV26*'Spreadsheet Key'!$A$29+AW26*'Spreadsheet Key'!$A$30+AX26*'Spreadsheet Key'!$A$31</f>
        <v>32</v>
      </c>
      <c r="BA26" s="283"/>
      <c r="BB26" s="283">
        <f t="shared" ref="BB26" si="14">AR26-AZ26</f>
        <v>12.23233908948194</v>
      </c>
      <c r="BC26" s="3210"/>
      <c r="BD26" s="3210"/>
      <c r="BE26" s="3210"/>
      <c r="BF26" s="3210"/>
    </row>
    <row r="27" spans="1:58">
      <c r="A27" s="3212"/>
      <c r="B27" s="3212"/>
      <c r="C27" s="6270" t="s">
        <v>1231</v>
      </c>
      <c r="D27" s="6270"/>
      <c r="E27" s="3183" t="s">
        <v>1025</v>
      </c>
      <c r="F27" s="3181"/>
      <c r="G27" s="3181"/>
      <c r="H27" s="3181"/>
      <c r="I27" s="3181"/>
      <c r="J27" s="3181"/>
      <c r="K27" s="3181"/>
      <c r="L27" s="3181"/>
      <c r="M27" s="3181"/>
      <c r="N27" s="3181"/>
      <c r="O27" s="3181"/>
      <c r="P27" s="3181"/>
      <c r="Q27" s="3182" t="s">
        <v>720</v>
      </c>
      <c r="R27" s="3181"/>
      <c r="S27" s="3181"/>
      <c r="T27" s="3181"/>
      <c r="U27" s="3181"/>
      <c r="V27" s="3182" t="s">
        <v>722</v>
      </c>
      <c r="W27" s="3181"/>
      <c r="X27" s="3181"/>
      <c r="Y27" s="3181"/>
      <c r="Z27" s="3181"/>
      <c r="AA27" s="3181"/>
      <c r="AB27" s="3181"/>
      <c r="AC27" s="3181"/>
      <c r="AD27" s="3181"/>
      <c r="AE27" s="3181"/>
      <c r="AF27" s="3181"/>
      <c r="AG27" s="3126"/>
      <c r="AH27" s="3126"/>
      <c r="AI27" s="283" cm="1">
        <f t="array" ref="AI27">SUM(COUNTIFS($C27:$AG27,{"0","4","5","6","7","8","9"}))</f>
        <v>0</v>
      </c>
      <c r="AJ27" s="283" cm="1">
        <f t="array" ref="AJ27">SUM(COUNTIFS($C27:$AG27,{"0","4","5","6","7","8","9"},$C$4:$AG$4,"0"))</f>
        <v>0</v>
      </c>
      <c r="AK27" s="283" cm="1">
        <f t="array" ref="AK27">SUM(COUNTIFS($C27:$AG27,{"0","4","5","6","7","8","9"},$C$4:$AG$4,"1"))</f>
        <v>0</v>
      </c>
      <c r="AL27" s="283" cm="1">
        <f t="array" ref="AL27">SUM(COUNTIFS($C27:$AG27,{"0","4","5","6","7","8","9"},$C$4:$AG$4,"2"))</f>
        <v>0</v>
      </c>
      <c r="AM27" s="283" cm="1">
        <f t="array" ref="AM27">SUM(COUNTIFS($C27:$AG27,{"0","4","5","6","7","8","9"},$C$4:$AG$4,"3"))</f>
        <v>0</v>
      </c>
      <c r="AN27" s="283" cm="1">
        <f t="array" ref="AN27">SUM(COUNTIFS($C27:$AG27,{"1","2","3"}))</f>
        <v>0</v>
      </c>
      <c r="AO27" s="283" cm="1">
        <f t="array" ref="AO27">SUM(COUNTIFS($C27:$AG27,{"4","5","6"}))</f>
        <v>0</v>
      </c>
      <c r="AP27" s="283">
        <f>AJ27*'Spreadsheet Key'!$A$23 + AK27*'Spreadsheet Key'!$A$24 + AL27*'Spreadsheet Key'!$A$25 + AM27*'Spreadsheet Key'!$A$26</f>
        <v>0</v>
      </c>
      <c r="AQ27" s="283">
        <f>AI27/('APR Statistics'!$B$24)</f>
        <v>0</v>
      </c>
      <c r="AR27" s="283">
        <f>AQ27*'APR Statistics'!$C$6</f>
        <v>0</v>
      </c>
      <c r="AS27" s="283"/>
      <c r="AT27" s="283">
        <f t="shared" si="0"/>
        <v>0</v>
      </c>
      <c r="AU27" s="283">
        <f t="shared" si="1"/>
        <v>0</v>
      </c>
      <c r="AV27" s="283">
        <f t="shared" si="2"/>
        <v>0</v>
      </c>
      <c r="AW27" s="283" cm="1">
        <f t="array" ref="AW27">COUNTIFS($C27:$AG27,"9",$C$4:$AG$4,"1")+SUM(COUNTIFS($C27:$AG27,{"8","9"},$C$4:$AG$4,"2"))+COUNTIFS($C27:$AG27,"8",$C$4:$AG$4,"3")</f>
        <v>0</v>
      </c>
      <c r="AX27" s="283">
        <f t="shared" si="3"/>
        <v>0</v>
      </c>
      <c r="AY27" s="283">
        <f t="shared" si="4"/>
        <v>0</v>
      </c>
      <c r="AZ27" s="283">
        <f>AT27*'Spreadsheet Key'!$A$27+AU27*'Spreadsheet Key'!$A$28+AV27*'Spreadsheet Key'!$A$29+AW27*'Spreadsheet Key'!$A$30+AX27*'Spreadsheet Key'!$A$31</f>
        <v>0</v>
      </c>
      <c r="BA27" s="283"/>
      <c r="BB27" s="283"/>
      <c r="BC27" s="283"/>
      <c r="BD27" s="283"/>
      <c r="BE27" s="283"/>
      <c r="BF27" s="283"/>
    </row>
    <row r="28" spans="1:58" s="3211" customFormat="1">
      <c r="A28" s="3187" t="s">
        <v>293</v>
      </c>
      <c r="B28" s="3187" t="s">
        <v>733</v>
      </c>
      <c r="C28" s="3199">
        <v>2</v>
      </c>
      <c r="D28" s="3199">
        <v>2</v>
      </c>
      <c r="E28" s="3199">
        <v>3</v>
      </c>
      <c r="F28" s="3199">
        <v>0</v>
      </c>
      <c r="G28" s="3199">
        <v>0</v>
      </c>
      <c r="H28" s="3199">
        <v>0</v>
      </c>
      <c r="I28" s="3199">
        <v>0</v>
      </c>
      <c r="J28" s="3199">
        <v>0</v>
      </c>
      <c r="K28" s="3199">
        <v>0</v>
      </c>
      <c r="L28" s="3199">
        <v>0</v>
      </c>
      <c r="M28" s="3199">
        <v>0</v>
      </c>
      <c r="N28" s="3199">
        <v>0</v>
      </c>
      <c r="O28" s="3199">
        <v>0</v>
      </c>
      <c r="P28" s="3199">
        <v>0</v>
      </c>
      <c r="Q28" s="3199">
        <v>8</v>
      </c>
      <c r="R28" s="3199">
        <v>0</v>
      </c>
      <c r="S28" s="3199">
        <v>0</v>
      </c>
      <c r="T28" s="3199">
        <v>0</v>
      </c>
      <c r="U28" s="3199">
        <v>0</v>
      </c>
      <c r="V28" s="3199">
        <v>9</v>
      </c>
      <c r="W28" s="3199">
        <v>0</v>
      </c>
      <c r="X28" s="3199">
        <v>0</v>
      </c>
      <c r="Y28" s="3199">
        <v>0</v>
      </c>
      <c r="Z28" s="3199">
        <v>0</v>
      </c>
      <c r="AA28" s="3199">
        <v>0</v>
      </c>
      <c r="AB28" s="3199">
        <v>0</v>
      </c>
      <c r="AC28" s="3199">
        <v>0</v>
      </c>
      <c r="AD28" s="3199">
        <v>0</v>
      </c>
      <c r="AE28" s="3199">
        <v>0</v>
      </c>
      <c r="AF28" s="3199">
        <v>0</v>
      </c>
      <c r="AG28" s="3209"/>
      <c r="AH28" s="3209"/>
      <c r="AI28" s="283" cm="1">
        <f t="array" ref="AI28">SUM(COUNTIFS($C28:$AG28,{"0","4","5","6","7","8","9"}))</f>
        <v>27</v>
      </c>
      <c r="AJ28" s="283" cm="1">
        <f t="array" ref="AJ28">SUM(COUNTIFS($C28:$AG28,{"0","4","5","6","7","8","9"},$C$4:$AG$4,"0"))</f>
        <v>15</v>
      </c>
      <c r="AK28" s="283" cm="1">
        <f t="array" ref="AK28">SUM(COUNTIFS($C28:$AG28,{"0","4","5","6","7","8","9"},$C$4:$AG$4,"1"))</f>
        <v>4</v>
      </c>
      <c r="AL28" s="283" cm="1">
        <f t="array" ref="AL28">SUM(COUNTIFS($C28:$AG28,{"0","4","5","6","7","8","9"},$C$4:$AG$4,"2"))</f>
        <v>4</v>
      </c>
      <c r="AM28" s="283" cm="1">
        <f t="array" ref="AM28">SUM(COUNTIFS($C28:$AG28,{"0","4","5","6","7","8","9"},$C$4:$AG$4,"3"))</f>
        <v>4</v>
      </c>
      <c r="AN28" s="283" cm="1">
        <f t="array" ref="AN28">SUM(COUNTIFS($C28:$AG28,{"1","2","3"}))</f>
        <v>3</v>
      </c>
      <c r="AO28" s="283" cm="1">
        <f t="array" ref="AO28">SUM(COUNTIFS($C28:$AG28,{"4","5","6"}))</f>
        <v>0</v>
      </c>
      <c r="AP28" s="283">
        <f>AJ28*'Spreadsheet Key'!$A$23 + AK28*'Spreadsheet Key'!$A$24 + AL28*'Spreadsheet Key'!$A$25 + AM28*'Spreadsheet Key'!$A$26</f>
        <v>1058</v>
      </c>
      <c r="AQ28" s="283">
        <f>AI28/('APR Statistics'!$B$24)</f>
        <v>4.2386185243328101E-2</v>
      </c>
      <c r="AR28" s="283">
        <f>AQ28*'APR Statistics'!$C$6</f>
        <v>49.761381475667193</v>
      </c>
      <c r="AS28" s="283"/>
      <c r="AT28" s="283">
        <f t="shared" si="0"/>
        <v>1</v>
      </c>
      <c r="AU28" s="283">
        <f t="shared" si="1"/>
        <v>0</v>
      </c>
      <c r="AV28" s="283">
        <f t="shared" si="2"/>
        <v>0</v>
      </c>
      <c r="AW28" s="283" cm="1">
        <f t="array" ref="AW28">COUNTIFS($C28:$AG28,"9",$C$4:$AG$4,"1")+SUM(COUNTIFS($C28:$AG28,{"8","9"},$C$4:$AG$4,"2"))+COUNTIFS($C28:$AG28,"8",$C$4:$AG$4,"3")</f>
        <v>0</v>
      </c>
      <c r="AX28" s="283">
        <f t="shared" si="3"/>
        <v>1</v>
      </c>
      <c r="AY28" s="283">
        <f t="shared" si="4"/>
        <v>2</v>
      </c>
      <c r="AZ28" s="283">
        <f>AT28*'Spreadsheet Key'!$A$27+AU28*'Spreadsheet Key'!$A$28+AV28*'Spreadsheet Key'!$A$29+AW28*'Spreadsheet Key'!$A$30+AX28*'Spreadsheet Key'!$A$31</f>
        <v>30</v>
      </c>
      <c r="BA28" s="283"/>
      <c r="BB28" s="283">
        <f t="shared" ref="BB28" si="15">AR28-AZ28</f>
        <v>19.761381475667193</v>
      </c>
      <c r="BC28" s="3210"/>
      <c r="BD28" s="3210"/>
      <c r="BE28" s="3210"/>
      <c r="BF28" s="3210"/>
    </row>
    <row r="29" spans="1:58">
      <c r="A29" s="3212"/>
      <c r="B29" s="3212"/>
      <c r="C29" s="3182"/>
      <c r="D29" s="3182"/>
      <c r="E29" s="3181"/>
      <c r="F29" s="3218" t="s">
        <v>722</v>
      </c>
      <c r="G29" s="3182"/>
      <c r="H29" s="3189" t="s">
        <v>251</v>
      </c>
      <c r="I29" s="6278" t="s">
        <v>1266</v>
      </c>
      <c r="J29" s="6278"/>
      <c r="K29" s="6278"/>
      <c r="L29" s="6278"/>
      <c r="M29" s="6278"/>
      <c r="N29" s="6278"/>
      <c r="O29" s="6278"/>
      <c r="P29" s="3189" t="s">
        <v>251</v>
      </c>
      <c r="Q29" s="3181"/>
      <c r="R29" s="3181"/>
      <c r="S29" s="3181"/>
      <c r="T29" s="3181"/>
      <c r="U29" s="3181"/>
      <c r="V29" s="3181"/>
      <c r="W29" s="3182" t="s">
        <v>722</v>
      </c>
      <c r="X29" s="3181"/>
      <c r="Y29" s="3181"/>
      <c r="Z29" s="3181"/>
      <c r="AA29" s="3181"/>
      <c r="AB29" s="3181"/>
      <c r="AC29" s="3181"/>
      <c r="AD29" s="3181"/>
      <c r="AE29" s="3181"/>
      <c r="AF29" s="3181"/>
      <c r="AG29" s="3126"/>
      <c r="AH29" s="3126"/>
      <c r="AI29" s="283" cm="1">
        <f t="array" ref="AI29">SUM(COUNTIFS($C29:$AG29,{"0","4","5","6","7","8","9"}))</f>
        <v>0</v>
      </c>
      <c r="AJ29" s="283" cm="1">
        <f t="array" ref="AJ29">SUM(COUNTIFS($C29:$AG29,{"0","4","5","6","7","8","9"},$C$4:$AG$4,"0"))</f>
        <v>0</v>
      </c>
      <c r="AK29" s="283" cm="1">
        <f t="array" ref="AK29">SUM(COUNTIFS($C29:$AG29,{"0","4","5","6","7","8","9"},$C$4:$AG$4,"1"))</f>
        <v>0</v>
      </c>
      <c r="AL29" s="283" cm="1">
        <f t="array" ref="AL29">SUM(COUNTIFS($C29:$AG29,{"0","4","5","6","7","8","9"},$C$4:$AG$4,"2"))</f>
        <v>0</v>
      </c>
      <c r="AM29" s="283" cm="1">
        <f t="array" ref="AM29">SUM(COUNTIFS($C29:$AG29,{"0","4","5","6","7","8","9"},$C$4:$AG$4,"3"))</f>
        <v>0</v>
      </c>
      <c r="AN29" s="283" cm="1">
        <f t="array" ref="AN29">SUM(COUNTIFS($C29:$AG29,{"1","2","3"}))</f>
        <v>0</v>
      </c>
      <c r="AO29" s="283" cm="1">
        <f t="array" ref="AO29">SUM(COUNTIFS($C29:$AG29,{"4","5","6"}))</f>
        <v>0</v>
      </c>
      <c r="AP29" s="283">
        <f>AJ29*'Spreadsheet Key'!$A$23 + AK29*'Spreadsheet Key'!$A$24 + AL29*'Spreadsheet Key'!$A$25 + AM29*'Spreadsheet Key'!$A$26</f>
        <v>0</v>
      </c>
      <c r="AQ29" s="283">
        <f>AI29/('APR Statistics'!$B$24)</f>
        <v>0</v>
      </c>
      <c r="AR29" s="283">
        <f>AQ29*'APR Statistics'!$C$6</f>
        <v>0</v>
      </c>
      <c r="AS29" s="283"/>
      <c r="AT29" s="283">
        <f t="shared" si="0"/>
        <v>0</v>
      </c>
      <c r="AU29" s="283">
        <f t="shared" si="1"/>
        <v>0</v>
      </c>
      <c r="AV29" s="283">
        <f t="shared" si="2"/>
        <v>0</v>
      </c>
      <c r="AW29" s="283" cm="1">
        <f t="array" ref="AW29">COUNTIFS($C29:$AG29,"9",$C$4:$AG$4,"1")+SUM(COUNTIFS($C29:$AG29,{"8","9"},$C$4:$AG$4,"2"))+COUNTIFS($C29:$AG29,"8",$C$4:$AG$4,"3")</f>
        <v>0</v>
      </c>
      <c r="AX29" s="283">
        <f t="shared" si="3"/>
        <v>0</v>
      </c>
      <c r="AY29" s="283">
        <f t="shared" si="4"/>
        <v>0</v>
      </c>
      <c r="AZ29" s="283">
        <f>AT29*'Spreadsheet Key'!$A$27+AU29*'Spreadsheet Key'!$A$28+AV29*'Spreadsheet Key'!$A$29+AW29*'Spreadsheet Key'!$A$30+AX29*'Spreadsheet Key'!$A$31</f>
        <v>0</v>
      </c>
      <c r="BA29" s="283"/>
      <c r="BB29" s="283"/>
      <c r="BC29" s="283"/>
      <c r="BD29" s="283"/>
      <c r="BE29" s="283"/>
      <c r="BF29" s="283"/>
    </row>
    <row r="30" spans="1:58" s="3211" customFormat="1">
      <c r="A30" s="3187" t="s">
        <v>692</v>
      </c>
      <c r="B30" s="3187" t="s">
        <v>693</v>
      </c>
      <c r="C30" s="3206">
        <v>0</v>
      </c>
      <c r="D30" s="3206">
        <v>0</v>
      </c>
      <c r="E30" s="3206">
        <v>0</v>
      </c>
      <c r="F30" s="3206">
        <v>9</v>
      </c>
      <c r="G30" s="3206">
        <v>0</v>
      </c>
      <c r="H30" s="3199">
        <v>1</v>
      </c>
      <c r="I30" s="3199">
        <v>2</v>
      </c>
      <c r="J30" s="3199">
        <v>2</v>
      </c>
      <c r="K30" s="3199">
        <v>2</v>
      </c>
      <c r="L30" s="3199">
        <v>2</v>
      </c>
      <c r="M30" s="3199">
        <v>2</v>
      </c>
      <c r="N30" s="3199">
        <v>2</v>
      </c>
      <c r="O30" s="3199">
        <v>2</v>
      </c>
      <c r="P30" s="3199">
        <v>3</v>
      </c>
      <c r="Q30" s="3206">
        <v>0</v>
      </c>
      <c r="R30" s="3206">
        <v>0</v>
      </c>
      <c r="S30" s="3206">
        <v>0</v>
      </c>
      <c r="T30" s="3206">
        <v>0</v>
      </c>
      <c r="U30" s="3206">
        <v>0</v>
      </c>
      <c r="V30" s="3206">
        <v>0</v>
      </c>
      <c r="W30" s="3206">
        <v>9</v>
      </c>
      <c r="X30" s="3206">
        <v>0</v>
      </c>
      <c r="Y30" s="3206">
        <v>0</v>
      </c>
      <c r="Z30" s="3206">
        <v>0</v>
      </c>
      <c r="AA30" s="3206">
        <v>0</v>
      </c>
      <c r="AB30" s="3206">
        <v>0</v>
      </c>
      <c r="AC30" s="3206">
        <v>0</v>
      </c>
      <c r="AD30" s="3206">
        <v>0</v>
      </c>
      <c r="AE30" s="3206">
        <v>0</v>
      </c>
      <c r="AF30" s="3206">
        <v>0</v>
      </c>
      <c r="AG30" s="3209"/>
      <c r="AH30" s="3209"/>
      <c r="AI30" s="283" cm="1">
        <f t="array" ref="AI30">SUM(COUNTIFS($C30:$AG30,{"0","4","5","6","7","8","9"}))</f>
        <v>21</v>
      </c>
      <c r="AJ30" s="283" cm="1">
        <f t="array" ref="AJ30">SUM(COUNTIFS($C30:$AG30,{"0","4","5","6","7","8","9"},$C$4:$AG$4,"0"))</f>
        <v>13</v>
      </c>
      <c r="AK30" s="283" cm="1">
        <f t="array" ref="AK30">SUM(COUNTIFS($C30:$AG30,{"0","4","5","6","7","8","9"},$C$4:$AG$4,"1"))</f>
        <v>3</v>
      </c>
      <c r="AL30" s="283" cm="1">
        <f t="array" ref="AL30">SUM(COUNTIFS($C30:$AG30,{"0","4","5","6","7","8","9"},$C$4:$AG$4,"2"))</f>
        <v>3</v>
      </c>
      <c r="AM30" s="283" cm="1">
        <f t="array" ref="AM30">SUM(COUNTIFS($C30:$AG30,{"0","4","5","6","7","8","9"},$C$4:$AG$4,"3"))</f>
        <v>2</v>
      </c>
      <c r="AN30" s="283" cm="1">
        <f t="array" ref="AN30">SUM(COUNTIFS($C30:$AG30,{"1","2","3"}))</f>
        <v>9</v>
      </c>
      <c r="AO30" s="283" cm="1">
        <f t="array" ref="AO30">SUM(COUNTIFS($C30:$AG30,{"4","5","6"}))</f>
        <v>0</v>
      </c>
      <c r="AP30" s="283">
        <f>AJ30*'Spreadsheet Key'!$A$23 + AK30*'Spreadsheet Key'!$A$24 + AL30*'Spreadsheet Key'!$A$25 + AM30*'Spreadsheet Key'!$A$26</f>
        <v>776</v>
      </c>
      <c r="AQ30" s="283">
        <f>AI30/('APR Statistics'!$B$24)</f>
        <v>3.2967032967032968E-2</v>
      </c>
      <c r="AR30" s="283">
        <f>AQ30*'APR Statistics'!$C$6</f>
        <v>38.703296703296701</v>
      </c>
      <c r="AS30" s="283"/>
      <c r="AT30" s="283">
        <f t="shared" si="0"/>
        <v>0</v>
      </c>
      <c r="AU30" s="283">
        <f t="shared" si="1"/>
        <v>1</v>
      </c>
      <c r="AV30" s="283">
        <f t="shared" si="2"/>
        <v>0</v>
      </c>
      <c r="AW30" s="283" cm="1">
        <f t="array" ref="AW30">COUNTIFS($C30:$AG30,"9",$C$4:$AG$4,"1")+SUM(COUNTIFS($C30:$AG30,{"8","9"},$C$4:$AG$4,"2"))+COUNTIFS($C30:$AG30,"8",$C$4:$AG$4,"3")</f>
        <v>1</v>
      </c>
      <c r="AX30" s="283">
        <f t="shared" si="3"/>
        <v>0</v>
      </c>
      <c r="AY30" s="283">
        <f t="shared" si="4"/>
        <v>2</v>
      </c>
      <c r="AZ30" s="283">
        <f>AT30*'Spreadsheet Key'!$A$27+AU30*'Spreadsheet Key'!$A$28+AV30*'Spreadsheet Key'!$A$29+AW30*'Spreadsheet Key'!$A$30+AX30*'Spreadsheet Key'!$A$31</f>
        <v>48</v>
      </c>
      <c r="BA30" s="283"/>
      <c r="BB30" s="283">
        <f t="shared" ref="BB30" si="16">AR30-AZ30</f>
        <v>-9.2967032967032992</v>
      </c>
      <c r="BC30" s="3210"/>
      <c r="BD30" s="3210"/>
      <c r="BE30" s="3210"/>
      <c r="BF30" s="3210"/>
    </row>
    <row r="31" spans="1:58">
      <c r="A31" s="3212"/>
      <c r="B31" s="3212"/>
      <c r="C31" s="3182" t="s">
        <v>720</v>
      </c>
      <c r="D31" s="3181"/>
      <c r="E31" s="3181"/>
      <c r="F31" s="3181"/>
      <c r="G31" s="3181"/>
      <c r="H31" s="3181"/>
      <c r="I31" s="3181"/>
      <c r="J31" s="3181"/>
      <c r="K31" s="3181"/>
      <c r="L31" s="3181"/>
      <c r="M31" s="3181"/>
      <c r="N31" s="3181"/>
      <c r="O31" s="3181"/>
      <c r="P31" s="3181"/>
      <c r="Q31" s="3181"/>
      <c r="R31" s="3181"/>
      <c r="S31" s="3181"/>
      <c r="T31" s="3181"/>
      <c r="U31" s="3181"/>
      <c r="V31" s="3181"/>
      <c r="W31" s="3181"/>
      <c r="X31" s="3181"/>
      <c r="Y31" s="3181"/>
      <c r="Z31" s="3181"/>
      <c r="AA31" s="3182"/>
      <c r="AB31" s="3181"/>
      <c r="AC31" s="3182" t="s">
        <v>722</v>
      </c>
      <c r="AD31" s="3181"/>
      <c r="AE31" s="3181"/>
      <c r="AF31" s="3181"/>
      <c r="AG31" s="3126"/>
      <c r="AH31" s="3126"/>
      <c r="AI31" s="283" cm="1">
        <f t="array" ref="AI31">SUM(COUNTIFS($C31:$AG31,{"0","4","5","6","7","8","9"}))</f>
        <v>0</v>
      </c>
      <c r="AJ31" s="283" cm="1">
        <f t="array" ref="AJ31">SUM(COUNTIFS($C31:$AG31,{"0","4","5","6","7","8","9"},$C$4:$AG$4,"0"))</f>
        <v>0</v>
      </c>
      <c r="AK31" s="283" cm="1">
        <f t="array" ref="AK31">SUM(COUNTIFS($C31:$AG31,{"0","4","5","6","7","8","9"},$C$4:$AG$4,"1"))</f>
        <v>0</v>
      </c>
      <c r="AL31" s="283" cm="1">
        <f t="array" ref="AL31">SUM(COUNTIFS($C31:$AG31,{"0","4","5","6","7","8","9"},$C$4:$AG$4,"2"))</f>
        <v>0</v>
      </c>
      <c r="AM31" s="283" cm="1">
        <f t="array" ref="AM31">SUM(COUNTIFS($C31:$AG31,{"0","4","5","6","7","8","9"},$C$4:$AG$4,"3"))</f>
        <v>0</v>
      </c>
      <c r="AN31" s="283" cm="1">
        <f t="array" ref="AN31">SUM(COUNTIFS($C31:$AG31,{"1","2","3"}))</f>
        <v>0</v>
      </c>
      <c r="AO31" s="283" cm="1">
        <f t="array" ref="AO31">SUM(COUNTIFS($C31:$AG31,{"4","5","6"}))</f>
        <v>0</v>
      </c>
      <c r="AP31" s="283">
        <f>AJ31*'Spreadsheet Key'!$A$23 + AK31*'Spreadsheet Key'!$A$24 + AL31*'Spreadsheet Key'!$A$25 + AM31*'Spreadsheet Key'!$A$26</f>
        <v>0</v>
      </c>
      <c r="AQ31" s="283">
        <f>AI31/('APR Statistics'!$B$24)</f>
        <v>0</v>
      </c>
      <c r="AR31" s="283">
        <f>AQ31*'APR Statistics'!$C$6</f>
        <v>0</v>
      </c>
      <c r="AS31" s="283"/>
      <c r="AT31" s="283">
        <f t="shared" si="0"/>
        <v>0</v>
      </c>
      <c r="AU31" s="283">
        <f t="shared" si="1"/>
        <v>0</v>
      </c>
      <c r="AV31" s="283">
        <f t="shared" si="2"/>
        <v>0</v>
      </c>
      <c r="AW31" s="283" cm="1">
        <f t="array" ref="AW31">COUNTIFS($C31:$AG31,"9",$C$4:$AG$4,"1")+SUM(COUNTIFS($C31:$AG31,{"8","9"},$C$4:$AG$4,"2"))+COUNTIFS($C31:$AG31,"8",$C$4:$AG$4,"3")</f>
        <v>0</v>
      </c>
      <c r="AX31" s="283">
        <f t="shared" si="3"/>
        <v>0</v>
      </c>
      <c r="AY31" s="283">
        <f t="shared" si="4"/>
        <v>0</v>
      </c>
      <c r="AZ31" s="283">
        <f>AT31*'Spreadsheet Key'!$A$27+AU31*'Spreadsheet Key'!$A$28+AV31*'Spreadsheet Key'!$A$29+AW31*'Spreadsheet Key'!$A$30+AX31*'Spreadsheet Key'!$A$31</f>
        <v>0</v>
      </c>
      <c r="BA31" s="283"/>
      <c r="BB31" s="283"/>
      <c r="BC31" s="283"/>
      <c r="BD31" s="283"/>
      <c r="BE31" s="283"/>
      <c r="BF31" s="283"/>
    </row>
    <row r="32" spans="1:58" s="3211" customFormat="1">
      <c r="A32" s="3187" t="s">
        <v>127</v>
      </c>
      <c r="B32" s="3187" t="s">
        <v>657</v>
      </c>
      <c r="C32" s="3206">
        <v>8</v>
      </c>
      <c r="D32" s="3206">
        <v>0</v>
      </c>
      <c r="E32" s="3206">
        <v>0</v>
      </c>
      <c r="F32" s="3206">
        <v>0</v>
      </c>
      <c r="G32" s="3206">
        <v>0</v>
      </c>
      <c r="H32" s="3206">
        <v>0</v>
      </c>
      <c r="I32" s="3206">
        <v>0</v>
      </c>
      <c r="J32" s="3206">
        <v>0</v>
      </c>
      <c r="K32" s="3206">
        <v>0</v>
      </c>
      <c r="L32" s="3206">
        <v>0</v>
      </c>
      <c r="M32" s="3206">
        <v>0</v>
      </c>
      <c r="N32" s="3206">
        <v>0</v>
      </c>
      <c r="O32" s="3206">
        <v>0</v>
      </c>
      <c r="P32" s="3206">
        <v>0</v>
      </c>
      <c r="Q32" s="3206">
        <v>0</v>
      </c>
      <c r="R32" s="3206">
        <v>0</v>
      </c>
      <c r="S32" s="3206">
        <v>0</v>
      </c>
      <c r="T32" s="3206">
        <v>0</v>
      </c>
      <c r="U32" s="3206">
        <v>0</v>
      </c>
      <c r="V32" s="3206">
        <v>0</v>
      </c>
      <c r="W32" s="3206">
        <v>0</v>
      </c>
      <c r="X32" s="3206">
        <v>0</v>
      </c>
      <c r="Y32" s="3206">
        <v>0</v>
      </c>
      <c r="Z32" s="3206">
        <v>0</v>
      </c>
      <c r="AA32" s="3206">
        <v>0</v>
      </c>
      <c r="AB32" s="3206">
        <v>0</v>
      </c>
      <c r="AC32" s="3206">
        <v>9</v>
      </c>
      <c r="AD32" s="3206">
        <v>0</v>
      </c>
      <c r="AE32" s="3206">
        <v>0</v>
      </c>
      <c r="AF32" s="3206">
        <v>0</v>
      </c>
      <c r="AG32" s="3209">
        <v>0</v>
      </c>
      <c r="AH32" s="3209"/>
      <c r="AI32" s="283" cm="1">
        <f t="array" ref="AI32">SUM(COUNTIFS($C32:$AG32,{"0","4","5","6","7","8","9"}))</f>
        <v>31</v>
      </c>
      <c r="AJ32" s="283" cm="1">
        <f t="array" ref="AJ32">SUM(COUNTIFS($C32:$AG32,{"0","4","5","6","7","8","9"},$C$4:$AG$4,"0"))</f>
        <v>18</v>
      </c>
      <c r="AK32" s="283" cm="1">
        <f t="array" ref="AK32">SUM(COUNTIFS($C32:$AG32,{"0","4","5","6","7","8","9"},$C$4:$AG$4,"1"))</f>
        <v>4</v>
      </c>
      <c r="AL32" s="283" cm="1">
        <f t="array" ref="AL32">SUM(COUNTIFS($C32:$AG32,{"0","4","5","6","7","8","9"},$C$4:$AG$4,"2"))</f>
        <v>4</v>
      </c>
      <c r="AM32" s="283" cm="1">
        <f t="array" ref="AM32">SUM(COUNTIFS($C32:$AG32,{"0","4","5","6","7","8","9"},$C$4:$AG$4,"3"))</f>
        <v>4</v>
      </c>
      <c r="AN32" s="283" cm="1">
        <f t="array" ref="AN32">SUM(COUNTIFS($C32:$AG32,{"1","2","3"}))</f>
        <v>0</v>
      </c>
      <c r="AO32" s="283" cm="1">
        <f t="array" ref="AO32">SUM(COUNTIFS($C32:$AG32,{"4","5","6"}))</f>
        <v>0</v>
      </c>
      <c r="AP32" s="283">
        <f>AJ32*'Spreadsheet Key'!$A$23 + AK32*'Spreadsheet Key'!$A$24 + AL32*'Spreadsheet Key'!$A$25 + AM32*'Spreadsheet Key'!$A$26</f>
        <v>1124</v>
      </c>
      <c r="AQ32" s="283">
        <f>AI32/('APR Statistics'!$B$24)</f>
        <v>4.8665620094191522E-2</v>
      </c>
      <c r="AR32" s="283">
        <f>AQ32*'APR Statistics'!$C$6</f>
        <v>57.133437990580845</v>
      </c>
      <c r="AS32" s="283"/>
      <c r="AT32" s="283">
        <f t="shared" si="0"/>
        <v>1</v>
      </c>
      <c r="AU32" s="283">
        <f t="shared" si="1"/>
        <v>0</v>
      </c>
      <c r="AV32" s="283">
        <f t="shared" si="2"/>
        <v>0</v>
      </c>
      <c r="AW32" s="283" cm="1">
        <f t="array" ref="AW32">COUNTIFS($C32:$AG32,"9",$C$4:$AG$4,"1")+SUM(COUNTIFS($C32:$AG32,{"8","9"},$C$4:$AG$4,"2"))+COUNTIFS($C32:$AG32,"8",$C$4:$AG$4,"3")</f>
        <v>0</v>
      </c>
      <c r="AX32" s="283">
        <f t="shared" si="3"/>
        <v>1</v>
      </c>
      <c r="AY32" s="283">
        <f t="shared" si="4"/>
        <v>2</v>
      </c>
      <c r="AZ32" s="283">
        <f>AT32*'Spreadsheet Key'!$A$27+AU32*'Spreadsheet Key'!$A$28+AV32*'Spreadsheet Key'!$A$29+AW32*'Spreadsheet Key'!$A$30+AX32*'Spreadsheet Key'!$A$31</f>
        <v>30</v>
      </c>
      <c r="BA32" s="283"/>
      <c r="BB32" s="283">
        <f t="shared" ref="BB32" si="17">AR32-AZ32</f>
        <v>27.133437990580845</v>
      </c>
      <c r="BC32" s="3210"/>
      <c r="BD32" s="3210"/>
      <c r="BE32" s="3210"/>
      <c r="BF32" s="3210"/>
    </row>
    <row r="33" spans="1:58">
      <c r="A33" s="3212"/>
      <c r="B33" s="3212"/>
      <c r="C33" s="6270" t="s">
        <v>1231</v>
      </c>
      <c r="D33" s="6270"/>
      <c r="E33" s="3183" t="s">
        <v>1025</v>
      </c>
      <c r="F33" s="3181"/>
      <c r="G33" s="3181"/>
      <c r="H33" s="3181"/>
      <c r="I33" s="3181"/>
      <c r="J33" s="3181"/>
      <c r="K33" s="3181"/>
      <c r="L33" s="3181"/>
      <c r="M33" s="3181"/>
      <c r="N33" s="3181"/>
      <c r="O33" s="3181"/>
      <c r="P33" s="3181"/>
      <c r="Q33" s="3181"/>
      <c r="R33" s="3181"/>
      <c r="S33" s="3181"/>
      <c r="T33" s="3181"/>
      <c r="U33" s="3181"/>
      <c r="V33" s="3181"/>
      <c r="W33" s="6276" t="s">
        <v>112</v>
      </c>
      <c r="X33" s="6277"/>
      <c r="Y33" s="6277"/>
      <c r="Z33" s="6277"/>
      <c r="AA33" s="6277"/>
      <c r="AB33" s="3181"/>
      <c r="AC33" s="3181"/>
      <c r="AD33" s="3181"/>
      <c r="AE33" s="3181"/>
      <c r="AF33" s="3181"/>
      <c r="AG33" s="3126"/>
      <c r="AH33" s="3126"/>
      <c r="AI33" s="283" cm="1">
        <f t="array" ref="AI33">SUM(COUNTIFS($C33:$AG33,{"0","4","5","6","7","8","9"}))</f>
        <v>0</v>
      </c>
      <c r="AJ33" s="283" cm="1">
        <f t="array" ref="AJ33">SUM(COUNTIFS($C33:$AG33,{"0","4","5","6","7","8","9"},$C$4:$AG$4,"0"))</f>
        <v>0</v>
      </c>
      <c r="AK33" s="283" cm="1">
        <f t="array" ref="AK33">SUM(COUNTIFS($C33:$AG33,{"0","4","5","6","7","8","9"},$C$4:$AG$4,"1"))</f>
        <v>0</v>
      </c>
      <c r="AL33" s="283" cm="1">
        <f t="array" ref="AL33">SUM(COUNTIFS($C33:$AG33,{"0","4","5","6","7","8","9"},$C$4:$AG$4,"2"))</f>
        <v>0</v>
      </c>
      <c r="AM33" s="283" cm="1">
        <f t="array" ref="AM33">SUM(COUNTIFS($C33:$AG33,{"0","4","5","6","7","8","9"},$C$4:$AG$4,"3"))</f>
        <v>0</v>
      </c>
      <c r="AN33" s="283" cm="1">
        <f t="array" ref="AN33">SUM(COUNTIFS($C33:$AG33,{"1","2","3"}))</f>
        <v>0</v>
      </c>
      <c r="AO33" s="283" cm="1">
        <f t="array" ref="AO33">SUM(COUNTIFS($C33:$AG33,{"4","5","6"}))</f>
        <v>0</v>
      </c>
      <c r="AP33" s="283">
        <f>AJ33*'Spreadsheet Key'!$A$23 + AK33*'Spreadsheet Key'!$A$24 + AL33*'Spreadsheet Key'!$A$25 + AM33*'Spreadsheet Key'!$A$26</f>
        <v>0</v>
      </c>
      <c r="AQ33" s="283">
        <f>AI33/('APR Statistics'!$B$24)</f>
        <v>0</v>
      </c>
      <c r="AR33" s="283">
        <f>AQ33*'APR Statistics'!$C$6</f>
        <v>0</v>
      </c>
      <c r="AS33" s="283"/>
      <c r="AT33" s="283">
        <f t="shared" si="0"/>
        <v>0</v>
      </c>
      <c r="AU33" s="283">
        <f t="shared" si="1"/>
        <v>0</v>
      </c>
      <c r="AV33" s="283">
        <f t="shared" si="2"/>
        <v>0</v>
      </c>
      <c r="AW33" s="283" cm="1">
        <f t="array" ref="AW33">COUNTIFS($C33:$AG33,"9",$C$4:$AG$4,"1")+SUM(COUNTIFS($C33:$AG33,{"8","9"},$C$4:$AG$4,"2"))+COUNTIFS($C33:$AG33,"8",$C$4:$AG$4,"3")</f>
        <v>0</v>
      </c>
      <c r="AX33" s="283">
        <f t="shared" si="3"/>
        <v>0</v>
      </c>
      <c r="AY33" s="283">
        <f t="shared" si="4"/>
        <v>0</v>
      </c>
      <c r="AZ33" s="283">
        <f>AT33*'Spreadsheet Key'!$A$27+AU33*'Spreadsheet Key'!$A$28+AV33*'Spreadsheet Key'!$A$29+AW33*'Spreadsheet Key'!$A$30+AX33*'Spreadsheet Key'!$A$31</f>
        <v>0</v>
      </c>
      <c r="BA33" s="283"/>
      <c r="BB33" s="283"/>
      <c r="BC33" s="283"/>
      <c r="BD33" s="283"/>
      <c r="BE33" s="283"/>
      <c r="BF33" s="283"/>
    </row>
    <row r="34" spans="1:58" s="3211" customFormat="1">
      <c r="A34" s="3187" t="s">
        <v>554</v>
      </c>
      <c r="B34" s="3187" t="s">
        <v>555</v>
      </c>
      <c r="C34" s="3199">
        <v>2</v>
      </c>
      <c r="D34" s="3199">
        <v>2</v>
      </c>
      <c r="E34" s="3199">
        <v>2</v>
      </c>
      <c r="F34" s="3199">
        <v>2</v>
      </c>
      <c r="G34" s="3199">
        <v>2</v>
      </c>
      <c r="H34" s="3199">
        <v>2</v>
      </c>
      <c r="I34" s="3199">
        <v>2</v>
      </c>
      <c r="J34" s="3199">
        <v>2</v>
      </c>
      <c r="K34" s="3199">
        <v>2</v>
      </c>
      <c r="L34" s="3199">
        <v>2</v>
      </c>
      <c r="M34" s="3199">
        <v>2</v>
      </c>
      <c r="N34" s="3199">
        <v>2</v>
      </c>
      <c r="O34" s="3199">
        <v>2</v>
      </c>
      <c r="P34" s="3199">
        <v>2</v>
      </c>
      <c r="Q34" s="3199">
        <v>2</v>
      </c>
      <c r="R34" s="3199">
        <v>2</v>
      </c>
      <c r="S34" s="3199">
        <v>2</v>
      </c>
      <c r="T34" s="3199">
        <v>2</v>
      </c>
      <c r="U34" s="3199">
        <v>2</v>
      </c>
      <c r="V34" s="3199">
        <v>2</v>
      </c>
      <c r="W34" s="3199">
        <v>2</v>
      </c>
      <c r="X34" s="3199">
        <v>2</v>
      </c>
      <c r="Y34" s="3199">
        <v>2</v>
      </c>
      <c r="Z34" s="3199">
        <v>2</v>
      </c>
      <c r="AA34" s="3199">
        <v>2</v>
      </c>
      <c r="AB34" s="3199">
        <v>2</v>
      </c>
      <c r="AC34" s="3199">
        <v>2</v>
      </c>
      <c r="AD34" s="3199">
        <v>2</v>
      </c>
      <c r="AE34" s="3199">
        <v>2</v>
      </c>
      <c r="AF34" s="3199">
        <v>2</v>
      </c>
      <c r="AG34" s="3209"/>
      <c r="AH34" s="3209"/>
      <c r="AI34" s="283" cm="1">
        <f t="array" ref="AI34">SUM(COUNTIFS($C34:$AG34,{"0","4","5","6","7","8","9"}))</f>
        <v>0</v>
      </c>
      <c r="AJ34" s="283" cm="1">
        <f t="array" ref="AJ34">SUM(COUNTIFS($C34:$AG34,{"0","4","5","6","7","8","9"},$C$4:$AG$4,"0"))</f>
        <v>0</v>
      </c>
      <c r="AK34" s="283" cm="1">
        <f t="array" ref="AK34">SUM(COUNTIFS($C34:$AG34,{"0","4","5","6","7","8","9"},$C$4:$AG$4,"1"))</f>
        <v>0</v>
      </c>
      <c r="AL34" s="283" cm="1">
        <f t="array" ref="AL34">SUM(COUNTIFS($C34:$AG34,{"0","4","5","6","7","8","9"},$C$4:$AG$4,"2"))</f>
        <v>0</v>
      </c>
      <c r="AM34" s="283" cm="1">
        <f t="array" ref="AM34">SUM(COUNTIFS($C34:$AG34,{"0","4","5","6","7","8","9"},$C$4:$AG$4,"3"))</f>
        <v>0</v>
      </c>
      <c r="AN34" s="283" cm="1">
        <f t="array" ref="AN34">SUM(COUNTIFS($C34:$AG34,{"1","2","3"}))</f>
        <v>30</v>
      </c>
      <c r="AO34" s="283" cm="1">
        <f t="array" ref="AO34">SUM(COUNTIFS($C34:$AG34,{"4","5","6"}))</f>
        <v>0</v>
      </c>
      <c r="AP34" s="283">
        <f>AJ34*'Spreadsheet Key'!$A$23 + AK34*'Spreadsheet Key'!$A$24 + AL34*'Spreadsheet Key'!$A$25 + AM34*'Spreadsheet Key'!$A$26</f>
        <v>0</v>
      </c>
      <c r="AQ34" s="283">
        <f>AI34/('APR Statistics'!$B$24)</f>
        <v>0</v>
      </c>
      <c r="AR34" s="283">
        <f>AQ34*'APR Statistics'!$C$6</f>
        <v>0</v>
      </c>
      <c r="AS34" s="283"/>
      <c r="AT34" s="283">
        <f t="shared" si="0"/>
        <v>0</v>
      </c>
      <c r="AU34" s="283">
        <f t="shared" si="1"/>
        <v>0</v>
      </c>
      <c r="AV34" s="283">
        <f t="shared" si="2"/>
        <v>0</v>
      </c>
      <c r="AW34" s="283" cm="1">
        <f t="array" ref="AW34">COUNTIFS($C34:$AG34,"9",$C$4:$AG$4,"1")+SUM(COUNTIFS($C34:$AG34,{"8","9"},$C$4:$AG$4,"2"))+COUNTIFS($C34:$AG34,"8",$C$4:$AG$4,"3")</f>
        <v>0</v>
      </c>
      <c r="AX34" s="283">
        <f t="shared" si="3"/>
        <v>0</v>
      </c>
      <c r="AY34" s="283">
        <f t="shared" si="4"/>
        <v>0</v>
      </c>
      <c r="AZ34" s="283">
        <f>AT34*'Spreadsheet Key'!$A$27+AU34*'Spreadsheet Key'!$A$28+AV34*'Spreadsheet Key'!$A$29+AW34*'Spreadsheet Key'!$A$30+AX34*'Spreadsheet Key'!$A$31</f>
        <v>0</v>
      </c>
      <c r="BA34" s="283"/>
      <c r="BB34" s="283">
        <f t="shared" ref="BB34" si="18">AR34-AZ34</f>
        <v>0</v>
      </c>
      <c r="BC34" s="3210"/>
      <c r="BD34" s="3210"/>
      <c r="BE34" s="3210"/>
      <c r="BF34" s="3210"/>
    </row>
    <row r="35" spans="1:58">
      <c r="A35" s="3212"/>
      <c r="B35" s="3212"/>
      <c r="C35" s="6270" t="s">
        <v>1231</v>
      </c>
      <c r="D35" s="6270"/>
      <c r="E35" s="3183" t="s">
        <v>1025</v>
      </c>
      <c r="F35" s="3181"/>
      <c r="G35" s="3181"/>
      <c r="H35" s="3189" t="s">
        <v>251</v>
      </c>
      <c r="I35" s="6278" t="s">
        <v>1266</v>
      </c>
      <c r="J35" s="6278"/>
      <c r="K35" s="6278"/>
      <c r="L35" s="6278"/>
      <c r="M35" s="6278"/>
      <c r="N35" s="6278"/>
      <c r="O35" s="6278"/>
      <c r="P35" s="3189" t="s">
        <v>251</v>
      </c>
      <c r="Q35" s="3181"/>
      <c r="R35" s="3181"/>
      <c r="S35" s="3182" t="s">
        <v>720</v>
      </c>
      <c r="T35" s="3181"/>
      <c r="U35" s="3182" t="s">
        <v>722</v>
      </c>
      <c r="V35" s="3181"/>
      <c r="W35" s="3181"/>
      <c r="X35" s="3181"/>
      <c r="Y35" s="3181"/>
      <c r="Z35" s="5587" t="s">
        <v>1267</v>
      </c>
      <c r="AA35" s="5588"/>
      <c r="AB35" s="5588"/>
      <c r="AC35" s="5588"/>
      <c r="AD35" s="5588"/>
      <c r="AE35" s="5588"/>
      <c r="AF35" s="6188"/>
      <c r="AG35" s="3126"/>
      <c r="AH35" s="3126"/>
      <c r="AI35" s="283" cm="1">
        <f t="array" ref="AI35">SUM(COUNTIFS($C35:$AG35,{"0","4","5","6","7","8","9"}))</f>
        <v>0</v>
      </c>
      <c r="AJ35" s="283" cm="1">
        <f t="array" ref="AJ35">SUM(COUNTIFS($C35:$AG35,{"0","4","5","6","7","8","9"},$C$4:$AG$4,"0"))</f>
        <v>0</v>
      </c>
      <c r="AK35" s="283" cm="1">
        <f t="array" ref="AK35">SUM(COUNTIFS($C35:$AG35,{"0","4","5","6","7","8","9"},$C$4:$AG$4,"1"))</f>
        <v>0</v>
      </c>
      <c r="AL35" s="283" cm="1">
        <f t="array" ref="AL35">SUM(COUNTIFS($C35:$AG35,{"0","4","5","6","7","8","9"},$C$4:$AG$4,"2"))</f>
        <v>0</v>
      </c>
      <c r="AM35" s="283" cm="1">
        <f t="array" ref="AM35">SUM(COUNTIFS($C35:$AG35,{"0","4","5","6","7","8","9"},$C$4:$AG$4,"3"))</f>
        <v>0</v>
      </c>
      <c r="AN35" s="283" cm="1">
        <f t="array" ref="AN35">SUM(COUNTIFS($C35:$AG35,{"1","2","3"}))</f>
        <v>0</v>
      </c>
      <c r="AO35" s="283" cm="1">
        <f t="array" ref="AO35">SUM(COUNTIFS($C35:$AG35,{"4","5","6"}))</f>
        <v>0</v>
      </c>
      <c r="AP35" s="283">
        <f>AJ35*'Spreadsheet Key'!$A$23 + AK35*'Spreadsheet Key'!$A$24 + AL35*'Spreadsheet Key'!$A$25 + AM35*'Spreadsheet Key'!$A$26</f>
        <v>0</v>
      </c>
      <c r="AQ35" s="283">
        <f>AI35/('APR Statistics'!$B$24)</f>
        <v>0</v>
      </c>
      <c r="AR35" s="283">
        <f>AQ35*'APR Statistics'!$C$6</f>
        <v>0</v>
      </c>
      <c r="AS35" s="283"/>
      <c r="AT35" s="283">
        <f t="shared" si="0"/>
        <v>0</v>
      </c>
      <c r="AU35" s="283">
        <f t="shared" si="1"/>
        <v>0</v>
      </c>
      <c r="AV35" s="283">
        <f t="shared" si="2"/>
        <v>0</v>
      </c>
      <c r="AW35" s="283" cm="1">
        <f t="array" ref="AW35">COUNTIFS($C35:$AG35,"9",$C$4:$AG$4,"1")+SUM(COUNTIFS($C35:$AG35,{"8","9"},$C$4:$AG$4,"2"))+COUNTIFS($C35:$AG35,"8",$C$4:$AG$4,"3")</f>
        <v>0</v>
      </c>
      <c r="AX35" s="283">
        <f t="shared" si="3"/>
        <v>0</v>
      </c>
      <c r="AY35" s="283">
        <f t="shared" si="4"/>
        <v>0</v>
      </c>
      <c r="AZ35" s="283">
        <f>AT35*'Spreadsheet Key'!$A$27+AU35*'Spreadsheet Key'!$A$28+AV35*'Spreadsheet Key'!$A$29+AW35*'Spreadsheet Key'!$A$30+AX35*'Spreadsheet Key'!$A$31</f>
        <v>0</v>
      </c>
      <c r="BA35" s="283"/>
      <c r="BB35" s="283"/>
      <c r="BC35" s="3139"/>
      <c r="BD35" s="3139"/>
      <c r="BE35" s="3139"/>
      <c r="BF35" s="3139"/>
    </row>
    <row r="36" spans="1:58" s="3211" customFormat="1">
      <c r="A36" s="3187" t="s">
        <v>155</v>
      </c>
      <c r="B36" s="3187" t="s">
        <v>135</v>
      </c>
      <c r="C36" s="3199">
        <v>2</v>
      </c>
      <c r="D36" s="3199">
        <v>2</v>
      </c>
      <c r="E36" s="3199">
        <v>3</v>
      </c>
      <c r="F36" s="3199">
        <v>0</v>
      </c>
      <c r="G36" s="3199">
        <v>0</v>
      </c>
      <c r="H36" s="3199">
        <v>1</v>
      </c>
      <c r="I36" s="3199">
        <v>2</v>
      </c>
      <c r="J36" s="3199">
        <v>2</v>
      </c>
      <c r="K36" s="3199">
        <v>2</v>
      </c>
      <c r="L36" s="3199">
        <v>2</v>
      </c>
      <c r="M36" s="3199">
        <v>2</v>
      </c>
      <c r="N36" s="3199">
        <v>2</v>
      </c>
      <c r="O36" s="3199">
        <v>2</v>
      </c>
      <c r="P36" s="3199">
        <v>3</v>
      </c>
      <c r="Q36" s="3199">
        <v>0</v>
      </c>
      <c r="R36" s="3199">
        <v>0</v>
      </c>
      <c r="S36" s="3199">
        <v>8</v>
      </c>
      <c r="T36" s="3199">
        <v>0</v>
      </c>
      <c r="U36" s="3206">
        <v>9</v>
      </c>
      <c r="V36" s="3199">
        <v>0</v>
      </c>
      <c r="W36" s="3199">
        <v>0</v>
      </c>
      <c r="X36" s="3199">
        <v>0</v>
      </c>
      <c r="Y36" s="3199">
        <v>0</v>
      </c>
      <c r="Z36" s="3199">
        <v>1</v>
      </c>
      <c r="AA36" s="3199">
        <v>2</v>
      </c>
      <c r="AB36" s="3199">
        <v>2</v>
      </c>
      <c r="AC36" s="3199">
        <v>2</v>
      </c>
      <c r="AD36" s="3199">
        <v>2</v>
      </c>
      <c r="AE36" s="3199">
        <v>2</v>
      </c>
      <c r="AF36" s="3199">
        <v>2</v>
      </c>
      <c r="AG36" s="3209"/>
      <c r="AH36" s="3209"/>
      <c r="AI36" s="283" cm="1">
        <f t="array" ref="AI36">SUM(COUNTIFS($C36:$AG36,{"0","4","5","6","7","8","9"}))</f>
        <v>11</v>
      </c>
      <c r="AJ36" s="283" cm="1">
        <f t="array" ref="AJ36">SUM(COUNTIFS($C36:$AG36,{"0","4","5","6","7","8","9"},$C$4:$AG$4,"0"))</f>
        <v>6</v>
      </c>
      <c r="AK36" s="283" cm="1">
        <f t="array" ref="AK36">SUM(COUNTIFS($C36:$AG36,{"0","4","5","6","7","8","9"},$C$4:$AG$4,"1"))</f>
        <v>2</v>
      </c>
      <c r="AL36" s="283" cm="1">
        <f t="array" ref="AL36">SUM(COUNTIFS($C36:$AG36,{"0","4","5","6","7","8","9"},$C$4:$AG$4,"2"))</f>
        <v>2</v>
      </c>
      <c r="AM36" s="283" cm="1">
        <f t="array" ref="AM36">SUM(COUNTIFS($C36:$AG36,{"0","4","5","6","7","8","9"},$C$4:$AG$4,"3"))</f>
        <v>1</v>
      </c>
      <c r="AN36" s="283" cm="1">
        <f t="array" ref="AN36">SUM(COUNTIFS($C36:$AG36,{"1","2","3"}))</f>
        <v>19</v>
      </c>
      <c r="AO36" s="283" cm="1">
        <f t="array" ref="AO36">SUM(COUNTIFS($C36:$AG36,{"4","5","6"}))</f>
        <v>0</v>
      </c>
      <c r="AP36" s="283">
        <f>AJ36*'Spreadsheet Key'!$A$23 + AK36*'Spreadsheet Key'!$A$24 + AL36*'Spreadsheet Key'!$A$25 + AM36*'Spreadsheet Key'!$A$26</f>
        <v>440</v>
      </c>
      <c r="AQ36" s="283">
        <f>AI36/('APR Statistics'!$B$24)</f>
        <v>1.726844583987441E-2</v>
      </c>
      <c r="AR36" s="283">
        <f>AQ36*'APR Statistics'!$C$6</f>
        <v>20.273155416012557</v>
      </c>
      <c r="AS36" s="283"/>
      <c r="AT36" s="283">
        <f t="shared" si="0"/>
        <v>1</v>
      </c>
      <c r="AU36" s="283">
        <f t="shared" si="1"/>
        <v>0</v>
      </c>
      <c r="AV36" s="283">
        <f t="shared" si="2"/>
        <v>0</v>
      </c>
      <c r="AW36" s="283" cm="1">
        <f t="array" ref="AW36">COUNTIFS($C36:$AG36,"9",$C$4:$AG$4,"1")+SUM(COUNTIFS($C36:$AG36,{"8","9"},$C$4:$AG$4,"2"))+COUNTIFS($C36:$AG36,"8",$C$4:$AG$4,"3")</f>
        <v>1</v>
      </c>
      <c r="AX36" s="283">
        <f t="shared" si="3"/>
        <v>0</v>
      </c>
      <c r="AY36" s="283">
        <f t="shared" si="4"/>
        <v>2</v>
      </c>
      <c r="AZ36" s="283">
        <f>AT36*'Spreadsheet Key'!$A$27+AU36*'Spreadsheet Key'!$A$28+AV36*'Spreadsheet Key'!$A$29+AW36*'Spreadsheet Key'!$A$30+AX36*'Spreadsheet Key'!$A$31</f>
        <v>46</v>
      </c>
      <c r="BA36" s="283"/>
      <c r="BB36" s="283">
        <f t="shared" ref="BB36" si="19">AR36-AZ36</f>
        <v>-25.726844583987443</v>
      </c>
      <c r="BC36" s="3213"/>
      <c r="BD36" s="3213"/>
      <c r="BE36" s="3213"/>
      <c r="BF36" s="3213"/>
    </row>
    <row r="37" spans="1:58">
      <c r="A37" s="3212"/>
      <c r="B37" s="3212"/>
      <c r="C37" s="3181"/>
      <c r="D37" s="3181"/>
      <c r="E37" s="3181"/>
      <c r="F37" s="3182"/>
      <c r="G37" s="3218" t="s">
        <v>722</v>
      </c>
      <c r="H37" s="3181"/>
      <c r="I37" s="3181"/>
      <c r="J37" s="3181"/>
      <c r="K37" s="3181"/>
      <c r="L37" s="3181"/>
      <c r="M37" s="3181"/>
      <c r="N37" s="3181"/>
      <c r="O37" s="3181"/>
      <c r="P37" s="3181"/>
      <c r="Q37" s="3181"/>
      <c r="R37" s="3181"/>
      <c r="S37" s="3181"/>
      <c r="T37" s="3181"/>
      <c r="U37" s="3181"/>
      <c r="V37" s="3181"/>
      <c r="W37" s="3181"/>
      <c r="X37" s="3181"/>
      <c r="Y37" s="3181"/>
      <c r="Z37" s="3181"/>
      <c r="AA37" s="3218" t="s">
        <v>722</v>
      </c>
      <c r="AB37" s="3181"/>
      <c r="AC37" s="3182"/>
      <c r="AD37" s="3181"/>
      <c r="AE37" s="3181"/>
      <c r="AF37" s="3181"/>
      <c r="AG37" s="3126"/>
      <c r="AH37" s="3126"/>
      <c r="AI37" s="283" cm="1">
        <f t="array" ref="AI37">SUM(COUNTIFS($C37:$AG37,{"0","4","5","6","7","8","9"}))</f>
        <v>0</v>
      </c>
      <c r="AJ37" s="283" cm="1">
        <f t="array" ref="AJ37">SUM(COUNTIFS($C37:$AG37,{"0","4","5","6","7","8","9"},$C$4:$AG$4,"0"))</f>
        <v>0</v>
      </c>
      <c r="AK37" s="283" cm="1">
        <f t="array" ref="AK37">SUM(COUNTIFS($C37:$AG37,{"0","4","5","6","7","8","9"},$C$4:$AG$4,"1"))</f>
        <v>0</v>
      </c>
      <c r="AL37" s="283" cm="1">
        <f t="array" ref="AL37">SUM(COUNTIFS($C37:$AG37,{"0","4","5","6","7","8","9"},$C$4:$AG$4,"2"))</f>
        <v>0</v>
      </c>
      <c r="AM37" s="283" cm="1">
        <f t="array" ref="AM37">SUM(COUNTIFS($C37:$AG37,{"0","4","5","6","7","8","9"},$C$4:$AG$4,"3"))</f>
        <v>0</v>
      </c>
      <c r="AN37" s="283" cm="1">
        <f t="array" ref="AN37">SUM(COUNTIFS($C37:$AG37,{"1","2","3"}))</f>
        <v>0</v>
      </c>
      <c r="AO37" s="283" cm="1">
        <f t="array" ref="AO37">SUM(COUNTIFS($C37:$AG37,{"4","5","6"}))</f>
        <v>0</v>
      </c>
      <c r="AP37" s="283">
        <f>AJ37*'Spreadsheet Key'!$A$23 + AK37*'Spreadsheet Key'!$A$24 + AL37*'Spreadsheet Key'!$A$25 + AM37*'Spreadsheet Key'!$A$26</f>
        <v>0</v>
      </c>
      <c r="AQ37" s="283">
        <f>AI37/('APR Statistics'!$B$24)</f>
        <v>0</v>
      </c>
      <c r="AR37" s="283">
        <f>AQ37*'APR Statistics'!$C$6</f>
        <v>0</v>
      </c>
      <c r="AS37" s="283"/>
      <c r="AT37" s="283">
        <f t="shared" si="0"/>
        <v>0</v>
      </c>
      <c r="AU37" s="283">
        <f t="shared" si="1"/>
        <v>0</v>
      </c>
      <c r="AV37" s="283">
        <f t="shared" si="2"/>
        <v>0</v>
      </c>
      <c r="AW37" s="283" cm="1">
        <f t="array" ref="AW37">COUNTIFS($C37:$AG37,"9",$C$4:$AG$4,"1")+SUM(COUNTIFS($C37:$AG37,{"8","9"},$C$4:$AG$4,"2"))+COUNTIFS($C37:$AG37,"8",$C$4:$AG$4,"3")</f>
        <v>0</v>
      </c>
      <c r="AX37" s="283">
        <f t="shared" si="3"/>
        <v>0</v>
      </c>
      <c r="AY37" s="283">
        <f t="shared" si="4"/>
        <v>0</v>
      </c>
      <c r="AZ37" s="283">
        <f>AT37*'Spreadsheet Key'!$A$27+AU37*'Spreadsheet Key'!$A$28+AV37*'Spreadsheet Key'!$A$29+AW37*'Spreadsheet Key'!$A$30+AX37*'Spreadsheet Key'!$A$31</f>
        <v>0</v>
      </c>
      <c r="BA37" s="283"/>
      <c r="BB37" s="283"/>
      <c r="BC37" s="3139"/>
      <c r="BD37" s="3139"/>
      <c r="BE37" s="3139"/>
      <c r="BF37" s="3139"/>
    </row>
    <row r="38" spans="1:58" s="3211" customFormat="1">
      <c r="A38" s="3187" t="s">
        <v>1056</v>
      </c>
      <c r="B38" s="3187" t="s">
        <v>334</v>
      </c>
      <c r="C38" s="3206">
        <v>0</v>
      </c>
      <c r="D38" s="3206">
        <v>0</v>
      </c>
      <c r="E38" s="3206">
        <v>0</v>
      </c>
      <c r="F38" s="3206">
        <v>0</v>
      </c>
      <c r="G38" s="3206">
        <v>9</v>
      </c>
      <c r="H38" s="3206">
        <v>0</v>
      </c>
      <c r="I38" s="3206">
        <v>0</v>
      </c>
      <c r="J38" s="3206">
        <v>0</v>
      </c>
      <c r="K38" s="3206">
        <v>0</v>
      </c>
      <c r="L38" s="3206">
        <v>0</v>
      </c>
      <c r="M38" s="3206">
        <v>0</v>
      </c>
      <c r="N38" s="3206">
        <v>0</v>
      </c>
      <c r="O38" s="3206">
        <v>0</v>
      </c>
      <c r="P38" s="3206">
        <v>0</v>
      </c>
      <c r="Q38" s="3206">
        <v>0</v>
      </c>
      <c r="R38" s="3206">
        <v>0</v>
      </c>
      <c r="S38" s="3206">
        <v>0</v>
      </c>
      <c r="T38" s="3206">
        <v>0</v>
      </c>
      <c r="U38" s="3206">
        <v>0</v>
      </c>
      <c r="V38" s="3206">
        <v>0</v>
      </c>
      <c r="W38" s="3206">
        <v>0</v>
      </c>
      <c r="X38" s="3206">
        <v>0</v>
      </c>
      <c r="Y38" s="3206">
        <v>0</v>
      </c>
      <c r="Z38" s="3206">
        <v>0</v>
      </c>
      <c r="AA38" s="3206">
        <v>9</v>
      </c>
      <c r="AB38" s="3206">
        <v>0</v>
      </c>
      <c r="AC38" s="3206">
        <v>0</v>
      </c>
      <c r="AD38" s="3206">
        <v>0</v>
      </c>
      <c r="AE38" s="3206">
        <v>0</v>
      </c>
      <c r="AF38" s="3206">
        <v>0</v>
      </c>
      <c r="AG38" s="3209">
        <v>0</v>
      </c>
      <c r="AH38" s="3209"/>
      <c r="AI38" s="283" cm="1">
        <f t="array" ref="AI38">SUM(COUNTIFS($C38:$AG38,{"0","4","5","6","7","8","9"}))</f>
        <v>31</v>
      </c>
      <c r="AJ38" s="283" cm="1">
        <f t="array" ref="AJ38">SUM(COUNTIFS($C38:$AG38,{"0","4","5","6","7","8","9"},$C$4:$AG$4,"0"))</f>
        <v>18</v>
      </c>
      <c r="AK38" s="283" cm="1">
        <f t="array" ref="AK38">SUM(COUNTIFS($C38:$AG38,{"0","4","5","6","7","8","9"},$C$4:$AG$4,"1"))</f>
        <v>4</v>
      </c>
      <c r="AL38" s="283" cm="1">
        <f t="array" ref="AL38">SUM(COUNTIFS($C38:$AG38,{"0","4","5","6","7","8","9"},$C$4:$AG$4,"2"))</f>
        <v>4</v>
      </c>
      <c r="AM38" s="283" cm="1">
        <f t="array" ref="AM38">SUM(COUNTIFS($C38:$AG38,{"0","4","5","6","7","8","9"},$C$4:$AG$4,"3"))</f>
        <v>4</v>
      </c>
      <c r="AN38" s="283" cm="1">
        <f t="array" ref="AN38">SUM(COUNTIFS($C38:$AG38,{"1","2","3"}))</f>
        <v>0</v>
      </c>
      <c r="AO38" s="283" cm="1">
        <f t="array" ref="AO38">SUM(COUNTIFS($C38:$AG38,{"4","5","6"}))</f>
        <v>0</v>
      </c>
      <c r="AP38" s="283">
        <f>AJ38*'Spreadsheet Key'!$A$23 + AK38*'Spreadsheet Key'!$A$24 + AL38*'Spreadsheet Key'!$A$25 + AM38*'Spreadsheet Key'!$A$26</f>
        <v>1124</v>
      </c>
      <c r="AQ38" s="283">
        <f>AI38/('APR Statistics'!$B$24)</f>
        <v>4.8665620094191522E-2</v>
      </c>
      <c r="AR38" s="283">
        <f>AQ38*'APR Statistics'!$C$6</f>
        <v>57.133437990580845</v>
      </c>
      <c r="AS38" s="283"/>
      <c r="AT38" s="283">
        <f t="shared" si="0"/>
        <v>0</v>
      </c>
      <c r="AU38" s="283">
        <f t="shared" si="1"/>
        <v>0</v>
      </c>
      <c r="AV38" s="283">
        <f t="shared" si="2"/>
        <v>0</v>
      </c>
      <c r="AW38" s="283" cm="1">
        <f t="array" ref="AW38">COUNTIFS($C38:$AG38,"9",$C$4:$AG$4,"1")+SUM(COUNTIFS($C38:$AG38,{"8","9"},$C$4:$AG$4,"2"))+COUNTIFS($C38:$AG38,"8",$C$4:$AG$4,"3")</f>
        <v>2</v>
      </c>
      <c r="AX38" s="283">
        <f t="shared" si="3"/>
        <v>0</v>
      </c>
      <c r="AY38" s="283">
        <f t="shared" si="4"/>
        <v>2</v>
      </c>
      <c r="AZ38" s="283">
        <f>AT38*'Spreadsheet Key'!$A$27+AU38*'Spreadsheet Key'!$A$28+AV38*'Spreadsheet Key'!$A$29+AW38*'Spreadsheet Key'!$A$30+AX38*'Spreadsheet Key'!$A$31</f>
        <v>72</v>
      </c>
      <c r="BA38" s="283"/>
      <c r="BB38" s="283">
        <f t="shared" ref="BB38:BB40" si="20">AR38-AZ38</f>
        <v>-14.866562009419155</v>
      </c>
      <c r="BC38" s="3213"/>
      <c r="BD38" s="3213"/>
      <c r="BE38" s="3213"/>
      <c r="BF38" s="3213"/>
    </row>
    <row r="39" spans="1:58">
      <c r="A39" s="3212"/>
      <c r="B39" s="3212"/>
      <c r="C39" s="3181"/>
      <c r="D39" s="3196"/>
      <c r="E39" s="3182" t="s">
        <v>720</v>
      </c>
      <c r="F39" s="3181"/>
      <c r="G39" s="6276" t="s">
        <v>530</v>
      </c>
      <c r="H39" s="6276"/>
      <c r="I39" s="6276"/>
      <c r="J39" s="6276"/>
      <c r="K39" s="6276"/>
      <c r="L39" s="6276"/>
      <c r="M39" s="3181"/>
      <c r="N39" s="3181"/>
      <c r="O39" s="3181"/>
      <c r="P39" s="3181"/>
      <c r="Q39" s="3181"/>
      <c r="R39" s="3181"/>
      <c r="S39" s="3181"/>
      <c r="T39" s="3181"/>
      <c r="U39" s="3181"/>
      <c r="V39" s="3181"/>
      <c r="W39" s="3181"/>
      <c r="X39" s="3182" t="s">
        <v>722</v>
      </c>
      <c r="Y39" s="3181"/>
      <c r="Z39" s="3181"/>
      <c r="AA39" s="3181"/>
      <c r="AB39" s="3181"/>
      <c r="AC39" s="3181"/>
      <c r="AD39" s="3181"/>
      <c r="AE39" s="3181"/>
      <c r="AF39" s="3190"/>
      <c r="AG39" s="3126"/>
      <c r="AH39" s="3126"/>
      <c r="AI39" s="283" cm="1">
        <f t="array" ref="AI39">SUM(COUNTIFS($C39:$AG39,{"0","4","5","6","7","8","9"}))</f>
        <v>0</v>
      </c>
      <c r="AJ39" s="283" cm="1">
        <f t="array" ref="AJ39">SUM(COUNTIFS($C39:$AG39,{"0","4","5","6","7","8","9"},$C$4:$AG$4,"0"))</f>
        <v>0</v>
      </c>
      <c r="AK39" s="283" cm="1">
        <f t="array" ref="AK39">SUM(COUNTIFS($C39:$AG39,{"0","4","5","6","7","8","9"},$C$4:$AG$4,"1"))</f>
        <v>0</v>
      </c>
      <c r="AL39" s="283" cm="1">
        <f t="array" ref="AL39">SUM(COUNTIFS($C39:$AG39,{"0","4","5","6","7","8","9"},$C$4:$AG$4,"2"))</f>
        <v>0</v>
      </c>
      <c r="AM39" s="283" cm="1">
        <f t="array" ref="AM39">SUM(COUNTIFS($C39:$AG39,{"0","4","5","6","7","8","9"},$C$4:$AG$4,"3"))</f>
        <v>0</v>
      </c>
      <c r="AN39" s="283" cm="1">
        <f t="array" ref="AN39">SUM(COUNTIFS($C39:$AG39,{"1","2","3"}))</f>
        <v>0</v>
      </c>
      <c r="AO39" s="283" cm="1">
        <f t="array" ref="AO39">SUM(COUNTIFS($C39:$AG39,{"4","5","6"}))</f>
        <v>0</v>
      </c>
      <c r="AP39" s="283">
        <f>AJ39*'Spreadsheet Key'!$A$23 + AK39*'Spreadsheet Key'!$A$24 + AL39*'Spreadsheet Key'!$A$25 + AM39*'Spreadsheet Key'!$A$26</f>
        <v>0</v>
      </c>
      <c r="AQ39" s="283">
        <f>AI39/('APR Statistics'!$B$24)</f>
        <v>0</v>
      </c>
      <c r="AR39" s="283">
        <f>AQ39*'APR Statistics'!$C$6</f>
        <v>0</v>
      </c>
      <c r="AS39" s="283"/>
      <c r="AT39" s="283">
        <f t="shared" si="0"/>
        <v>0</v>
      </c>
      <c r="AU39" s="283">
        <f t="shared" si="1"/>
        <v>0</v>
      </c>
      <c r="AV39" s="283">
        <f t="shared" si="2"/>
        <v>0</v>
      </c>
      <c r="AW39" s="283" cm="1">
        <f t="array" ref="AW39">COUNTIFS($C39:$AG39,"9",$C$4:$AG$4,"1")+SUM(COUNTIFS($C39:$AG39,{"8","9"},$C$4:$AG$4,"2"))+COUNTIFS($C39:$AG39,"8",$C$4:$AG$4,"3")</f>
        <v>0</v>
      </c>
      <c r="AX39" s="283">
        <f t="shared" si="3"/>
        <v>0</v>
      </c>
      <c r="AY39" s="283">
        <f t="shared" si="4"/>
        <v>0</v>
      </c>
      <c r="AZ39" s="283">
        <f>AT39*'Spreadsheet Key'!$A$27+AU39*'Spreadsheet Key'!$A$28+AV39*'Spreadsheet Key'!$A$29+AW39*'Spreadsheet Key'!$A$30+AX39*'Spreadsheet Key'!$A$31</f>
        <v>0</v>
      </c>
      <c r="BA39" s="283"/>
      <c r="BB39" s="283"/>
      <c r="BC39" s="283"/>
      <c r="BD39" s="283"/>
      <c r="BE39" s="283"/>
      <c r="BF39" s="283"/>
    </row>
    <row r="40" spans="1:58" s="3211" customFormat="1">
      <c r="A40" s="3187" t="s">
        <v>129</v>
      </c>
      <c r="B40" s="3187" t="s">
        <v>474</v>
      </c>
      <c r="C40" s="3199">
        <v>0</v>
      </c>
      <c r="D40" s="3199">
        <v>0</v>
      </c>
      <c r="E40" s="3199">
        <v>8</v>
      </c>
      <c r="F40" s="3199">
        <v>0</v>
      </c>
      <c r="G40" s="3199">
        <v>1</v>
      </c>
      <c r="H40" s="3199">
        <v>2</v>
      </c>
      <c r="I40" s="3199">
        <v>2</v>
      </c>
      <c r="J40" s="3199">
        <v>2</v>
      </c>
      <c r="K40" s="3199">
        <v>2</v>
      </c>
      <c r="L40" s="3199">
        <v>3</v>
      </c>
      <c r="M40" s="3199">
        <v>0</v>
      </c>
      <c r="N40" s="3199">
        <v>0</v>
      </c>
      <c r="O40" s="3199">
        <v>0</v>
      </c>
      <c r="P40" s="3199">
        <v>0</v>
      </c>
      <c r="Q40" s="3199">
        <v>0</v>
      </c>
      <c r="R40" s="3199">
        <v>0</v>
      </c>
      <c r="S40" s="3199">
        <v>0</v>
      </c>
      <c r="T40" s="3199">
        <v>0</v>
      </c>
      <c r="U40" s="3199">
        <v>0</v>
      </c>
      <c r="V40" s="3199">
        <v>0</v>
      </c>
      <c r="W40" s="3199">
        <v>0</v>
      </c>
      <c r="X40" s="3199">
        <v>9</v>
      </c>
      <c r="Y40" s="3199">
        <v>0</v>
      </c>
      <c r="Z40" s="3199">
        <v>0</v>
      </c>
      <c r="AA40" s="3199">
        <v>0</v>
      </c>
      <c r="AB40" s="3199">
        <v>0</v>
      </c>
      <c r="AC40" s="3199">
        <v>0</v>
      </c>
      <c r="AD40" s="3199">
        <v>0</v>
      </c>
      <c r="AE40" s="3199">
        <v>0</v>
      </c>
      <c r="AF40" s="3199">
        <v>0</v>
      </c>
      <c r="AG40" s="3209"/>
      <c r="AH40" s="3209"/>
      <c r="AI40" s="283" cm="1">
        <f t="array" ref="AI40">SUM(COUNTIFS($C40:$AG40,{"0","4","5","6","7","8","9"}))</f>
        <v>24</v>
      </c>
      <c r="AJ40" s="283" cm="1">
        <f t="array" ref="AJ40">SUM(COUNTIFS($C40:$AG40,{"0","4","5","6","7","8","9"},$C$4:$AG$4,"0"))</f>
        <v>14</v>
      </c>
      <c r="AK40" s="283" cm="1">
        <f t="array" ref="AK40">SUM(COUNTIFS($C40:$AG40,{"0","4","5","6","7","8","9"},$C$4:$AG$4,"1"))</f>
        <v>4</v>
      </c>
      <c r="AL40" s="283" cm="1">
        <f t="array" ref="AL40">SUM(COUNTIFS($C40:$AG40,{"0","4","5","6","7","8","9"},$C$4:$AG$4,"2"))</f>
        <v>3</v>
      </c>
      <c r="AM40" s="283" cm="1">
        <f t="array" ref="AM40">SUM(COUNTIFS($C40:$AG40,{"0","4","5","6","7","8","9"},$C$4:$AG$4,"3"))</f>
        <v>3</v>
      </c>
      <c r="AN40" s="283" cm="1">
        <f t="array" ref="AN40">SUM(COUNTIFS($C40:$AG40,{"1","2","3"}))</f>
        <v>6</v>
      </c>
      <c r="AO40" s="283" cm="1">
        <f t="array" ref="AO40">SUM(COUNTIFS($C40:$AG40,{"4","5","6"}))</f>
        <v>0</v>
      </c>
      <c r="AP40" s="283">
        <f>AJ40*'Spreadsheet Key'!$A$23 + AK40*'Spreadsheet Key'!$A$24 + AL40*'Spreadsheet Key'!$A$25 + AM40*'Spreadsheet Key'!$A$26</f>
        <v>908</v>
      </c>
      <c r="AQ40" s="283">
        <f>AI40/('APR Statistics'!$B$24)</f>
        <v>3.7676609105180531E-2</v>
      </c>
      <c r="AR40" s="283">
        <f>AQ40*'APR Statistics'!$C$6</f>
        <v>44.23233908948194</v>
      </c>
      <c r="AS40" s="283"/>
      <c r="AT40" s="283">
        <f t="shared" si="0"/>
        <v>1</v>
      </c>
      <c r="AU40" s="283">
        <f t="shared" si="1"/>
        <v>1</v>
      </c>
      <c r="AV40" s="283">
        <f t="shared" si="2"/>
        <v>0</v>
      </c>
      <c r="AW40" s="283" cm="1">
        <f t="array" ref="AW40">COUNTIFS($C40:$AG40,"9",$C$4:$AG$4,"1")+SUM(COUNTIFS($C40:$AG40,{"8","9"},$C$4:$AG$4,"2"))+COUNTIFS($C40:$AG40,"8",$C$4:$AG$4,"3")</f>
        <v>0</v>
      </c>
      <c r="AX40" s="283">
        <f t="shared" si="3"/>
        <v>0</v>
      </c>
      <c r="AY40" s="283">
        <f t="shared" si="4"/>
        <v>2</v>
      </c>
      <c r="AZ40" s="283">
        <f>AT40*'Spreadsheet Key'!$A$27+AU40*'Spreadsheet Key'!$A$28+AV40*'Spreadsheet Key'!$A$29+AW40*'Spreadsheet Key'!$A$30+AX40*'Spreadsheet Key'!$A$31</f>
        <v>22</v>
      </c>
      <c r="BA40" s="283"/>
      <c r="BB40" s="283">
        <f t="shared" ref="BB40:BB42" si="21">AR40-AZ40</f>
        <v>22.23233908948194</v>
      </c>
      <c r="BC40" s="3210"/>
      <c r="BD40" s="3210"/>
      <c r="BE40" s="3210"/>
      <c r="BF40" s="3210"/>
    </row>
    <row r="41" spans="1:58">
      <c r="A41" s="3212"/>
      <c r="B41" s="3212"/>
      <c r="C41" s="6279" t="s">
        <v>1268</v>
      </c>
      <c r="D41" s="6279"/>
      <c r="E41" s="6279"/>
      <c r="F41" s="6279"/>
      <c r="G41" s="3183" t="s">
        <v>1025</v>
      </c>
      <c r="H41" s="3181"/>
      <c r="I41" s="3181"/>
      <c r="J41" s="3182"/>
      <c r="K41" s="3182" t="s">
        <v>720</v>
      </c>
      <c r="L41" s="3181"/>
      <c r="M41" s="3181"/>
      <c r="N41" s="3181"/>
      <c r="O41" s="3181"/>
      <c r="P41" s="3182" t="s">
        <v>720</v>
      </c>
      <c r="Q41" s="6268" t="s">
        <v>1263</v>
      </c>
      <c r="R41" s="6268"/>
      <c r="S41" s="3181"/>
      <c r="T41" s="3181"/>
      <c r="U41" s="3181"/>
      <c r="V41" s="3181"/>
      <c r="W41" s="3181"/>
      <c r="X41" s="3182" t="s">
        <v>720</v>
      </c>
      <c r="Y41" s="3181"/>
      <c r="Z41" s="3181"/>
      <c r="AA41" s="3182"/>
      <c r="AB41" s="3181"/>
      <c r="AC41" s="3181"/>
      <c r="AD41" s="3181"/>
      <c r="AE41" s="3181"/>
      <c r="AF41" s="3183" t="s">
        <v>1025</v>
      </c>
      <c r="AG41" s="3126"/>
      <c r="AH41" s="3126"/>
      <c r="AI41" s="283" cm="1">
        <f t="array" ref="AI41">SUM(COUNTIFS($C41:$AG41,{"0","4","5","6","7","8","9"}))</f>
        <v>0</v>
      </c>
      <c r="AJ41" s="283" cm="1">
        <f t="array" ref="AJ41">SUM(COUNTIFS($C41:$AG41,{"0","4","5","6","7","8","9"},$C$4:$AG$4,"0"))</f>
        <v>0</v>
      </c>
      <c r="AK41" s="283" cm="1">
        <f t="array" ref="AK41">SUM(COUNTIFS($C41:$AG41,{"0","4","5","6","7","8","9"},$C$4:$AG$4,"1"))</f>
        <v>0</v>
      </c>
      <c r="AL41" s="283" cm="1">
        <f t="array" ref="AL41">SUM(COUNTIFS($C41:$AG41,{"0","4","5","6","7","8","9"},$C$4:$AG$4,"2"))</f>
        <v>0</v>
      </c>
      <c r="AM41" s="283" cm="1">
        <f t="array" ref="AM41">SUM(COUNTIFS($C41:$AG41,{"0","4","5","6","7","8","9"},$C$4:$AG$4,"3"))</f>
        <v>0</v>
      </c>
      <c r="AN41" s="283" cm="1">
        <f t="array" ref="AN41">SUM(COUNTIFS($C41:$AG41,{"1","2","3"}))</f>
        <v>0</v>
      </c>
      <c r="AO41" s="283" cm="1">
        <f t="array" ref="AO41">SUM(COUNTIFS($C41:$AG41,{"4","5","6"}))</f>
        <v>0</v>
      </c>
      <c r="AP41" s="283">
        <f>AJ41*'Spreadsheet Key'!$A$23 + AK41*'Spreadsheet Key'!$A$24 + AL41*'Spreadsheet Key'!$A$25 + AM41*'Spreadsheet Key'!$A$26</f>
        <v>0</v>
      </c>
      <c r="AQ41" s="283">
        <f>AI41/('APR Statistics'!$B$24)</f>
        <v>0</v>
      </c>
      <c r="AR41" s="283">
        <f>AQ41*'APR Statistics'!$C$6</f>
        <v>0</v>
      </c>
      <c r="AS41" s="283"/>
      <c r="AT41" s="283">
        <f t="shared" si="0"/>
        <v>0</v>
      </c>
      <c r="AU41" s="283">
        <f t="shared" si="1"/>
        <v>0</v>
      </c>
      <c r="AV41" s="283">
        <f t="shared" si="2"/>
        <v>0</v>
      </c>
      <c r="AW41" s="283" cm="1">
        <f t="array" ref="AW41">COUNTIFS($C41:$AG41,"9",$C$4:$AG$4,"1")+SUM(COUNTIFS($C41:$AG41,{"8","9"},$C$4:$AG$4,"2"))+COUNTIFS($C41:$AG41,"8",$C$4:$AG$4,"3")</f>
        <v>0</v>
      </c>
      <c r="AX41" s="283">
        <f t="shared" si="3"/>
        <v>0</v>
      </c>
      <c r="AY41" s="283">
        <f t="shared" si="4"/>
        <v>0</v>
      </c>
      <c r="AZ41" s="283">
        <f>AT41*'Spreadsheet Key'!$A$27+AU41*'Spreadsheet Key'!$A$28+AV41*'Spreadsheet Key'!$A$29+AW41*'Spreadsheet Key'!$A$30+AX41*'Spreadsheet Key'!$A$31</f>
        <v>0</v>
      </c>
      <c r="BA41" s="283"/>
      <c r="BB41" s="283"/>
      <c r="BC41" s="283"/>
      <c r="BD41" s="283"/>
      <c r="BE41" s="283"/>
      <c r="BF41" s="283"/>
    </row>
    <row r="42" spans="1:58" s="3211" customFormat="1">
      <c r="A42" s="3180" t="s">
        <v>283</v>
      </c>
      <c r="B42" s="3180" t="s">
        <v>1036</v>
      </c>
      <c r="C42" s="3199">
        <v>2</v>
      </c>
      <c r="D42" s="3199">
        <v>2</v>
      </c>
      <c r="E42" s="3199">
        <v>2</v>
      </c>
      <c r="F42" s="3199">
        <v>2</v>
      </c>
      <c r="G42" s="3199">
        <v>3</v>
      </c>
      <c r="H42" s="3199">
        <v>0</v>
      </c>
      <c r="I42" s="3199">
        <v>0</v>
      </c>
      <c r="J42" s="3199">
        <v>0</v>
      </c>
      <c r="K42" s="3199">
        <v>8</v>
      </c>
      <c r="L42" s="3199">
        <v>0</v>
      </c>
      <c r="M42" s="3199">
        <v>0</v>
      </c>
      <c r="N42" s="3199">
        <v>0</v>
      </c>
      <c r="O42" s="3199">
        <v>0</v>
      </c>
      <c r="P42" s="3199">
        <v>8</v>
      </c>
      <c r="Q42" s="3199">
        <v>7</v>
      </c>
      <c r="R42" s="3199">
        <v>7</v>
      </c>
      <c r="S42" s="3199">
        <v>0</v>
      </c>
      <c r="T42" s="3199">
        <v>0</v>
      </c>
      <c r="U42" s="3199">
        <v>0</v>
      </c>
      <c r="V42" s="3199">
        <v>0</v>
      </c>
      <c r="W42" s="3199">
        <v>0</v>
      </c>
      <c r="X42" s="3199">
        <v>8</v>
      </c>
      <c r="Y42" s="3199">
        <v>0</v>
      </c>
      <c r="Z42" s="3199">
        <v>0</v>
      </c>
      <c r="AA42" s="3199">
        <v>0</v>
      </c>
      <c r="AB42" s="3199">
        <v>0</v>
      </c>
      <c r="AC42" s="3199">
        <v>0</v>
      </c>
      <c r="AD42" s="3199">
        <v>0</v>
      </c>
      <c r="AE42" s="3199">
        <v>0</v>
      </c>
      <c r="AF42" s="3199">
        <v>1</v>
      </c>
      <c r="AG42" s="3209"/>
      <c r="AH42" s="3209"/>
      <c r="AI42" s="283" cm="1">
        <f t="array" ref="AI42">SUM(COUNTIFS($C42:$AG42,{"0","4","5","6","7","8","9"}))</f>
        <v>24</v>
      </c>
      <c r="AJ42" s="283" cm="1">
        <f t="array" ref="AJ42">SUM(COUNTIFS($C42:$AG42,{"0","4","5","6","7","8","9"},$C$4:$AG$4,"0"))</f>
        <v>14</v>
      </c>
      <c r="AK42" s="283" cm="1">
        <f t="array" ref="AK42">SUM(COUNTIFS($C42:$AG42,{"0","4","5","6","7","8","9"},$C$4:$AG$4,"1"))</f>
        <v>3</v>
      </c>
      <c r="AL42" s="283" cm="1">
        <f t="array" ref="AL42">SUM(COUNTIFS($C42:$AG42,{"0","4","5","6","7","8","9"},$C$4:$AG$4,"2"))</f>
        <v>3</v>
      </c>
      <c r="AM42" s="283" cm="1">
        <f t="array" ref="AM42">SUM(COUNTIFS($C42:$AG42,{"0","4","5","6","7","8","9"},$C$4:$AG$4,"3"))</f>
        <v>4</v>
      </c>
      <c r="AN42" s="283" cm="1">
        <f t="array" ref="AN42">SUM(COUNTIFS($C42:$AG42,{"1","2","3"}))</f>
        <v>6</v>
      </c>
      <c r="AO42" s="283" cm="1">
        <f t="array" ref="AO42">SUM(COUNTIFS($C42:$AG42,{"4","5","6"}))</f>
        <v>0</v>
      </c>
      <c r="AP42" s="283">
        <f>AJ42*'Spreadsheet Key'!$A$23 + AK42*'Spreadsheet Key'!$A$24 + AL42*'Spreadsheet Key'!$A$25 + AM42*'Spreadsheet Key'!$A$26</f>
        <v>910</v>
      </c>
      <c r="AQ42" s="283">
        <f>AI42/('APR Statistics'!$B$24)</f>
        <v>3.7676609105180531E-2</v>
      </c>
      <c r="AR42" s="283">
        <v>24</v>
      </c>
      <c r="AS42" s="283"/>
      <c r="AT42" s="283">
        <f t="shared" si="0"/>
        <v>3</v>
      </c>
      <c r="AU42" s="283">
        <f t="shared" si="1"/>
        <v>0</v>
      </c>
      <c r="AV42" s="283">
        <f t="shared" si="2"/>
        <v>0</v>
      </c>
      <c r="AW42" s="283" cm="1">
        <f t="array" ref="AW42">COUNTIFS($C42:$AG42,"9",$C$4:$AG$4,"1")+SUM(COUNTIFS($C42:$AG42,{"8","9"},$C$4:$AG$4,"2"))+COUNTIFS($C42:$AG42,"8",$C$4:$AG$4,"3")</f>
        <v>0</v>
      </c>
      <c r="AX42" s="283">
        <f t="shared" si="3"/>
        <v>0</v>
      </c>
      <c r="AY42" s="283">
        <f t="shared" si="4"/>
        <v>3</v>
      </c>
      <c r="AZ42" s="283">
        <f>AT42*'Spreadsheet Key'!$A$27+AU42*'Spreadsheet Key'!$A$28+AV42*'Spreadsheet Key'!$A$29+AW42*'Spreadsheet Key'!$A$30+AX42*'Spreadsheet Key'!$A$31</f>
        <v>30</v>
      </c>
      <c r="BA42" s="283"/>
      <c r="BB42" s="283">
        <f t="shared" ref="BB42" si="22">AR42-AZ42</f>
        <v>-6</v>
      </c>
      <c r="BC42" s="3210"/>
      <c r="BD42" s="3210"/>
      <c r="BE42" s="3210"/>
      <c r="BF42" s="3210"/>
    </row>
    <row r="43" spans="1:58">
      <c r="A43" s="3208"/>
      <c r="B43" s="3208"/>
      <c r="C43" s="6276" t="s">
        <v>1269</v>
      </c>
      <c r="D43" s="6276"/>
      <c r="E43" s="6276"/>
      <c r="F43" s="6276"/>
      <c r="G43" s="3183" t="s">
        <v>1025</v>
      </c>
      <c r="H43" s="3181"/>
      <c r="I43" s="3181"/>
      <c r="J43" s="3182" t="s">
        <v>720</v>
      </c>
      <c r="K43" s="3181"/>
      <c r="L43" s="3181"/>
      <c r="M43" s="3181"/>
      <c r="N43" s="3182" t="s">
        <v>722</v>
      </c>
      <c r="O43" s="3182"/>
      <c r="P43" s="3181"/>
      <c r="Q43" s="6268" t="s">
        <v>1263</v>
      </c>
      <c r="R43" s="6268"/>
      <c r="S43" s="3181"/>
      <c r="T43" s="3181"/>
      <c r="U43" s="3183" t="s">
        <v>1025</v>
      </c>
      <c r="V43" s="6280" t="s">
        <v>1270</v>
      </c>
      <c r="W43" s="6280"/>
      <c r="X43" s="6280"/>
      <c r="Y43" s="6280"/>
      <c r="Z43" s="6280"/>
      <c r="AA43" s="6280"/>
      <c r="AB43" s="6280"/>
      <c r="AC43" s="6280"/>
      <c r="AD43" s="6280"/>
      <c r="AE43" s="3191"/>
      <c r="AF43" s="3191"/>
      <c r="AG43" s="3126"/>
      <c r="AH43" s="3126"/>
      <c r="AI43" s="283" cm="1">
        <f t="array" ref="AI43">SUM(COUNTIFS($C43:$AG43,{"0","4","5","6","7","8","9"}))</f>
        <v>0</v>
      </c>
      <c r="AJ43" s="283" cm="1">
        <f t="array" ref="AJ43">SUM(COUNTIFS($C43:$AG43,{"0","4","5","6","7","8","9"},$C$4:$AG$4,"0"))</f>
        <v>0</v>
      </c>
      <c r="AK43" s="283" cm="1">
        <f t="array" ref="AK43">SUM(COUNTIFS($C43:$AG43,{"0","4","5","6","7","8","9"},$C$4:$AG$4,"1"))</f>
        <v>0</v>
      </c>
      <c r="AL43" s="283" cm="1">
        <f t="array" ref="AL43">SUM(COUNTIFS($C43:$AG43,{"0","4","5","6","7","8","9"},$C$4:$AG$4,"2"))</f>
        <v>0</v>
      </c>
      <c r="AM43" s="283" cm="1">
        <f t="array" ref="AM43">SUM(COUNTIFS($C43:$AG43,{"0","4","5","6","7","8","9"},$C$4:$AG$4,"3"))</f>
        <v>0</v>
      </c>
      <c r="AN43" s="283" cm="1">
        <f t="array" ref="AN43">SUM(COUNTIFS($C43:$AG43,{"1","2","3"}))</f>
        <v>0</v>
      </c>
      <c r="AO43" s="283" cm="1">
        <f t="array" ref="AO43">SUM(COUNTIFS($C43:$AG43,{"4","5","6"}))</f>
        <v>0</v>
      </c>
      <c r="AP43" s="283">
        <f>AJ43*'Spreadsheet Key'!$A$23 + AK43*'Spreadsheet Key'!$A$24 + AL43*'Spreadsheet Key'!$A$25 + AM43*'Spreadsheet Key'!$A$26</f>
        <v>0</v>
      </c>
      <c r="AQ43" s="283">
        <f>AI43/('APR Statistics'!$B$24)</f>
        <v>0</v>
      </c>
      <c r="AR43" s="283">
        <f>AQ43*'APR Statistics'!$C$6</f>
        <v>0</v>
      </c>
      <c r="AS43" s="283"/>
      <c r="AT43" s="283">
        <f t="shared" si="0"/>
        <v>0</v>
      </c>
      <c r="AU43" s="283">
        <f t="shared" si="1"/>
        <v>0</v>
      </c>
      <c r="AV43" s="283">
        <f t="shared" si="2"/>
        <v>0</v>
      </c>
      <c r="AW43" s="283" cm="1">
        <f t="array" ref="AW43">COUNTIFS($C43:$AG43,"9",$C$4:$AG$4,"1")+SUM(COUNTIFS($C43:$AG43,{"8","9"},$C$4:$AG$4,"2"))+COUNTIFS($C43:$AG43,"8",$C$4:$AG$4,"3")</f>
        <v>0</v>
      </c>
      <c r="AX43" s="283">
        <f t="shared" si="3"/>
        <v>0</v>
      </c>
      <c r="AY43" s="283">
        <f t="shared" si="4"/>
        <v>0</v>
      </c>
      <c r="AZ43" s="283">
        <f>AT43*'Spreadsheet Key'!$A$27+AU43*'Spreadsheet Key'!$A$28+AV43*'Spreadsheet Key'!$A$29+AW43*'Spreadsheet Key'!$A$30+AX43*'Spreadsheet Key'!$A$31</f>
        <v>0</v>
      </c>
      <c r="BA43" s="283"/>
      <c r="BB43" s="283"/>
      <c r="BC43" s="283"/>
      <c r="BD43" s="283"/>
      <c r="BE43" s="283"/>
      <c r="BF43" s="283"/>
    </row>
    <row r="44" spans="1:58" s="3211" customFormat="1">
      <c r="A44" s="3180" t="s">
        <v>95</v>
      </c>
      <c r="B44" s="3180" t="s">
        <v>1058</v>
      </c>
      <c r="C44" s="3199">
        <v>2</v>
      </c>
      <c r="D44" s="3199">
        <v>2</v>
      </c>
      <c r="E44" s="3199">
        <v>2</v>
      </c>
      <c r="F44" s="3199">
        <v>2</v>
      </c>
      <c r="G44" s="3199">
        <v>3</v>
      </c>
      <c r="H44" s="3199">
        <v>0</v>
      </c>
      <c r="I44" s="3199">
        <v>0</v>
      </c>
      <c r="J44" s="3199">
        <v>8</v>
      </c>
      <c r="K44" s="3199">
        <v>0</v>
      </c>
      <c r="L44" s="3199">
        <v>0</v>
      </c>
      <c r="M44" s="3199">
        <v>0</v>
      </c>
      <c r="N44" s="3199">
        <v>9</v>
      </c>
      <c r="O44" s="3199">
        <v>0</v>
      </c>
      <c r="P44" s="3199">
        <v>0</v>
      </c>
      <c r="Q44" s="3199">
        <v>7</v>
      </c>
      <c r="R44" s="3199">
        <v>7</v>
      </c>
      <c r="S44" s="3199">
        <v>0</v>
      </c>
      <c r="T44" s="3199">
        <v>0</v>
      </c>
      <c r="U44" s="3199">
        <v>1</v>
      </c>
      <c r="V44" s="3199">
        <v>2</v>
      </c>
      <c r="W44" s="3199">
        <v>2</v>
      </c>
      <c r="X44" s="3199">
        <v>2</v>
      </c>
      <c r="Y44" s="3199">
        <v>2</v>
      </c>
      <c r="Z44" s="3199">
        <v>2</v>
      </c>
      <c r="AA44" s="3199">
        <v>2</v>
      </c>
      <c r="AB44" s="3199">
        <v>2</v>
      </c>
      <c r="AC44" s="3199">
        <v>2</v>
      </c>
      <c r="AD44" s="3199">
        <v>2</v>
      </c>
      <c r="AE44" s="3199">
        <v>2</v>
      </c>
      <c r="AF44" s="3199">
        <v>2</v>
      </c>
      <c r="AG44" s="3209"/>
      <c r="AH44" s="3209"/>
      <c r="AI44" s="283" cm="1">
        <f t="array" ref="AI44">SUM(COUNTIFS($C44:$AG44,{"0","4","5","6","7","8","9"}))</f>
        <v>13</v>
      </c>
      <c r="AJ44" s="283" cm="1">
        <f t="array" ref="AJ44">SUM(COUNTIFS($C44:$AG44,{"0","4","5","6","7","8","9"},$C$4:$AG$4,"0"))</f>
        <v>8</v>
      </c>
      <c r="AK44" s="283" cm="1">
        <f t="array" ref="AK44">SUM(COUNTIFS($C44:$AG44,{"0","4","5","6","7","8","9"},$C$4:$AG$4,"1"))</f>
        <v>2</v>
      </c>
      <c r="AL44" s="283" cm="1">
        <f t="array" ref="AL44">SUM(COUNTIFS($C44:$AG44,{"0","4","5","6","7","8","9"},$C$4:$AG$4,"2"))</f>
        <v>1</v>
      </c>
      <c r="AM44" s="283" cm="1">
        <f t="array" ref="AM44">SUM(COUNTIFS($C44:$AG44,{"0","4","5","6","7","8","9"},$C$4:$AG$4,"3"))</f>
        <v>2</v>
      </c>
      <c r="AN44" s="283" cm="1">
        <f t="array" ref="AN44">SUM(COUNTIFS($C44:$AG44,{"1","2","3"}))</f>
        <v>17</v>
      </c>
      <c r="AO44" s="283" cm="1">
        <f t="array" ref="AO44">SUM(COUNTIFS($C44:$AG44,{"4","5","6"}))</f>
        <v>0</v>
      </c>
      <c r="AP44" s="283">
        <f>AJ44*'Spreadsheet Key'!$A$23 + AK44*'Spreadsheet Key'!$A$24 + AL44*'Spreadsheet Key'!$A$25 + AM44*'Spreadsheet Key'!$A$26</f>
        <v>468</v>
      </c>
      <c r="AQ44" s="283">
        <f>AI44/('APR Statistics'!$B$24)</f>
        <v>2.0408163265306121E-2</v>
      </c>
      <c r="AR44" s="283">
        <f>AQ44*'APR Statistics'!$C$6</f>
        <v>23.959183673469386</v>
      </c>
      <c r="AS44" s="283"/>
      <c r="AT44" s="283">
        <f t="shared" si="0"/>
        <v>1</v>
      </c>
      <c r="AU44" s="283">
        <f t="shared" si="1"/>
        <v>0</v>
      </c>
      <c r="AV44" s="283">
        <f t="shared" si="2"/>
        <v>0</v>
      </c>
      <c r="AW44" s="283" cm="1">
        <f t="array" ref="AW44">COUNTIFS($C44:$AG44,"9",$C$4:$AG$4,"1")+SUM(COUNTIFS($C44:$AG44,{"8","9"},$C$4:$AG$4,"2"))+COUNTIFS($C44:$AG44,"8",$C$4:$AG$4,"3")</f>
        <v>1</v>
      </c>
      <c r="AX44" s="283">
        <f t="shared" si="3"/>
        <v>0</v>
      </c>
      <c r="AY44" s="283">
        <f t="shared" si="4"/>
        <v>2</v>
      </c>
      <c r="AZ44" s="283">
        <f>AT44*'Spreadsheet Key'!$A$27+AU44*'Spreadsheet Key'!$A$28+AV44*'Spreadsheet Key'!$A$29+AW44*'Spreadsheet Key'!$A$30+AX44*'Spreadsheet Key'!$A$31</f>
        <v>46</v>
      </c>
      <c r="BA44" s="283"/>
      <c r="BB44" s="283">
        <f t="shared" ref="BB44" si="23">AR44-AZ44</f>
        <v>-22.040816326530614</v>
      </c>
      <c r="BC44" s="3210"/>
      <c r="BD44" s="3210"/>
      <c r="BE44" s="3210"/>
      <c r="BF44" s="3210"/>
    </row>
    <row r="45" spans="1:58">
      <c r="A45" s="3208"/>
      <c r="B45" s="3208"/>
      <c r="C45" s="3181"/>
      <c r="D45" s="3181"/>
      <c r="E45" s="3184"/>
      <c r="F45" s="3181"/>
      <c r="G45" s="3181"/>
      <c r="H45" s="3182" t="s">
        <v>722</v>
      </c>
      <c r="I45" s="3181"/>
      <c r="J45" s="3181"/>
      <c r="K45" s="3181"/>
      <c r="L45" s="3181"/>
      <c r="M45" s="3181"/>
      <c r="N45" s="3181"/>
      <c r="O45" s="3181"/>
      <c r="P45" s="3181"/>
      <c r="Q45" s="6268" t="s">
        <v>1263</v>
      </c>
      <c r="R45" s="6268"/>
      <c r="S45" s="3192"/>
      <c r="T45" s="3182" t="s">
        <v>720</v>
      </c>
      <c r="U45" s="3181"/>
      <c r="V45" s="3181"/>
      <c r="W45" s="6276" t="s">
        <v>438</v>
      </c>
      <c r="X45" s="6277"/>
      <c r="Y45" s="6277"/>
      <c r="Z45" s="6277"/>
      <c r="AA45" s="6277"/>
      <c r="AB45" s="6277"/>
      <c r="AC45" s="6277"/>
      <c r="AD45" s="6277"/>
      <c r="AE45" s="6277"/>
      <c r="AF45" s="6277"/>
      <c r="AG45" s="3126"/>
      <c r="AH45" s="3126"/>
      <c r="AI45" s="283" cm="1">
        <f t="array" ref="AI45">SUM(COUNTIFS($C45:$AG45,{"0","4","5","6","7","8","9"}))</f>
        <v>0</v>
      </c>
      <c r="AJ45" s="283" cm="1">
        <f t="array" ref="AJ45">SUM(COUNTIFS($C45:$AG45,{"0","4","5","6","7","8","9"},$C$4:$AG$4,"0"))</f>
        <v>0</v>
      </c>
      <c r="AK45" s="283" cm="1">
        <f t="array" ref="AK45">SUM(COUNTIFS($C45:$AG45,{"0","4","5","6","7","8","9"},$C$4:$AG$4,"1"))</f>
        <v>0</v>
      </c>
      <c r="AL45" s="283" cm="1">
        <f t="array" ref="AL45">SUM(COUNTIFS($C45:$AG45,{"0","4","5","6","7","8","9"},$C$4:$AG$4,"2"))</f>
        <v>0</v>
      </c>
      <c r="AM45" s="283" cm="1">
        <f t="array" ref="AM45">SUM(COUNTIFS($C45:$AG45,{"0","4","5","6","7","8","9"},$C$4:$AG$4,"3"))</f>
        <v>0</v>
      </c>
      <c r="AN45" s="283" cm="1">
        <f t="array" ref="AN45">SUM(COUNTIFS($C45:$AG45,{"1","2","3"}))</f>
        <v>0</v>
      </c>
      <c r="AO45" s="283" cm="1">
        <f t="array" ref="AO45">SUM(COUNTIFS($C45:$AG45,{"4","5","6"}))</f>
        <v>0</v>
      </c>
      <c r="AP45" s="283">
        <f>AJ45*'Spreadsheet Key'!$A$23 + AK45*'Spreadsheet Key'!$A$24 + AL45*'Spreadsheet Key'!$A$25 + AM45*'Spreadsheet Key'!$A$26</f>
        <v>0</v>
      </c>
      <c r="AQ45" s="283">
        <f>AI45/('APR Statistics'!$B$24)</f>
        <v>0</v>
      </c>
      <c r="AR45" s="283">
        <f>AQ45*'APR Statistics'!$C$6</f>
        <v>0</v>
      </c>
      <c r="AS45" s="283"/>
      <c r="AT45" s="283">
        <f t="shared" si="0"/>
        <v>0</v>
      </c>
      <c r="AU45" s="283">
        <f t="shared" si="1"/>
        <v>0</v>
      </c>
      <c r="AV45" s="283">
        <f t="shared" si="2"/>
        <v>0</v>
      </c>
      <c r="AW45" s="283" cm="1">
        <f t="array" ref="AW45">COUNTIFS($C45:$AG45,"9",$C$4:$AG$4,"1")+SUM(COUNTIFS($C45:$AG45,{"8","9"},$C$4:$AG$4,"2"))+COUNTIFS($C45:$AG45,"8",$C$4:$AG$4,"3")</f>
        <v>0</v>
      </c>
      <c r="AX45" s="283">
        <f t="shared" si="3"/>
        <v>0</v>
      </c>
      <c r="AY45" s="283">
        <f t="shared" si="4"/>
        <v>0</v>
      </c>
      <c r="AZ45" s="283">
        <f>AT45*'Spreadsheet Key'!$A$27+AU45*'Spreadsheet Key'!$A$28+AV45*'Spreadsheet Key'!$A$29+AW45*'Spreadsheet Key'!$A$30+AX45*'Spreadsheet Key'!$A$31</f>
        <v>0</v>
      </c>
      <c r="BA45" s="283"/>
      <c r="BB45" s="283"/>
      <c r="BC45" s="283"/>
      <c r="BD45" s="283"/>
      <c r="BE45" s="283"/>
      <c r="BF45" s="283"/>
    </row>
    <row r="46" spans="1:58" s="3211" customFormat="1">
      <c r="A46" s="3180" t="s">
        <v>95</v>
      </c>
      <c r="B46" s="3180" t="s">
        <v>620</v>
      </c>
      <c r="C46" s="3199">
        <v>0</v>
      </c>
      <c r="D46" s="3199">
        <v>0</v>
      </c>
      <c r="E46" s="3203">
        <v>0</v>
      </c>
      <c r="F46" s="3199">
        <v>0</v>
      </c>
      <c r="G46" s="3199">
        <v>0</v>
      </c>
      <c r="H46" s="3199">
        <v>9</v>
      </c>
      <c r="I46" s="3199">
        <v>0</v>
      </c>
      <c r="J46" s="3199">
        <v>0</v>
      </c>
      <c r="K46" s="3199">
        <v>0</v>
      </c>
      <c r="L46" s="3199">
        <v>0</v>
      </c>
      <c r="M46" s="3199">
        <v>0</v>
      </c>
      <c r="N46" s="3199">
        <v>0</v>
      </c>
      <c r="O46" s="3199">
        <v>0</v>
      </c>
      <c r="P46" s="3199">
        <v>0</v>
      </c>
      <c r="Q46" s="3199">
        <v>7</v>
      </c>
      <c r="R46" s="3199">
        <v>7</v>
      </c>
      <c r="S46" s="3199">
        <v>0</v>
      </c>
      <c r="T46" s="3199">
        <v>8</v>
      </c>
      <c r="U46" s="3199">
        <v>0</v>
      </c>
      <c r="V46" s="3199">
        <v>0</v>
      </c>
      <c r="W46" s="3199">
        <v>1</v>
      </c>
      <c r="X46" s="3199">
        <v>2</v>
      </c>
      <c r="Y46" s="3199">
        <v>2</v>
      </c>
      <c r="Z46" s="3199">
        <v>2</v>
      </c>
      <c r="AA46" s="3199">
        <v>2</v>
      </c>
      <c r="AB46" s="3199">
        <v>2</v>
      </c>
      <c r="AC46" s="3199">
        <v>2</v>
      </c>
      <c r="AD46" s="3199">
        <v>2</v>
      </c>
      <c r="AE46" s="3199">
        <v>2</v>
      </c>
      <c r="AF46" s="3199">
        <v>2</v>
      </c>
      <c r="AG46" s="3209"/>
      <c r="AH46" s="3209"/>
      <c r="AI46" s="283" cm="1">
        <f t="array" ref="AI46">SUM(COUNTIFS($C46:$AG46,{"0","4","5","6","7","8","9"}))</f>
        <v>20</v>
      </c>
      <c r="AJ46" s="283" cm="1">
        <f t="array" ref="AJ46">SUM(COUNTIFS($C46:$AG46,{"0","4","5","6","7","8","9"},$C$4:$AG$4,"0"))</f>
        <v>11</v>
      </c>
      <c r="AK46" s="283" cm="1">
        <f t="array" ref="AK46">SUM(COUNTIFS($C46:$AG46,{"0","4","5","6","7","8","9"},$C$4:$AG$4,"1"))</f>
        <v>3</v>
      </c>
      <c r="AL46" s="283" cm="1">
        <f t="array" ref="AL46">SUM(COUNTIFS($C46:$AG46,{"0","4","5","6","7","8","9"},$C$4:$AG$4,"2"))</f>
        <v>3</v>
      </c>
      <c r="AM46" s="283" cm="1">
        <f t="array" ref="AM46">SUM(COUNTIFS($C46:$AG46,{"0","4","5","6","7","8","9"},$C$4:$AG$4,"3"))</f>
        <v>3</v>
      </c>
      <c r="AN46" s="283" cm="1">
        <f t="array" ref="AN46">SUM(COUNTIFS($C46:$AG46,{"1","2","3"}))</f>
        <v>10</v>
      </c>
      <c r="AO46" s="283" cm="1">
        <f t="array" ref="AO46">SUM(COUNTIFS($C46:$AG46,{"4","5","6"}))</f>
        <v>0</v>
      </c>
      <c r="AP46" s="283">
        <f>AJ46*'Spreadsheet Key'!$A$23 + AK46*'Spreadsheet Key'!$A$24 + AL46*'Spreadsheet Key'!$A$25 + AM46*'Spreadsheet Key'!$A$26</f>
        <v>788</v>
      </c>
      <c r="AQ46" s="283">
        <f>AI46/('APR Statistics'!$B$24)</f>
        <v>3.1397174254317109E-2</v>
      </c>
      <c r="AR46" s="283">
        <f>AQ46*'APR Statistics'!$C$6</f>
        <v>36.860282574568288</v>
      </c>
      <c r="AS46" s="283"/>
      <c r="AT46" s="283">
        <f t="shared" si="0"/>
        <v>0</v>
      </c>
      <c r="AU46" s="283">
        <f t="shared" si="1"/>
        <v>0</v>
      </c>
      <c r="AV46" s="283">
        <f t="shared" si="2"/>
        <v>1</v>
      </c>
      <c r="AW46" s="283" cm="1">
        <f t="array" ref="AW46">COUNTIFS($C46:$AG46,"9",$C$4:$AG$4,"1")+SUM(COUNTIFS($C46:$AG46,{"8","9"},$C$4:$AG$4,"2"))+COUNTIFS($C46:$AG46,"8",$C$4:$AG$4,"3")</f>
        <v>0</v>
      </c>
      <c r="AX46" s="283">
        <f t="shared" si="3"/>
        <v>1</v>
      </c>
      <c r="AY46" s="283">
        <f t="shared" si="4"/>
        <v>2</v>
      </c>
      <c r="AZ46" s="283">
        <f>AT46*'Spreadsheet Key'!$A$27+AU46*'Spreadsheet Key'!$A$28+AV46*'Spreadsheet Key'!$A$29+AW46*'Spreadsheet Key'!$A$30+AX46*'Spreadsheet Key'!$A$31</f>
        <v>38</v>
      </c>
      <c r="BA46" s="283"/>
      <c r="BB46" s="283">
        <f t="shared" ref="BB46" si="24">AR46-AZ46</f>
        <v>-1.1397174254317122</v>
      </c>
      <c r="BC46" s="3210"/>
      <c r="BD46" s="3210"/>
      <c r="BE46" s="3210"/>
      <c r="BF46" s="3210"/>
    </row>
    <row r="47" spans="1:58" ht="15.75">
      <c r="A47" s="3208"/>
      <c r="B47" s="3208"/>
      <c r="C47" s="6276" t="s">
        <v>1250</v>
      </c>
      <c r="D47" s="6276"/>
      <c r="E47" s="6276"/>
      <c r="F47" s="6276"/>
      <c r="G47" s="6276"/>
      <c r="H47" s="6276"/>
      <c r="I47" s="6276"/>
      <c r="J47" s="6276"/>
      <c r="K47" s="6276"/>
      <c r="L47" s="6276"/>
      <c r="M47" s="6276"/>
      <c r="N47" s="6276"/>
      <c r="O47" s="3183" t="s">
        <v>1025</v>
      </c>
      <c r="P47" s="6271" t="s">
        <v>1271</v>
      </c>
      <c r="Q47" s="6271"/>
      <c r="R47" s="3183" t="s">
        <v>1025</v>
      </c>
      <c r="S47" s="6272" t="s">
        <v>312</v>
      </c>
      <c r="T47" s="6272"/>
      <c r="U47" s="3183" t="s">
        <v>1025</v>
      </c>
      <c r="V47" s="3181"/>
      <c r="W47" s="3181"/>
      <c r="X47" s="3181"/>
      <c r="Y47" s="3182" t="s">
        <v>722</v>
      </c>
      <c r="Z47" s="3181"/>
      <c r="AA47" s="3181"/>
      <c r="AB47" s="3181"/>
      <c r="AC47" s="3182" t="s">
        <v>720</v>
      </c>
      <c r="AD47" s="3181"/>
      <c r="AE47" s="3181"/>
      <c r="AF47" s="3183" t="s">
        <v>1025</v>
      </c>
      <c r="AG47" s="3126"/>
      <c r="AH47" s="3126"/>
      <c r="AI47" s="283" cm="1">
        <f t="array" ref="AI47">SUM(COUNTIFS($C47:$AG47,{"0","4","5","6","7","8","9"}))</f>
        <v>0</v>
      </c>
      <c r="AJ47" s="283" cm="1">
        <f t="array" ref="AJ47">SUM(COUNTIFS($C47:$AG47,{"0","4","5","6","7","8","9"},$C$4:$AG$4,"0"))</f>
        <v>0</v>
      </c>
      <c r="AK47" s="283" cm="1">
        <f t="array" ref="AK47">SUM(COUNTIFS($C47:$AG47,{"0","4","5","6","7","8","9"},$C$4:$AG$4,"1"))</f>
        <v>0</v>
      </c>
      <c r="AL47" s="283" cm="1">
        <f t="array" ref="AL47">SUM(COUNTIFS($C47:$AG47,{"0","4","5","6","7","8","9"},$C$4:$AG$4,"2"))</f>
        <v>0</v>
      </c>
      <c r="AM47" s="283" cm="1">
        <f t="array" ref="AM47">SUM(COUNTIFS($C47:$AG47,{"0","4","5","6","7","8","9"},$C$4:$AG$4,"3"))</f>
        <v>0</v>
      </c>
      <c r="AN47" s="283" cm="1">
        <f t="array" ref="AN47">SUM(COUNTIFS($C47:$AG47,{"1","2","3"}))</f>
        <v>0</v>
      </c>
      <c r="AO47" s="283" cm="1">
        <f t="array" ref="AO47">SUM(COUNTIFS($C47:$AG47,{"4","5","6"}))</f>
        <v>0</v>
      </c>
      <c r="AP47" s="283">
        <f>AJ47*'Spreadsheet Key'!$A$23 + AK47*'Spreadsheet Key'!$A$24 + AL47*'Spreadsheet Key'!$A$25 + AM47*'Spreadsheet Key'!$A$26</f>
        <v>0</v>
      </c>
      <c r="AQ47" s="283">
        <f>AI47/('APR Statistics'!$B$24)</f>
        <v>0</v>
      </c>
      <c r="AR47" s="283">
        <f>AQ47*'APR Statistics'!$C$6</f>
        <v>0</v>
      </c>
      <c r="AS47" s="283"/>
      <c r="AT47" s="283">
        <f t="shared" si="0"/>
        <v>0</v>
      </c>
      <c r="AU47" s="283">
        <f t="shared" si="1"/>
        <v>0</v>
      </c>
      <c r="AV47" s="283">
        <f t="shared" si="2"/>
        <v>0</v>
      </c>
      <c r="AW47" s="283" cm="1">
        <f t="array" ref="AW47">COUNTIFS($C47:$AG47,"9",$C$4:$AG$4,"1")+SUM(COUNTIFS($C47:$AG47,{"8","9"},$C$4:$AG$4,"2"))+COUNTIFS($C47:$AG47,"8",$C$4:$AG$4,"3")</f>
        <v>0</v>
      </c>
      <c r="AX47" s="283">
        <f t="shared" si="3"/>
        <v>0</v>
      </c>
      <c r="AY47" s="283">
        <f t="shared" si="4"/>
        <v>0</v>
      </c>
      <c r="AZ47" s="283">
        <f>AT47*'Spreadsheet Key'!$A$27+AU47*'Spreadsheet Key'!$A$28+AV47*'Spreadsheet Key'!$A$29+AW47*'Spreadsheet Key'!$A$30+AX47*'Spreadsheet Key'!$A$31</f>
        <v>0</v>
      </c>
      <c r="BA47" s="283"/>
      <c r="BB47" s="283"/>
      <c r="BC47" s="283"/>
      <c r="BD47" s="283"/>
      <c r="BE47" s="283"/>
      <c r="BF47" s="283"/>
    </row>
    <row r="48" spans="1:58" s="3211" customFormat="1" ht="15.75">
      <c r="A48" s="3180" t="s">
        <v>95</v>
      </c>
      <c r="B48" s="3180" t="s">
        <v>1037</v>
      </c>
      <c r="C48" s="3199">
        <v>2</v>
      </c>
      <c r="D48" s="3199">
        <v>2</v>
      </c>
      <c r="E48" s="3199">
        <v>2</v>
      </c>
      <c r="F48" s="3199">
        <v>2</v>
      </c>
      <c r="G48" s="3199">
        <v>2</v>
      </c>
      <c r="H48" s="3199">
        <v>2</v>
      </c>
      <c r="I48" s="3199">
        <v>2</v>
      </c>
      <c r="J48" s="3199">
        <v>2</v>
      </c>
      <c r="K48" s="3199">
        <v>2</v>
      </c>
      <c r="L48" s="3199">
        <v>2</v>
      </c>
      <c r="M48" s="3199">
        <v>2</v>
      </c>
      <c r="N48" s="3199">
        <v>2</v>
      </c>
      <c r="O48" s="3199">
        <v>2</v>
      </c>
      <c r="P48" s="3204">
        <v>2</v>
      </c>
      <c r="Q48" s="3204">
        <v>2</v>
      </c>
      <c r="R48" s="3199">
        <v>2</v>
      </c>
      <c r="S48" s="3199">
        <v>2</v>
      </c>
      <c r="T48" s="3199">
        <v>2</v>
      </c>
      <c r="U48" s="3199">
        <v>3</v>
      </c>
      <c r="V48" s="3199">
        <v>0</v>
      </c>
      <c r="W48" s="3199">
        <v>0</v>
      </c>
      <c r="X48" s="3199">
        <v>0</v>
      </c>
      <c r="Y48" s="3199">
        <v>9</v>
      </c>
      <c r="Z48" s="3199">
        <v>0</v>
      </c>
      <c r="AA48" s="3199">
        <v>0</v>
      </c>
      <c r="AB48" s="3199">
        <v>0</v>
      </c>
      <c r="AC48" s="3199">
        <v>8</v>
      </c>
      <c r="AD48" s="3199">
        <v>0</v>
      </c>
      <c r="AE48" s="3199">
        <v>0</v>
      </c>
      <c r="AF48" s="3199">
        <v>1</v>
      </c>
      <c r="AG48" s="3209"/>
      <c r="AH48" s="3209"/>
      <c r="AI48" s="283" cm="1">
        <f t="array" ref="AI48">SUM(COUNTIFS($C48:$AG48,{"0","4","5","6","7","8","9"}))</f>
        <v>10</v>
      </c>
      <c r="AJ48" s="283" cm="1">
        <f t="array" ref="AJ48">SUM(COUNTIFS($C48:$AG48,{"0","4","5","6","7","8","9"},$C$4:$AG$4,"0"))</f>
        <v>6</v>
      </c>
      <c r="AK48" s="283" cm="1">
        <f t="array" ref="AK48">SUM(COUNTIFS($C48:$AG48,{"0","4","5","6","7","8","9"},$C$4:$AG$4,"1"))</f>
        <v>1</v>
      </c>
      <c r="AL48" s="283" cm="1">
        <f t="array" ref="AL48">SUM(COUNTIFS($C48:$AG48,{"0","4","5","6","7","8","9"},$C$4:$AG$4,"2"))</f>
        <v>1</v>
      </c>
      <c r="AM48" s="283" cm="1">
        <f t="array" ref="AM48">SUM(COUNTIFS($C48:$AG48,{"0","4","5","6","7","8","9"},$C$4:$AG$4,"3"))</f>
        <v>2</v>
      </c>
      <c r="AN48" s="283" cm="1">
        <f t="array" ref="AN48">SUM(COUNTIFS($C48:$AG48,{"1","2","3"}))</f>
        <v>20</v>
      </c>
      <c r="AO48" s="283" cm="1">
        <f t="array" ref="AO48">SUM(COUNTIFS($C48:$AG48,{"4","5","6"}))</f>
        <v>0</v>
      </c>
      <c r="AP48" s="283">
        <f>AJ48*'Spreadsheet Key'!$A$23 + AK48*'Spreadsheet Key'!$A$24 + AL48*'Spreadsheet Key'!$A$25 + AM48*'Spreadsheet Key'!$A$26</f>
        <v>370</v>
      </c>
      <c r="AQ48" s="283">
        <f>AI48/('APR Statistics'!$B$24)</f>
        <v>1.5698587127158554E-2</v>
      </c>
      <c r="AR48" s="283">
        <f>AQ48*'APR Statistics'!$C$6</f>
        <v>18.430141287284144</v>
      </c>
      <c r="AS48" s="283"/>
      <c r="AT48" s="283">
        <f t="shared" si="0"/>
        <v>0</v>
      </c>
      <c r="AU48" s="283">
        <f t="shared" si="1"/>
        <v>1</v>
      </c>
      <c r="AV48" s="283">
        <f t="shared" si="2"/>
        <v>0</v>
      </c>
      <c r="AW48" s="283" cm="1">
        <f t="array" ref="AW48">COUNTIFS($C48:$AG48,"9",$C$4:$AG$4,"1")+SUM(COUNTIFS($C48:$AG48,{"8","9"},$C$4:$AG$4,"2"))+COUNTIFS($C48:$AG48,"8",$C$4:$AG$4,"3")</f>
        <v>1</v>
      </c>
      <c r="AX48" s="283">
        <f t="shared" si="3"/>
        <v>0</v>
      </c>
      <c r="AY48" s="283">
        <f t="shared" si="4"/>
        <v>2</v>
      </c>
      <c r="AZ48" s="283">
        <f>AT48*'Spreadsheet Key'!$A$27+AU48*'Spreadsheet Key'!$A$28+AV48*'Spreadsheet Key'!$A$29+AW48*'Spreadsheet Key'!$A$30+AX48*'Spreadsheet Key'!$A$31</f>
        <v>48</v>
      </c>
      <c r="BA48" s="283"/>
      <c r="BB48" s="283">
        <f t="shared" ref="BB48" si="25">AR48-AZ48</f>
        <v>-29.569858712715856</v>
      </c>
      <c r="BC48" s="3210"/>
      <c r="BD48" s="3210"/>
      <c r="BE48" s="3210"/>
      <c r="BF48" s="3210"/>
    </row>
    <row r="49" spans="1:58">
      <c r="A49" s="3208"/>
      <c r="B49" s="3208"/>
      <c r="C49" s="3181"/>
      <c r="D49" s="3181"/>
      <c r="E49" s="3192"/>
      <c r="F49" s="3192"/>
      <c r="G49" s="3181"/>
      <c r="H49" s="3182"/>
      <c r="I49" s="3193"/>
      <c r="J49" s="3193"/>
      <c r="K49" s="3193"/>
      <c r="L49" s="3193"/>
      <c r="M49" s="3181"/>
      <c r="N49" s="3181"/>
      <c r="O49" s="3181"/>
      <c r="P49" s="3181"/>
      <c r="Q49" s="6268" t="s">
        <v>1263</v>
      </c>
      <c r="R49" s="6268"/>
      <c r="S49" s="3182" t="s">
        <v>722</v>
      </c>
      <c r="T49" s="3181"/>
      <c r="U49" s="3181"/>
      <c r="V49" s="3181"/>
      <c r="W49" s="3181"/>
      <c r="X49" s="3181"/>
      <c r="Y49" s="3181"/>
      <c r="Z49" s="3181"/>
      <c r="AA49" s="3181"/>
      <c r="AB49" s="3181"/>
      <c r="AC49" s="3181"/>
      <c r="AD49" s="3181"/>
      <c r="AE49" s="3181"/>
      <c r="AF49" s="3182" t="s">
        <v>722</v>
      </c>
      <c r="AG49" s="3126"/>
      <c r="AH49" s="3126"/>
      <c r="AI49" s="283" cm="1">
        <f t="array" ref="AI49">SUM(COUNTIFS($C49:$AG49,{"0","4","5","6","7","8","9"}))</f>
        <v>0</v>
      </c>
      <c r="AJ49" s="283" cm="1">
        <f t="array" ref="AJ49">SUM(COUNTIFS($C49:$AG49,{"0","4","5","6","7","8","9"},$C$4:$AG$4,"0"))</f>
        <v>0</v>
      </c>
      <c r="AK49" s="283" cm="1">
        <f t="array" ref="AK49">SUM(COUNTIFS($C49:$AG49,{"0","4","5","6","7","8","9"},$C$4:$AG$4,"1"))</f>
        <v>0</v>
      </c>
      <c r="AL49" s="283" cm="1">
        <f t="array" ref="AL49">SUM(COUNTIFS($C49:$AG49,{"0","4","5","6","7","8","9"},$C$4:$AG$4,"2"))</f>
        <v>0</v>
      </c>
      <c r="AM49" s="283" cm="1">
        <f t="array" ref="AM49">SUM(COUNTIFS($C49:$AG49,{"0","4","5","6","7","8","9"},$C$4:$AG$4,"3"))</f>
        <v>0</v>
      </c>
      <c r="AN49" s="283" cm="1">
        <f t="array" ref="AN49">SUM(COUNTIFS($C49:$AG49,{"1","2","3"}))</f>
        <v>0</v>
      </c>
      <c r="AO49" s="283" cm="1">
        <f t="array" ref="AO49">SUM(COUNTIFS($C49:$AG49,{"4","5","6"}))</f>
        <v>0</v>
      </c>
      <c r="AP49" s="283">
        <f>AJ49*'Spreadsheet Key'!$A$23 + AK49*'Spreadsheet Key'!$A$24 + AL49*'Spreadsheet Key'!$A$25 + AM49*'Spreadsheet Key'!$A$26</f>
        <v>0</v>
      </c>
      <c r="AQ49" s="283">
        <f>AI49/('APR Statistics'!$B$24)</f>
        <v>0</v>
      </c>
      <c r="AR49" s="283">
        <f>AQ49*'APR Statistics'!$C$6</f>
        <v>0</v>
      </c>
      <c r="AS49" s="283"/>
      <c r="AT49" s="283">
        <f t="shared" si="0"/>
        <v>0</v>
      </c>
      <c r="AU49" s="283">
        <f t="shared" si="1"/>
        <v>0</v>
      </c>
      <c r="AV49" s="283">
        <f t="shared" si="2"/>
        <v>0</v>
      </c>
      <c r="AW49" s="283" cm="1">
        <f t="array" ref="AW49">COUNTIFS($C49:$AG49,"9",$C$4:$AG$4,"1")+SUM(COUNTIFS($C49:$AG49,{"8","9"},$C$4:$AG$4,"2"))+COUNTIFS($C49:$AG49,"8",$C$4:$AG$4,"3")</f>
        <v>0</v>
      </c>
      <c r="AX49" s="283">
        <f t="shared" si="3"/>
        <v>0</v>
      </c>
      <c r="AY49" s="283">
        <f t="shared" si="4"/>
        <v>0</v>
      </c>
      <c r="AZ49" s="283">
        <f>AT49*'Spreadsheet Key'!$A$27+AU49*'Spreadsheet Key'!$A$28+AV49*'Spreadsheet Key'!$A$29+AW49*'Spreadsheet Key'!$A$30+AX49*'Spreadsheet Key'!$A$31</f>
        <v>0</v>
      </c>
      <c r="BA49" s="283"/>
      <c r="BB49" s="283"/>
      <c r="BC49" s="283"/>
      <c r="BD49" s="283"/>
      <c r="BE49" s="283"/>
      <c r="BF49" s="283"/>
    </row>
    <row r="50" spans="1:58" s="3211" customFormat="1">
      <c r="A50" s="3180" t="s">
        <v>739</v>
      </c>
      <c r="B50" s="3180" t="s">
        <v>740</v>
      </c>
      <c r="C50" s="3199">
        <v>0</v>
      </c>
      <c r="D50" s="3199">
        <v>0</v>
      </c>
      <c r="E50" s="3199">
        <v>0</v>
      </c>
      <c r="F50" s="3199">
        <v>0</v>
      </c>
      <c r="G50" s="3199">
        <v>0</v>
      </c>
      <c r="H50" s="3199">
        <v>0</v>
      </c>
      <c r="I50" s="3199">
        <v>0</v>
      </c>
      <c r="J50" s="3199">
        <v>0</v>
      </c>
      <c r="K50" s="3199">
        <v>0</v>
      </c>
      <c r="L50" s="3199">
        <v>0</v>
      </c>
      <c r="M50" s="3199">
        <v>0</v>
      </c>
      <c r="N50" s="3199">
        <v>0</v>
      </c>
      <c r="O50" s="3199">
        <v>0</v>
      </c>
      <c r="P50" s="3199">
        <v>0</v>
      </c>
      <c r="Q50" s="3199">
        <v>7</v>
      </c>
      <c r="R50" s="3199">
        <v>7</v>
      </c>
      <c r="S50" s="3199">
        <v>9</v>
      </c>
      <c r="T50" s="3199">
        <v>0</v>
      </c>
      <c r="U50" s="3199">
        <v>0</v>
      </c>
      <c r="V50" s="3199">
        <v>0</v>
      </c>
      <c r="W50" s="3199">
        <v>0</v>
      </c>
      <c r="X50" s="3199">
        <v>0</v>
      </c>
      <c r="Y50" s="3199">
        <v>0</v>
      </c>
      <c r="Z50" s="3199">
        <v>0</v>
      </c>
      <c r="AA50" s="3199">
        <v>0</v>
      </c>
      <c r="AB50" s="3199">
        <v>0</v>
      </c>
      <c r="AC50" s="3199">
        <v>0</v>
      </c>
      <c r="AD50" s="3199">
        <v>0</v>
      </c>
      <c r="AE50" s="3199">
        <v>0</v>
      </c>
      <c r="AF50" s="3199">
        <v>9</v>
      </c>
      <c r="AG50" s="3209"/>
      <c r="AH50" s="3209"/>
      <c r="AI50" s="283" cm="1">
        <f t="array" ref="AI50">SUM(COUNTIFS($C50:$AG50,{"0","4","5","6","7","8","9"}))</f>
        <v>30</v>
      </c>
      <c r="AJ50" s="283" cm="1">
        <f t="array" ref="AJ50">SUM(COUNTIFS($C50:$AG50,{"0","4","5","6","7","8","9"},$C$4:$AG$4,"0"))</f>
        <v>18</v>
      </c>
      <c r="AK50" s="283" cm="1">
        <f t="array" ref="AK50">SUM(COUNTIFS($C50:$AG50,{"0","4","5","6","7","8","9"},$C$4:$AG$4,"1"))</f>
        <v>4</v>
      </c>
      <c r="AL50" s="283" cm="1">
        <f t="array" ref="AL50">SUM(COUNTIFS($C50:$AG50,{"0","4","5","6","7","8","9"},$C$4:$AG$4,"2"))</f>
        <v>4</v>
      </c>
      <c r="AM50" s="283" cm="1">
        <f t="array" ref="AM50">SUM(COUNTIFS($C50:$AG50,{"0","4","5","6","7","8","9"},$C$4:$AG$4,"3"))</f>
        <v>4</v>
      </c>
      <c r="AN50" s="283" cm="1">
        <f t="array" ref="AN50">SUM(COUNTIFS($C50:$AG50,{"1","2","3"}))</f>
        <v>0</v>
      </c>
      <c r="AO50" s="283" cm="1">
        <f t="array" ref="AO50">SUM(COUNTIFS($C50:$AG50,{"4","5","6"}))</f>
        <v>0</v>
      </c>
      <c r="AP50" s="283">
        <f>AJ50*'Spreadsheet Key'!$A$23 + AK50*'Spreadsheet Key'!$A$24 + AL50*'Spreadsheet Key'!$A$25 + AM50*'Spreadsheet Key'!$A$26</f>
        <v>1124</v>
      </c>
      <c r="AQ50" s="283">
        <f>AI50/('APR Statistics'!$B$24)</f>
        <v>4.709576138147567E-2</v>
      </c>
      <c r="AR50" s="283">
        <f>AQ50*'APR Statistics'!$C$6</f>
        <v>55.290423861852439</v>
      </c>
      <c r="AS50" s="283"/>
      <c r="AT50" s="283">
        <f t="shared" si="0"/>
        <v>0</v>
      </c>
      <c r="AU50" s="283">
        <f t="shared" si="1"/>
        <v>2</v>
      </c>
      <c r="AV50" s="283">
        <f t="shared" si="2"/>
        <v>0</v>
      </c>
      <c r="AW50" s="283" cm="1">
        <f t="array" ref="AW50">COUNTIFS($C50:$AG50,"9",$C$4:$AG$4,"1")+SUM(COUNTIFS($C50:$AG50,{"8","9"},$C$4:$AG$4,"2"))+COUNTIFS($C50:$AG50,"8",$C$4:$AG$4,"3")</f>
        <v>0</v>
      </c>
      <c r="AX50" s="283">
        <f t="shared" si="3"/>
        <v>0</v>
      </c>
      <c r="AY50" s="283">
        <f t="shared" si="4"/>
        <v>2</v>
      </c>
      <c r="AZ50" s="283">
        <f>AT50*'Spreadsheet Key'!$A$27+AU50*'Spreadsheet Key'!$A$28+AV50*'Spreadsheet Key'!$A$29+AW50*'Spreadsheet Key'!$A$30+AX50*'Spreadsheet Key'!$A$31</f>
        <v>24</v>
      </c>
      <c r="BA50" s="283"/>
      <c r="BB50" s="283">
        <f t="shared" ref="BB50" si="26">AR50-AZ50</f>
        <v>31.290423861852439</v>
      </c>
      <c r="BC50" s="3210"/>
      <c r="BD50" s="3210"/>
      <c r="BE50" s="3210"/>
      <c r="BF50" s="3210"/>
    </row>
    <row r="51" spans="1:58">
      <c r="A51" s="3208"/>
      <c r="B51" s="3208"/>
      <c r="C51" s="6270" t="s">
        <v>1231</v>
      </c>
      <c r="D51" s="6270"/>
      <c r="E51" s="3183" t="s">
        <v>1025</v>
      </c>
      <c r="F51" s="3181"/>
      <c r="G51" s="3181"/>
      <c r="H51" s="3181"/>
      <c r="I51" s="3181"/>
      <c r="J51" s="3181"/>
      <c r="K51" s="3181"/>
      <c r="L51" s="3181"/>
      <c r="M51" s="3181"/>
      <c r="N51" s="3181"/>
      <c r="O51" s="3194"/>
      <c r="P51" s="3194"/>
      <c r="Q51" s="6268" t="s">
        <v>1263</v>
      </c>
      <c r="R51" s="6268"/>
      <c r="S51" s="3181"/>
      <c r="T51" s="3181"/>
      <c r="U51" s="3181"/>
      <c r="V51" s="3181"/>
      <c r="W51" s="3181"/>
      <c r="X51" s="3181"/>
      <c r="Y51" s="3181"/>
      <c r="Z51" s="3181"/>
      <c r="AA51" s="3181"/>
      <c r="AB51" s="3181"/>
      <c r="AC51" s="3181"/>
      <c r="AD51" s="3181"/>
      <c r="AE51" s="3181"/>
      <c r="AF51" s="3181"/>
      <c r="AG51" s="3126"/>
      <c r="AH51" s="3126"/>
      <c r="AI51" s="283" cm="1">
        <f t="array" ref="AI51">SUM(COUNTIFS($C51:$AG51,{"0","4","5","6","7","8","9"}))</f>
        <v>0</v>
      </c>
      <c r="AJ51" s="283" cm="1">
        <f t="array" ref="AJ51">SUM(COUNTIFS($C51:$AG51,{"0","4","5","6","7","8","9"},$C$4:$AG$4,"0"))</f>
        <v>0</v>
      </c>
      <c r="AK51" s="283" cm="1">
        <f t="array" ref="AK51">SUM(COUNTIFS($C51:$AG51,{"0","4","5","6","7","8","9"},$C$4:$AG$4,"1"))</f>
        <v>0</v>
      </c>
      <c r="AL51" s="283" cm="1">
        <f t="array" ref="AL51">SUM(COUNTIFS($C51:$AG51,{"0","4","5","6","7","8","9"},$C$4:$AG$4,"2"))</f>
        <v>0</v>
      </c>
      <c r="AM51" s="283" cm="1">
        <f t="array" ref="AM51">SUM(COUNTIFS($C51:$AG51,{"0","4","5","6","7","8","9"},$C$4:$AG$4,"3"))</f>
        <v>0</v>
      </c>
      <c r="AN51" s="283" cm="1">
        <f t="array" ref="AN51">SUM(COUNTIFS($C51:$AG51,{"1","2","3"}))</f>
        <v>0</v>
      </c>
      <c r="AO51" s="283" cm="1">
        <f t="array" ref="AO51">SUM(COUNTIFS($C51:$AG51,{"4","5","6"}))</f>
        <v>0</v>
      </c>
      <c r="AP51" s="283">
        <f>AJ51*'Spreadsheet Key'!$A$23 + AK51*'Spreadsheet Key'!$A$24 + AL51*'Spreadsheet Key'!$A$25 + AM51*'Spreadsheet Key'!$A$26</f>
        <v>0</v>
      </c>
      <c r="AQ51" s="283">
        <f>AI51/('APR Statistics'!$B$24)</f>
        <v>0</v>
      </c>
      <c r="AR51" s="283">
        <f>AQ51*'APR Statistics'!$C$6</f>
        <v>0</v>
      </c>
      <c r="AS51" s="283"/>
      <c r="AT51" s="283">
        <f t="shared" si="0"/>
        <v>0</v>
      </c>
      <c r="AU51" s="283">
        <f t="shared" si="1"/>
        <v>0</v>
      </c>
      <c r="AV51" s="283">
        <f t="shared" si="2"/>
        <v>0</v>
      </c>
      <c r="AW51" s="283" cm="1">
        <f t="array" ref="AW51">COUNTIFS($C51:$AG51,"9",$C$4:$AG$4,"1")+SUM(COUNTIFS($C51:$AG51,{"8","9"},$C$4:$AG$4,"2"))+COUNTIFS($C51:$AG51,"8",$C$4:$AG$4,"3")</f>
        <v>0</v>
      </c>
      <c r="AX51" s="283">
        <f t="shared" si="3"/>
        <v>0</v>
      </c>
      <c r="AY51" s="283">
        <f t="shared" si="4"/>
        <v>0</v>
      </c>
      <c r="AZ51" s="283">
        <f>AT51*'Spreadsheet Key'!$A$27+AU51*'Spreadsheet Key'!$A$28+AV51*'Spreadsheet Key'!$A$29+AW51*'Spreadsheet Key'!$A$30+AX51*'Spreadsheet Key'!$A$31</f>
        <v>0</v>
      </c>
      <c r="BA51" s="283"/>
      <c r="BB51" s="283"/>
      <c r="BC51" s="283"/>
      <c r="BD51" s="283"/>
      <c r="BE51" s="283"/>
      <c r="BF51" s="283"/>
    </row>
    <row r="52" spans="1:58" s="3211" customFormat="1">
      <c r="A52" s="3180" t="s">
        <v>108</v>
      </c>
      <c r="B52" s="3180" t="s">
        <v>1106</v>
      </c>
      <c r="C52" s="3199">
        <v>2</v>
      </c>
      <c r="D52" s="3199">
        <v>2</v>
      </c>
      <c r="E52" s="3199">
        <v>3</v>
      </c>
      <c r="F52" s="3199">
        <v>0</v>
      </c>
      <c r="G52" s="3199">
        <v>0</v>
      </c>
      <c r="H52" s="3199">
        <v>0</v>
      </c>
      <c r="I52" s="3199">
        <v>0</v>
      </c>
      <c r="J52" s="3199">
        <v>0</v>
      </c>
      <c r="K52" s="3199">
        <v>0</v>
      </c>
      <c r="L52" s="3199">
        <v>0</v>
      </c>
      <c r="M52" s="3199">
        <v>0</v>
      </c>
      <c r="N52" s="3199">
        <v>0</v>
      </c>
      <c r="O52" s="3199">
        <v>0</v>
      </c>
      <c r="P52" s="3199">
        <v>0</v>
      </c>
      <c r="Q52" s="3199">
        <v>7</v>
      </c>
      <c r="R52" s="3199">
        <v>7</v>
      </c>
      <c r="S52" s="3199">
        <v>0</v>
      </c>
      <c r="T52" s="3199">
        <v>0</v>
      </c>
      <c r="U52" s="3199">
        <v>0</v>
      </c>
      <c r="V52" s="3199">
        <v>0</v>
      </c>
      <c r="W52" s="3199">
        <v>0</v>
      </c>
      <c r="X52" s="3199">
        <v>0</v>
      </c>
      <c r="Y52" s="3199">
        <v>0</v>
      </c>
      <c r="Z52" s="3199">
        <v>0</v>
      </c>
      <c r="AA52" s="3199">
        <v>0</v>
      </c>
      <c r="AB52" s="3199">
        <v>0</v>
      </c>
      <c r="AC52" s="3199">
        <v>0</v>
      </c>
      <c r="AD52" s="3199">
        <v>0</v>
      </c>
      <c r="AE52" s="3199">
        <v>0</v>
      </c>
      <c r="AF52" s="3199">
        <v>0</v>
      </c>
      <c r="AG52" s="3209"/>
      <c r="AH52" s="3209"/>
      <c r="AI52" s="283" cm="1">
        <f t="array" ref="AI52">SUM(COUNTIFS($C52:$AG52,{"0","4","5","6","7","8","9"}))</f>
        <v>27</v>
      </c>
      <c r="AJ52" s="283" cm="1">
        <f t="array" ref="AJ52">SUM(COUNTIFS($C52:$AG52,{"0","4","5","6","7","8","9"},$C$4:$AG$4,"0"))</f>
        <v>15</v>
      </c>
      <c r="AK52" s="283" cm="1">
        <f t="array" ref="AK52">SUM(COUNTIFS($C52:$AG52,{"0","4","5","6","7","8","9"},$C$4:$AG$4,"1"))</f>
        <v>4</v>
      </c>
      <c r="AL52" s="283" cm="1">
        <f t="array" ref="AL52">SUM(COUNTIFS($C52:$AG52,{"0","4","5","6","7","8","9"},$C$4:$AG$4,"2"))</f>
        <v>4</v>
      </c>
      <c r="AM52" s="283" cm="1">
        <f t="array" ref="AM52">SUM(COUNTIFS($C52:$AG52,{"0","4","5","6","7","8","9"},$C$4:$AG$4,"3"))</f>
        <v>4</v>
      </c>
      <c r="AN52" s="283" cm="1">
        <f t="array" ref="AN52">SUM(COUNTIFS($C52:$AG52,{"1","2","3"}))</f>
        <v>3</v>
      </c>
      <c r="AO52" s="283" cm="1">
        <f t="array" ref="AO52">SUM(COUNTIFS($C52:$AG52,{"4","5","6"}))</f>
        <v>0</v>
      </c>
      <c r="AP52" s="283">
        <f>AJ52*'Spreadsheet Key'!$A$23 + AK52*'Spreadsheet Key'!$A$24 + AL52*'Spreadsheet Key'!$A$25 + AM52*'Spreadsheet Key'!$A$26</f>
        <v>1058</v>
      </c>
      <c r="AQ52" s="283">
        <f>AI52/('APR Statistics'!$B$24)</f>
        <v>4.2386185243328101E-2</v>
      </c>
      <c r="AR52" s="283">
        <f>AQ52*'APR Statistics'!$C$6</f>
        <v>49.761381475667193</v>
      </c>
      <c r="AS52" s="283"/>
      <c r="AT52" s="283">
        <f t="shared" si="0"/>
        <v>0</v>
      </c>
      <c r="AU52" s="283">
        <f t="shared" si="1"/>
        <v>0</v>
      </c>
      <c r="AV52" s="283">
        <f t="shared" si="2"/>
        <v>0</v>
      </c>
      <c r="AW52" s="283" cm="1">
        <f t="array" ref="AW52">COUNTIFS($C52:$AG52,"9",$C$4:$AG$4,"1")+SUM(COUNTIFS($C52:$AG52,{"8","9"},$C$4:$AG$4,"2"))+COUNTIFS($C52:$AG52,"8",$C$4:$AG$4,"3")</f>
        <v>0</v>
      </c>
      <c r="AX52" s="283">
        <f t="shared" si="3"/>
        <v>0</v>
      </c>
      <c r="AY52" s="283">
        <f t="shared" si="4"/>
        <v>0</v>
      </c>
      <c r="AZ52" s="283">
        <f>AT52*'Spreadsheet Key'!$A$27+AU52*'Spreadsheet Key'!$A$28+AV52*'Spreadsheet Key'!$A$29+AW52*'Spreadsheet Key'!$A$30+AX52*'Spreadsheet Key'!$A$31</f>
        <v>0</v>
      </c>
      <c r="BA52" s="283"/>
      <c r="BB52" s="283">
        <f t="shared" ref="BB52" si="27">AR52-AZ52</f>
        <v>49.761381475667193</v>
      </c>
      <c r="BC52" s="3210"/>
      <c r="BD52" s="3210"/>
      <c r="BE52" s="3210"/>
      <c r="BF52" s="3210"/>
    </row>
    <row r="53" spans="1:58">
      <c r="A53" s="3208"/>
      <c r="B53" s="3208"/>
      <c r="C53" s="3181"/>
      <c r="D53" s="3182" t="s">
        <v>720</v>
      </c>
      <c r="E53" s="3181"/>
      <c r="F53" s="3182"/>
      <c r="G53" s="3181"/>
      <c r="H53" s="3181"/>
      <c r="I53" s="3181"/>
      <c r="J53" s="3181"/>
      <c r="K53" s="3181"/>
      <c r="L53" s="3181"/>
      <c r="M53" s="3181"/>
      <c r="N53" s="3182"/>
      <c r="O53" s="3182" t="s">
        <v>720</v>
      </c>
      <c r="P53" s="3181"/>
      <c r="Q53" s="6268" t="s">
        <v>1263</v>
      </c>
      <c r="R53" s="6268"/>
      <c r="S53" s="3181"/>
      <c r="T53" s="3181"/>
      <c r="U53" s="3181"/>
      <c r="V53" s="3181"/>
      <c r="W53" s="3183" t="s">
        <v>1025</v>
      </c>
      <c r="X53" s="6269" t="s">
        <v>667</v>
      </c>
      <c r="Y53" s="6269"/>
      <c r="Z53" s="6269"/>
      <c r="AA53" s="3183" t="s">
        <v>1025</v>
      </c>
      <c r="AB53" s="3181"/>
      <c r="AC53" s="3181"/>
      <c r="AD53" s="3181"/>
      <c r="AE53" s="3181"/>
      <c r="AF53" s="3181"/>
      <c r="AG53" s="3126"/>
      <c r="AH53" s="3126"/>
      <c r="AI53" s="283" cm="1">
        <f t="array" ref="AI53">SUM(COUNTIFS($C53:$AG53,{"0","4","5","6","7","8","9"}))</f>
        <v>0</v>
      </c>
      <c r="AJ53" s="283" cm="1">
        <f t="array" ref="AJ53">SUM(COUNTIFS($C53:$AG53,{"0","4","5","6","7","8","9"},$C$4:$AG$4,"0"))</f>
        <v>0</v>
      </c>
      <c r="AK53" s="283" cm="1">
        <f t="array" ref="AK53">SUM(COUNTIFS($C53:$AG53,{"0","4","5","6","7","8","9"},$C$4:$AG$4,"1"))</f>
        <v>0</v>
      </c>
      <c r="AL53" s="283" cm="1">
        <f t="array" ref="AL53">SUM(COUNTIFS($C53:$AG53,{"0","4","5","6","7","8","9"},$C$4:$AG$4,"2"))</f>
        <v>0</v>
      </c>
      <c r="AM53" s="283" cm="1">
        <f t="array" ref="AM53">SUM(COUNTIFS($C53:$AG53,{"0","4","5","6","7","8","9"},$C$4:$AG$4,"3"))</f>
        <v>0</v>
      </c>
      <c r="AN53" s="283" cm="1">
        <f t="array" ref="AN53">SUM(COUNTIFS($C53:$AG53,{"1","2","3"}))</f>
        <v>0</v>
      </c>
      <c r="AO53" s="283" cm="1">
        <f t="array" ref="AO53">SUM(COUNTIFS($C53:$AG53,{"4","5","6"}))</f>
        <v>0</v>
      </c>
      <c r="AP53" s="283">
        <f>AJ53*'Spreadsheet Key'!$A$23 + AK53*'Spreadsheet Key'!$A$24 + AL53*'Spreadsheet Key'!$A$25 + AM53*'Spreadsheet Key'!$A$26</f>
        <v>0</v>
      </c>
      <c r="AQ53" s="283">
        <f>AI53/('APR Statistics'!$B$24)</f>
        <v>0</v>
      </c>
      <c r="AR53" s="283">
        <f>AQ53*'APR Statistics'!$C$6</f>
        <v>0</v>
      </c>
      <c r="AS53" s="283"/>
      <c r="AT53" s="283">
        <f t="shared" si="0"/>
        <v>0</v>
      </c>
      <c r="AU53" s="283">
        <f t="shared" si="1"/>
        <v>0</v>
      </c>
      <c r="AV53" s="283">
        <f t="shared" si="2"/>
        <v>0</v>
      </c>
      <c r="AW53" s="283" cm="1">
        <f t="array" ref="AW53">COUNTIFS($C53:$AG53,"9",$C$4:$AG$4,"1")+SUM(COUNTIFS($C53:$AG53,{"8","9"},$C$4:$AG$4,"2"))+COUNTIFS($C53:$AG53,"8",$C$4:$AG$4,"3")</f>
        <v>0</v>
      </c>
      <c r="AX53" s="283">
        <f t="shared" si="3"/>
        <v>0</v>
      </c>
      <c r="AY53" s="283">
        <f t="shared" si="4"/>
        <v>0</v>
      </c>
      <c r="AZ53" s="283">
        <f>AT53*'Spreadsheet Key'!$A$27+AU53*'Spreadsheet Key'!$A$28+AV53*'Spreadsheet Key'!$A$29+AW53*'Spreadsheet Key'!$A$30+AX53*'Spreadsheet Key'!$A$31</f>
        <v>0</v>
      </c>
      <c r="BA53" s="283"/>
      <c r="BB53" s="283"/>
      <c r="BC53" s="283"/>
      <c r="BD53" s="283"/>
      <c r="BE53" s="283"/>
      <c r="BF53" s="283"/>
    </row>
    <row r="54" spans="1:58" s="3211" customFormat="1">
      <c r="A54" s="3180" t="s">
        <v>145</v>
      </c>
      <c r="B54" s="3180" t="s">
        <v>148</v>
      </c>
      <c r="C54" s="3199">
        <v>0</v>
      </c>
      <c r="D54" s="3199">
        <v>8</v>
      </c>
      <c r="E54" s="3199">
        <v>0</v>
      </c>
      <c r="F54" s="3199">
        <v>0</v>
      </c>
      <c r="G54" s="3199">
        <v>0</v>
      </c>
      <c r="H54" s="3199">
        <v>0</v>
      </c>
      <c r="I54" s="3199">
        <v>0</v>
      </c>
      <c r="J54" s="3199">
        <v>0</v>
      </c>
      <c r="K54" s="3199">
        <v>0</v>
      </c>
      <c r="L54" s="3199">
        <v>0</v>
      </c>
      <c r="M54" s="3199">
        <v>0</v>
      </c>
      <c r="N54" s="3199">
        <v>0</v>
      </c>
      <c r="O54" s="3199">
        <v>8</v>
      </c>
      <c r="P54" s="3199">
        <v>0</v>
      </c>
      <c r="Q54" s="3199">
        <v>7</v>
      </c>
      <c r="R54" s="3199">
        <v>7</v>
      </c>
      <c r="S54" s="3199">
        <v>0</v>
      </c>
      <c r="T54" s="3199">
        <v>0</v>
      </c>
      <c r="U54" s="3199">
        <v>0</v>
      </c>
      <c r="V54" s="3199">
        <v>0</v>
      </c>
      <c r="W54" s="3199">
        <v>1</v>
      </c>
      <c r="X54" s="3199">
        <v>2</v>
      </c>
      <c r="Y54" s="3199">
        <v>2</v>
      </c>
      <c r="Z54" s="3199">
        <v>2</v>
      </c>
      <c r="AA54" s="3199">
        <v>3</v>
      </c>
      <c r="AB54" s="3199">
        <v>0</v>
      </c>
      <c r="AC54" s="3199">
        <v>0</v>
      </c>
      <c r="AD54" s="3199">
        <v>0</v>
      </c>
      <c r="AE54" s="3199">
        <v>0</v>
      </c>
      <c r="AF54" s="3199">
        <v>0</v>
      </c>
      <c r="AG54" s="3209">
        <v>0</v>
      </c>
      <c r="AH54" s="3209"/>
      <c r="AI54" s="283" cm="1">
        <f t="array" ref="AI54">SUM(COUNTIFS($C54:$AG54,{"0","4","5","6","7","8","9"}))</f>
        <v>26</v>
      </c>
      <c r="AJ54" s="283" cm="1">
        <f t="array" ref="AJ54">SUM(COUNTIFS($C54:$AG54,{"0","4","5","6","7","8","9"},$C$4:$AG$4,"0"))</f>
        <v>14</v>
      </c>
      <c r="AK54" s="283" cm="1">
        <f t="array" ref="AK54">SUM(COUNTIFS($C54:$AG54,{"0","4","5","6","7","8","9"},$C$4:$AG$4,"1"))</f>
        <v>3</v>
      </c>
      <c r="AL54" s="283" cm="1">
        <f t="array" ref="AL54">SUM(COUNTIFS($C54:$AG54,{"0","4","5","6","7","8","9"},$C$4:$AG$4,"2"))</f>
        <v>4</v>
      </c>
      <c r="AM54" s="283" cm="1">
        <f t="array" ref="AM54">SUM(COUNTIFS($C54:$AG54,{"0","4","5","6","7","8","9"},$C$4:$AG$4,"3"))</f>
        <v>4</v>
      </c>
      <c r="AN54" s="283" cm="1">
        <f t="array" ref="AN54">SUM(COUNTIFS($C54:$AG54,{"1","2","3"}))</f>
        <v>5</v>
      </c>
      <c r="AO54" s="283" cm="1">
        <f t="array" ref="AO54">SUM(COUNTIFS($C54:$AG54,{"4","5","6"}))</f>
        <v>0</v>
      </c>
      <c r="AP54" s="283">
        <f>AJ54*'Spreadsheet Key'!$A$23 + AK54*'Spreadsheet Key'!$A$24 + AL54*'Spreadsheet Key'!$A$25 + AM54*'Spreadsheet Key'!$A$26</f>
        <v>982</v>
      </c>
      <c r="AQ54" s="283">
        <f>AI54/('APR Statistics'!$B$24)</f>
        <v>4.0816326530612242E-2</v>
      </c>
      <c r="AR54" s="283">
        <f>AQ54*'APR Statistics'!$C$6</f>
        <v>47.918367346938773</v>
      </c>
      <c r="AS54" s="283"/>
      <c r="AT54" s="283">
        <f t="shared" si="0"/>
        <v>1</v>
      </c>
      <c r="AU54" s="283">
        <f t="shared" si="1"/>
        <v>0</v>
      </c>
      <c r="AV54" s="283">
        <f t="shared" si="2"/>
        <v>0</v>
      </c>
      <c r="AW54" s="283" cm="1">
        <f t="array" ref="AW54">COUNTIFS($C54:$AG54,"9",$C$4:$AG$4,"1")+SUM(COUNTIFS($C54:$AG54,{"8","9"},$C$4:$AG$4,"2"))+COUNTIFS($C54:$AG54,"8",$C$4:$AG$4,"3")</f>
        <v>1</v>
      </c>
      <c r="AX54" s="283">
        <f t="shared" si="3"/>
        <v>0</v>
      </c>
      <c r="AY54" s="283">
        <f t="shared" si="4"/>
        <v>2</v>
      </c>
      <c r="AZ54" s="283">
        <f>AT54*'Spreadsheet Key'!$A$27+AU54*'Spreadsheet Key'!$A$28+AV54*'Spreadsheet Key'!$A$29+AW54*'Spreadsheet Key'!$A$30+AX54*'Spreadsheet Key'!$A$31</f>
        <v>46</v>
      </c>
      <c r="BA54" s="283"/>
      <c r="BB54" s="283">
        <f t="shared" ref="BB54" si="28">AR54-AZ54</f>
        <v>1.9183673469387728</v>
      </c>
      <c r="BC54" s="3210"/>
      <c r="BD54" s="3210"/>
      <c r="BE54" s="3210"/>
      <c r="BF54" s="3210"/>
    </row>
    <row r="55" spans="1:58">
      <c r="A55" s="3208"/>
      <c r="B55" s="3208"/>
      <c r="C55" s="6270" t="s">
        <v>1231</v>
      </c>
      <c r="D55" s="6270"/>
      <c r="E55" s="3183" t="s">
        <v>1025</v>
      </c>
      <c r="F55" s="3181"/>
      <c r="G55" s="3181"/>
      <c r="H55" s="3181"/>
      <c r="I55" s="3181"/>
      <c r="J55" s="3181"/>
      <c r="K55" s="3181"/>
      <c r="L55" s="3181"/>
      <c r="M55" s="3181"/>
      <c r="N55" s="3181"/>
      <c r="O55" s="3181"/>
      <c r="P55" s="3182" t="s">
        <v>722</v>
      </c>
      <c r="Q55" s="3181"/>
      <c r="R55" s="3181"/>
      <c r="S55" s="3181"/>
      <c r="T55" s="3181"/>
      <c r="U55" s="3181"/>
      <c r="V55" s="3181"/>
      <c r="W55" s="3181"/>
      <c r="X55" s="3182"/>
      <c r="Y55" s="3181"/>
      <c r="Z55" s="3181"/>
      <c r="AA55" s="3181"/>
      <c r="AB55" s="3182" t="s">
        <v>720</v>
      </c>
      <c r="AC55" s="3181"/>
      <c r="AD55" s="3181"/>
      <c r="AE55" s="3181"/>
      <c r="AF55" s="3181"/>
      <c r="AG55" s="3126"/>
      <c r="AH55" s="3126"/>
      <c r="AI55" s="283" cm="1">
        <f t="array" ref="AI55">SUM(COUNTIFS($C55:$AG55,{"0","4","5","6","7","8","9"}))</f>
        <v>0</v>
      </c>
      <c r="AJ55" s="283" cm="1">
        <f t="array" ref="AJ55">SUM(COUNTIFS($C55:$AG55,{"0","4","5","6","7","8","9"},$C$4:$AG$4,"0"))</f>
        <v>0</v>
      </c>
      <c r="AK55" s="283" cm="1">
        <f t="array" ref="AK55">SUM(COUNTIFS($C55:$AG55,{"0","4","5","6","7","8","9"},$C$4:$AG$4,"1"))</f>
        <v>0</v>
      </c>
      <c r="AL55" s="283" cm="1">
        <f t="array" ref="AL55">SUM(COUNTIFS($C55:$AG55,{"0","4","5","6","7","8","9"},$C$4:$AG$4,"2"))</f>
        <v>0</v>
      </c>
      <c r="AM55" s="283" cm="1">
        <f t="array" ref="AM55">SUM(COUNTIFS($C55:$AG55,{"0","4","5","6","7","8","9"},$C$4:$AG$4,"3"))</f>
        <v>0</v>
      </c>
      <c r="AN55" s="283" cm="1">
        <f t="array" ref="AN55">SUM(COUNTIFS($C55:$AG55,{"1","2","3"}))</f>
        <v>0</v>
      </c>
      <c r="AO55" s="283" cm="1">
        <f t="array" ref="AO55">SUM(COUNTIFS($C55:$AG55,{"4","5","6"}))</f>
        <v>0</v>
      </c>
      <c r="AP55" s="283">
        <f>AJ55*'Spreadsheet Key'!$A$23 + AK55*'Spreadsheet Key'!$A$24 + AL55*'Spreadsheet Key'!$A$25 + AM55*'Spreadsheet Key'!$A$26</f>
        <v>0</v>
      </c>
      <c r="AQ55" s="283">
        <f>AI55/('APR Statistics'!$B$24)</f>
        <v>0</v>
      </c>
      <c r="AR55" s="283">
        <f>AQ55*'APR Statistics'!$C$6</f>
        <v>0</v>
      </c>
      <c r="AS55" s="283"/>
      <c r="AT55" s="283">
        <f t="shared" si="0"/>
        <v>0</v>
      </c>
      <c r="AU55" s="283">
        <f t="shared" si="1"/>
        <v>0</v>
      </c>
      <c r="AV55" s="283">
        <f t="shared" si="2"/>
        <v>0</v>
      </c>
      <c r="AW55" s="283" cm="1">
        <f t="array" ref="AW55">COUNTIFS($C55:$AG55,"9",$C$4:$AG$4,"1")+SUM(COUNTIFS($C55:$AG55,{"8","9"},$C$4:$AG$4,"2"))+COUNTIFS($C55:$AG55,"8",$C$4:$AG$4,"3")</f>
        <v>0</v>
      </c>
      <c r="AX55" s="283">
        <f t="shared" si="3"/>
        <v>0</v>
      </c>
      <c r="AY55" s="283">
        <f t="shared" si="4"/>
        <v>0</v>
      </c>
      <c r="AZ55" s="283">
        <f>AT55*'Spreadsheet Key'!$A$27+AU55*'Spreadsheet Key'!$A$28+AV55*'Spreadsheet Key'!$A$29+AW55*'Spreadsheet Key'!$A$30+AX55*'Spreadsheet Key'!$A$31</f>
        <v>0</v>
      </c>
      <c r="BA55" s="283"/>
      <c r="BB55" s="283"/>
      <c r="BC55" s="283"/>
      <c r="BD55" s="283"/>
      <c r="BE55" s="283"/>
      <c r="BF55" s="283"/>
    </row>
    <row r="56" spans="1:58" s="3211" customFormat="1">
      <c r="A56" s="3180" t="s">
        <v>1272</v>
      </c>
      <c r="B56" s="3180" t="s">
        <v>618</v>
      </c>
      <c r="C56" s="3199">
        <v>2</v>
      </c>
      <c r="D56" s="3199">
        <v>2</v>
      </c>
      <c r="E56" s="3199">
        <v>3</v>
      </c>
      <c r="F56" s="3199">
        <v>0</v>
      </c>
      <c r="G56" s="3199">
        <v>0</v>
      </c>
      <c r="H56" s="3199">
        <v>0</v>
      </c>
      <c r="I56" s="3199">
        <v>0</v>
      </c>
      <c r="J56" s="3199">
        <v>0</v>
      </c>
      <c r="K56" s="3199">
        <v>0</v>
      </c>
      <c r="L56" s="3199">
        <v>0</v>
      </c>
      <c r="M56" s="3199">
        <v>0</v>
      </c>
      <c r="N56" s="3199">
        <v>0</v>
      </c>
      <c r="O56" s="3199">
        <v>0</v>
      </c>
      <c r="P56" s="3199">
        <v>9</v>
      </c>
      <c r="Q56" s="3199">
        <v>0</v>
      </c>
      <c r="R56" s="3199">
        <v>0</v>
      </c>
      <c r="S56" s="3199">
        <v>0</v>
      </c>
      <c r="T56" s="3199">
        <v>0</v>
      </c>
      <c r="U56" s="3199">
        <v>0</v>
      </c>
      <c r="V56" s="3199">
        <v>0</v>
      </c>
      <c r="W56" s="3199">
        <v>0</v>
      </c>
      <c r="X56" s="3199">
        <v>0</v>
      </c>
      <c r="Y56" s="3199">
        <v>0</v>
      </c>
      <c r="Z56" s="3199">
        <v>0</v>
      </c>
      <c r="AA56" s="3199">
        <v>0</v>
      </c>
      <c r="AB56" s="3199">
        <v>8</v>
      </c>
      <c r="AC56" s="3199">
        <v>0</v>
      </c>
      <c r="AD56" s="3199">
        <v>0</v>
      </c>
      <c r="AE56" s="3199">
        <v>0</v>
      </c>
      <c r="AF56" s="3199">
        <v>0</v>
      </c>
      <c r="AG56" s="3209"/>
      <c r="AH56" s="3209"/>
      <c r="AI56" s="283" cm="1">
        <f t="array" ref="AI56">SUM(COUNTIFS($C56:$AG56,{"0","4","5","6","7","8","9"}))</f>
        <v>27</v>
      </c>
      <c r="AJ56" s="283" cm="1">
        <f t="array" ref="AJ56">SUM(COUNTIFS($C56:$AG56,{"0","4","5","6","7","8","9"},$C$4:$AG$4,"0"))</f>
        <v>15</v>
      </c>
      <c r="AK56" s="283" cm="1">
        <f t="array" ref="AK56">SUM(COUNTIFS($C56:$AG56,{"0","4","5","6","7","8","9"},$C$4:$AG$4,"1"))</f>
        <v>4</v>
      </c>
      <c r="AL56" s="283" cm="1">
        <f t="array" ref="AL56">SUM(COUNTIFS($C56:$AG56,{"0","4","5","6","7","8","9"},$C$4:$AG$4,"2"))</f>
        <v>4</v>
      </c>
      <c r="AM56" s="283" cm="1">
        <f t="array" ref="AM56">SUM(COUNTIFS($C56:$AG56,{"0","4","5","6","7","8","9"},$C$4:$AG$4,"3"))</f>
        <v>4</v>
      </c>
      <c r="AN56" s="283" cm="1">
        <f t="array" ref="AN56">SUM(COUNTIFS($C56:$AG56,{"1","2","3"}))</f>
        <v>3</v>
      </c>
      <c r="AO56" s="283" cm="1">
        <f t="array" ref="AO56">SUM(COUNTIFS($C56:$AG56,{"4","5","6"}))</f>
        <v>0</v>
      </c>
      <c r="AP56" s="283">
        <f>AJ56*'Spreadsheet Key'!$A$23 + AK56*'Spreadsheet Key'!$A$24 + AL56*'Spreadsheet Key'!$A$25 + AM56*'Spreadsheet Key'!$A$26</f>
        <v>1058</v>
      </c>
      <c r="AQ56" s="283">
        <f>AI56/('APR Statistics'!$B$24)</f>
        <v>4.2386185243328101E-2</v>
      </c>
      <c r="AR56" s="283">
        <f>AQ56*'APR Statistics'!$C$6</f>
        <v>49.761381475667193</v>
      </c>
      <c r="AS56" s="283"/>
      <c r="AT56" s="283">
        <f t="shared" si="0"/>
        <v>0</v>
      </c>
      <c r="AU56" s="283">
        <f t="shared" si="1"/>
        <v>1</v>
      </c>
      <c r="AV56" s="283">
        <f t="shared" si="2"/>
        <v>0</v>
      </c>
      <c r="AW56" s="283" cm="1">
        <f t="array" ref="AW56">COUNTIFS($C56:$AG56,"9",$C$4:$AG$4,"1")+SUM(COUNTIFS($C56:$AG56,{"8","9"},$C$4:$AG$4,"2"))+COUNTIFS($C56:$AG56,"8",$C$4:$AG$4,"3")</f>
        <v>1</v>
      </c>
      <c r="AX56" s="283">
        <f t="shared" si="3"/>
        <v>0</v>
      </c>
      <c r="AY56" s="283">
        <f t="shared" ref="AY56:AY68" si="29">SUM(AT56:AX56)</f>
        <v>2</v>
      </c>
      <c r="AZ56" s="283">
        <f>AT56*'Spreadsheet Key'!$A$27+AU56*'Spreadsheet Key'!$A$28+AV56*'Spreadsheet Key'!$A$29+AW56*'Spreadsheet Key'!$A$30+AX56*'Spreadsheet Key'!$A$31</f>
        <v>48</v>
      </c>
      <c r="BA56" s="283"/>
      <c r="BB56" s="283">
        <f t="shared" ref="BB56:BB68" si="30">AR56-AZ56</f>
        <v>1.7613814756671928</v>
      </c>
    </row>
    <row r="57" spans="1:58">
      <c r="A57" s="3208"/>
      <c r="B57" s="3208"/>
      <c r="C57" s="3182" t="s">
        <v>722</v>
      </c>
      <c r="D57" s="3181"/>
      <c r="E57" s="3181"/>
      <c r="F57" s="3181"/>
      <c r="G57" s="3181"/>
      <c r="H57" s="3181"/>
      <c r="I57" s="3181"/>
      <c r="J57" s="3181"/>
      <c r="K57" s="3181"/>
      <c r="L57" s="3182"/>
      <c r="M57" s="3182" t="s">
        <v>722</v>
      </c>
      <c r="N57" s="3181"/>
      <c r="O57" s="3181"/>
      <c r="P57" s="3181"/>
      <c r="Q57" s="3181"/>
      <c r="R57" s="3181"/>
      <c r="S57" s="3181"/>
      <c r="T57" s="3181"/>
      <c r="U57" s="3181"/>
      <c r="V57" s="3181"/>
      <c r="W57" s="3181"/>
      <c r="X57" s="3181"/>
      <c r="Y57" s="3181"/>
      <c r="Z57" s="3182" t="s">
        <v>722</v>
      </c>
      <c r="AA57" s="3181"/>
      <c r="AB57" s="3181"/>
      <c r="AC57" s="3181"/>
      <c r="AD57" s="3181"/>
      <c r="AE57" s="3181"/>
      <c r="AF57" s="3181"/>
      <c r="AG57" s="3126"/>
      <c r="AH57" s="3126"/>
      <c r="AI57" s="283" cm="1">
        <f t="array" ref="AI57">SUM(COUNTIFS($C57:$AG57,{"0","4","5","6","7","8","9"}))</f>
        <v>0</v>
      </c>
      <c r="AJ57" s="283" cm="1">
        <f t="array" ref="AJ57">SUM(COUNTIFS($C57:$AG57,{"0","4","5","6","7","8","9"},$C$4:$AG$4,"0"))</f>
        <v>0</v>
      </c>
      <c r="AK57" s="283" cm="1">
        <f t="array" ref="AK57">SUM(COUNTIFS($C57:$AG57,{"0","4","5","6","7","8","9"},$C$4:$AG$4,"1"))</f>
        <v>0</v>
      </c>
      <c r="AL57" s="283" cm="1">
        <f t="array" ref="AL57">SUM(COUNTIFS($C57:$AG57,{"0","4","5","6","7","8","9"},$C$4:$AG$4,"2"))</f>
        <v>0</v>
      </c>
      <c r="AM57" s="283" cm="1">
        <f t="array" ref="AM57">SUM(COUNTIFS($C57:$AG57,{"0","4","5","6","7","8","9"},$C$4:$AG$4,"3"))</f>
        <v>0</v>
      </c>
      <c r="AN57" s="283" cm="1">
        <f t="array" ref="AN57">SUM(COUNTIFS($C57:$AG57,{"1","2","3"}))</f>
        <v>0</v>
      </c>
      <c r="AO57" s="283" cm="1">
        <f t="array" ref="AO57">SUM(COUNTIFS($C57:$AG57,{"4","5","6"}))</f>
        <v>0</v>
      </c>
      <c r="AP57" s="283">
        <f>AJ57*'Spreadsheet Key'!$A$23 + AK57*'Spreadsheet Key'!$A$24 + AL57*'Spreadsheet Key'!$A$25 + AM57*'Spreadsheet Key'!$A$26</f>
        <v>0</v>
      </c>
      <c r="AQ57" s="283">
        <f>AI57/('APR Statistics'!$B$24)</f>
        <v>0</v>
      </c>
      <c r="AR57" s="283">
        <f>AQ57*'APR Statistics'!$C$6</f>
        <v>0</v>
      </c>
      <c r="AS57" s="283"/>
      <c r="AT57" s="283">
        <f t="shared" si="0"/>
        <v>0</v>
      </c>
      <c r="AU57" s="283">
        <f t="shared" si="1"/>
        <v>0</v>
      </c>
      <c r="AV57" s="283">
        <f t="shared" si="2"/>
        <v>0</v>
      </c>
      <c r="AW57" s="283" cm="1">
        <f t="array" ref="AW57">COUNTIFS($C57:$AG57,"9",$C$4:$AG$4,"1")+SUM(COUNTIFS($C57:$AG57,{"8","9"},$C$4:$AG$4,"2"))+COUNTIFS($C57:$AG57,"8",$C$4:$AG$4,"3")</f>
        <v>0</v>
      </c>
      <c r="AX57" s="283">
        <f t="shared" si="3"/>
        <v>0</v>
      </c>
      <c r="AY57" s="283">
        <f t="shared" si="29"/>
        <v>0</v>
      </c>
      <c r="AZ57" s="283">
        <f>AT57*'Spreadsheet Key'!$A$27+AU57*'Spreadsheet Key'!$A$28+AV57*'Spreadsheet Key'!$A$29+AW57*'Spreadsheet Key'!$A$30+AX57*'Spreadsheet Key'!$A$31</f>
        <v>0</v>
      </c>
      <c r="BA57" s="283"/>
      <c r="BB57" s="283"/>
    </row>
    <row r="58" spans="1:58" s="3211" customFormat="1">
      <c r="A58" s="3180" t="s">
        <v>149</v>
      </c>
      <c r="B58" s="3180" t="s">
        <v>151</v>
      </c>
      <c r="C58" s="3206">
        <v>9</v>
      </c>
      <c r="D58" s="3206">
        <v>0</v>
      </c>
      <c r="E58" s="3206">
        <v>0</v>
      </c>
      <c r="F58" s="3206">
        <v>0</v>
      </c>
      <c r="G58" s="3206">
        <v>0</v>
      </c>
      <c r="H58" s="3206">
        <v>0</v>
      </c>
      <c r="I58" s="3206">
        <v>0</v>
      </c>
      <c r="J58" s="3206">
        <v>0</v>
      </c>
      <c r="K58" s="3206">
        <v>0</v>
      </c>
      <c r="L58" s="3206">
        <v>0</v>
      </c>
      <c r="M58" s="3206">
        <v>9</v>
      </c>
      <c r="N58" s="3206">
        <v>0</v>
      </c>
      <c r="O58" s="3206">
        <v>0</v>
      </c>
      <c r="P58" s="3206">
        <v>0</v>
      </c>
      <c r="Q58" s="3206">
        <v>0</v>
      </c>
      <c r="R58" s="3206">
        <v>0</v>
      </c>
      <c r="S58" s="3206">
        <v>0</v>
      </c>
      <c r="T58" s="3206">
        <v>0</v>
      </c>
      <c r="U58" s="3206">
        <v>0</v>
      </c>
      <c r="V58" s="3206">
        <v>0</v>
      </c>
      <c r="W58" s="3206">
        <v>0</v>
      </c>
      <c r="X58" s="3206">
        <v>0</v>
      </c>
      <c r="Y58" s="3206">
        <v>0</v>
      </c>
      <c r="Z58" s="3206">
        <v>9</v>
      </c>
      <c r="AA58" s="3206">
        <v>0</v>
      </c>
      <c r="AB58" s="3206">
        <v>0</v>
      </c>
      <c r="AC58" s="3206">
        <v>0</v>
      </c>
      <c r="AD58" s="3206">
        <v>0</v>
      </c>
      <c r="AE58" s="3206">
        <v>0</v>
      </c>
      <c r="AF58" s="3206">
        <v>0</v>
      </c>
      <c r="AG58" s="3209">
        <v>0</v>
      </c>
      <c r="AH58" s="3209"/>
      <c r="AI58" s="283" cm="1">
        <f t="array" ref="AI58">SUM(COUNTIFS($C58:$AG58,{"0","4","5","6","7","8","9"}))</f>
        <v>31</v>
      </c>
      <c r="AJ58" s="283" cm="1">
        <f t="array" ref="AJ58">SUM(COUNTIFS($C58:$AG58,{"0","4","5","6","7","8","9"},$C$4:$AG$4,"0"))</f>
        <v>18</v>
      </c>
      <c r="AK58" s="283" cm="1">
        <f t="array" ref="AK58">SUM(COUNTIFS($C58:$AG58,{"0","4","5","6","7","8","9"},$C$4:$AG$4,"1"))</f>
        <v>4</v>
      </c>
      <c r="AL58" s="283" cm="1">
        <f t="array" ref="AL58">SUM(COUNTIFS($C58:$AG58,{"0","4","5","6","7","8","9"},$C$4:$AG$4,"2"))</f>
        <v>4</v>
      </c>
      <c r="AM58" s="283" cm="1">
        <f t="array" ref="AM58">SUM(COUNTIFS($C58:$AG58,{"0","4","5","6","7","8","9"},$C$4:$AG$4,"3"))</f>
        <v>4</v>
      </c>
      <c r="AN58" s="283" cm="1">
        <f t="array" ref="AN58">SUM(COUNTIFS($C58:$AG58,{"1","2","3"}))</f>
        <v>0</v>
      </c>
      <c r="AO58" s="283" cm="1">
        <f t="array" ref="AO58">SUM(COUNTIFS($C58:$AG58,{"4","5","6"}))</f>
        <v>0</v>
      </c>
      <c r="AP58" s="283">
        <f>AJ58*'Spreadsheet Key'!$A$23 + AK58*'Spreadsheet Key'!$A$24 + AL58*'Spreadsheet Key'!$A$25 + AM58*'Spreadsheet Key'!$A$26</f>
        <v>1124</v>
      </c>
      <c r="AQ58" s="283">
        <f>AI58/('APR Statistics'!$B$24)</f>
        <v>4.8665620094191522E-2</v>
      </c>
      <c r="AR58" s="283">
        <f>AQ58*'APR Statistics'!$C$6</f>
        <v>57.133437990580845</v>
      </c>
      <c r="AS58" s="283"/>
      <c r="AT58" s="283">
        <f t="shared" si="0"/>
        <v>0</v>
      </c>
      <c r="AU58" s="283">
        <f t="shared" si="1"/>
        <v>2</v>
      </c>
      <c r="AV58" s="283">
        <f t="shared" si="2"/>
        <v>0</v>
      </c>
      <c r="AW58" s="283" cm="1">
        <f t="array" ref="AW58">COUNTIFS($C58:$AG58,"9",$C$4:$AG$4,"1")+SUM(COUNTIFS($C58:$AG58,{"8","9"},$C$4:$AG$4,"2"))+COUNTIFS($C58:$AG58,"8",$C$4:$AG$4,"3")</f>
        <v>1</v>
      </c>
      <c r="AX58" s="283">
        <f t="shared" si="3"/>
        <v>0</v>
      </c>
      <c r="AY58" s="283">
        <f t="shared" si="29"/>
        <v>3</v>
      </c>
      <c r="AZ58" s="283">
        <f>AT58*'Spreadsheet Key'!$A$27+AU58*'Spreadsheet Key'!$A$28+AV58*'Spreadsheet Key'!$A$29+AW58*'Spreadsheet Key'!$A$30+AX58*'Spreadsheet Key'!$A$31</f>
        <v>60</v>
      </c>
      <c r="BA58" s="283"/>
      <c r="BB58" s="283">
        <f t="shared" si="30"/>
        <v>-2.8665620094191553</v>
      </c>
    </row>
    <row r="59" spans="1:58" ht="15.75">
      <c r="A59" s="3208"/>
      <c r="B59" s="3208"/>
      <c r="C59" s="6267" t="s">
        <v>1260</v>
      </c>
      <c r="D59" s="6267"/>
      <c r="E59" s="3183" t="s">
        <v>1025</v>
      </c>
      <c r="F59" s="3184"/>
      <c r="G59" s="3181"/>
      <c r="H59" s="3184"/>
      <c r="I59" s="3182" t="s">
        <v>720</v>
      </c>
      <c r="J59" s="3181"/>
      <c r="K59" s="3181"/>
      <c r="L59" s="3181"/>
      <c r="M59" s="3181"/>
      <c r="N59" s="3181"/>
      <c r="O59" s="3183" t="s">
        <v>1025</v>
      </c>
      <c r="P59" s="6271" t="s">
        <v>1271</v>
      </c>
      <c r="Q59" s="6271"/>
      <c r="R59" s="3183" t="s">
        <v>1025</v>
      </c>
      <c r="S59" s="6272" t="s">
        <v>312</v>
      </c>
      <c r="T59" s="6272"/>
      <c r="U59" s="3183" t="s">
        <v>1025</v>
      </c>
      <c r="V59" s="3181"/>
      <c r="W59" s="3183" t="s">
        <v>1025</v>
      </c>
      <c r="X59" s="6269" t="s">
        <v>667</v>
      </c>
      <c r="Y59" s="6269"/>
      <c r="Z59" s="6269"/>
      <c r="AA59" s="3183" t="s">
        <v>1025</v>
      </c>
      <c r="AB59" s="3181"/>
      <c r="AC59" s="3181"/>
      <c r="AD59" s="3181"/>
      <c r="AE59" s="3181"/>
      <c r="AF59" s="3182"/>
      <c r="AG59" s="3126"/>
      <c r="AH59" s="3126"/>
      <c r="AI59" s="283" cm="1">
        <f t="array" ref="AI59">SUM(COUNTIFS($C59:$AG59,{"0","4","5","6","7","8","9"}))</f>
        <v>0</v>
      </c>
      <c r="AJ59" s="283" cm="1">
        <f t="array" ref="AJ59">SUM(COUNTIFS($C59:$AG59,{"0","4","5","6","7","8","9"},$C$4:$AG$4,"0"))</f>
        <v>0</v>
      </c>
      <c r="AK59" s="283" cm="1">
        <f t="array" ref="AK59">SUM(COUNTIFS($C59:$AG59,{"0","4","5","6","7","8","9"},$C$4:$AG$4,"1"))</f>
        <v>0</v>
      </c>
      <c r="AL59" s="283" cm="1">
        <f t="array" ref="AL59">SUM(COUNTIFS($C59:$AG59,{"0","4","5","6","7","8","9"},$C$4:$AG$4,"2"))</f>
        <v>0</v>
      </c>
      <c r="AM59" s="283" cm="1">
        <f t="array" ref="AM59">SUM(COUNTIFS($C59:$AG59,{"0","4","5","6","7","8","9"},$C$4:$AG$4,"3"))</f>
        <v>0</v>
      </c>
      <c r="AN59" s="283" cm="1">
        <f t="array" ref="AN59">SUM(COUNTIFS($C59:$AG59,{"1","2","3"}))</f>
        <v>0</v>
      </c>
      <c r="AO59" s="283" cm="1">
        <f t="array" ref="AO59">SUM(COUNTIFS($C59:$AG59,{"4","5","6"}))</f>
        <v>0</v>
      </c>
      <c r="AP59" s="283">
        <f>AJ59*'Spreadsheet Key'!$A$23 + AK59*'Spreadsheet Key'!$A$24 + AL59*'Spreadsheet Key'!$A$25 + AM59*'Spreadsheet Key'!$A$26</f>
        <v>0</v>
      </c>
      <c r="AQ59" s="283">
        <f>AI59/('APR Statistics'!$B$24)</f>
        <v>0</v>
      </c>
      <c r="AR59" s="283">
        <f>AQ59*'APR Statistics'!$C$6</f>
        <v>0</v>
      </c>
      <c r="AS59" s="283"/>
      <c r="AT59" s="283">
        <f t="shared" si="0"/>
        <v>0</v>
      </c>
      <c r="AU59" s="283">
        <f t="shared" si="1"/>
        <v>0</v>
      </c>
      <c r="AV59" s="283">
        <f t="shared" si="2"/>
        <v>0</v>
      </c>
      <c r="AW59" s="283" cm="1">
        <f t="array" ref="AW59">COUNTIFS($C59:$AG59,"9",$C$4:$AG$4,"1")+SUM(COUNTIFS($C59:$AG59,{"8","9"},$C$4:$AG$4,"2"))+COUNTIFS($C59:$AG59,"8",$C$4:$AG$4,"3")</f>
        <v>0</v>
      </c>
      <c r="AX59" s="283">
        <f t="shared" si="3"/>
        <v>0</v>
      </c>
      <c r="AY59" s="283">
        <f t="shared" si="29"/>
        <v>0</v>
      </c>
      <c r="AZ59" s="283">
        <f>AT59*'Spreadsheet Key'!$A$27+AU59*'Spreadsheet Key'!$A$28+AV59*'Spreadsheet Key'!$A$29+AW59*'Spreadsheet Key'!$A$30+AX59*'Spreadsheet Key'!$A$31</f>
        <v>0</v>
      </c>
      <c r="BA59" s="283"/>
      <c r="BB59" s="283"/>
    </row>
    <row r="60" spans="1:58" s="3211" customFormat="1" ht="15.75">
      <c r="A60" s="3180" t="s">
        <v>283</v>
      </c>
      <c r="B60" s="3180" t="s">
        <v>1005</v>
      </c>
      <c r="C60" s="3205">
        <v>2</v>
      </c>
      <c r="D60" s="3205">
        <v>2</v>
      </c>
      <c r="E60" s="3199">
        <v>3</v>
      </c>
      <c r="F60" s="3203">
        <v>0</v>
      </c>
      <c r="G60" s="3199">
        <v>0</v>
      </c>
      <c r="H60" s="3203">
        <v>0</v>
      </c>
      <c r="I60" s="3199">
        <v>8</v>
      </c>
      <c r="J60" s="3199">
        <v>0</v>
      </c>
      <c r="K60" s="3199">
        <v>0</v>
      </c>
      <c r="L60" s="3199">
        <v>0</v>
      </c>
      <c r="M60" s="3199">
        <v>0</v>
      </c>
      <c r="N60" s="3199">
        <v>0</v>
      </c>
      <c r="O60" s="3199">
        <v>1</v>
      </c>
      <c r="P60" s="3204">
        <v>2</v>
      </c>
      <c r="Q60" s="3204">
        <v>2</v>
      </c>
      <c r="R60" s="3199">
        <v>1</v>
      </c>
      <c r="S60" s="3199">
        <v>2</v>
      </c>
      <c r="T60" s="3199">
        <v>2</v>
      </c>
      <c r="U60" s="3199">
        <v>3</v>
      </c>
      <c r="V60" s="3199">
        <v>0</v>
      </c>
      <c r="W60" s="3199">
        <v>1</v>
      </c>
      <c r="X60" s="3199">
        <v>2</v>
      </c>
      <c r="Y60" s="3199">
        <v>2</v>
      </c>
      <c r="Z60" s="3199">
        <v>2</v>
      </c>
      <c r="AA60" s="3199">
        <v>3</v>
      </c>
      <c r="AB60" s="3199">
        <v>0</v>
      </c>
      <c r="AC60" s="3199">
        <v>0</v>
      </c>
      <c r="AD60" s="3199">
        <v>0</v>
      </c>
      <c r="AE60" s="3199">
        <v>0</v>
      </c>
      <c r="AF60" s="3199">
        <v>0</v>
      </c>
      <c r="AG60" s="3209"/>
      <c r="AH60" s="3209"/>
      <c r="AI60" s="283" cm="1">
        <f t="array" ref="AI60">SUM(COUNTIFS($C60:$AG60,{"0","4","5","6","7","8","9"}))</f>
        <v>15</v>
      </c>
      <c r="AJ60" s="283" cm="1">
        <f t="array" ref="AJ60">SUM(COUNTIFS($C60:$AG60,{"0","4","5","6","7","8","9"},$C$4:$AG$4,"0"))</f>
        <v>7</v>
      </c>
      <c r="AK60" s="283" cm="1">
        <f t="array" ref="AK60">SUM(COUNTIFS($C60:$AG60,{"0","4","5","6","7","8","9"},$C$4:$AG$4,"1"))</f>
        <v>2</v>
      </c>
      <c r="AL60" s="283" cm="1">
        <f t="array" ref="AL60">SUM(COUNTIFS($C60:$AG60,{"0","4","5","6","7","8","9"},$C$4:$AG$4,"2"))</f>
        <v>3</v>
      </c>
      <c r="AM60" s="283" cm="1">
        <f t="array" ref="AM60">SUM(COUNTIFS($C60:$AG60,{"0","4","5","6","7","8","9"},$C$4:$AG$4,"3"))</f>
        <v>3</v>
      </c>
      <c r="AN60" s="283" cm="1">
        <f t="array" ref="AN60">SUM(COUNTIFS($C60:$AG60,{"1","2","3"}))</f>
        <v>15</v>
      </c>
      <c r="AO60" s="283" cm="1">
        <f t="array" ref="AO60">SUM(COUNTIFS($C60:$AG60,{"4","5","6"}))</f>
        <v>0</v>
      </c>
      <c r="AP60" s="283">
        <f>AJ60*'Spreadsheet Key'!$A$23 + AK60*'Spreadsheet Key'!$A$24 + AL60*'Spreadsheet Key'!$A$25 + AM60*'Spreadsheet Key'!$A$26</f>
        <v>646</v>
      </c>
      <c r="AQ60" s="283">
        <f>AI60/('APR Statistics'!$B$24)</f>
        <v>2.3547880690737835E-2</v>
      </c>
      <c r="AR60" s="283">
        <v>24</v>
      </c>
      <c r="AS60" s="283"/>
      <c r="AT60" s="283">
        <f t="shared" si="0"/>
        <v>1</v>
      </c>
      <c r="AU60" s="283">
        <f t="shared" si="1"/>
        <v>0</v>
      </c>
      <c r="AV60" s="283">
        <f t="shared" si="2"/>
        <v>0</v>
      </c>
      <c r="AW60" s="283" cm="1">
        <f t="array" ref="AW60">COUNTIFS($C60:$AG60,"9",$C$4:$AG$4,"1")+SUM(COUNTIFS($C60:$AG60,{"8","9"},$C$4:$AG$4,"2"))+COUNTIFS($C60:$AG60,"8",$C$4:$AG$4,"3")</f>
        <v>0</v>
      </c>
      <c r="AX60" s="283">
        <f t="shared" si="3"/>
        <v>0</v>
      </c>
      <c r="AY60" s="283">
        <f t="shared" si="29"/>
        <v>1</v>
      </c>
      <c r="AZ60" s="283">
        <f>AT60*'Spreadsheet Key'!$A$27+AU60*'Spreadsheet Key'!$A$28+AV60*'Spreadsheet Key'!$A$29+AW60*'Spreadsheet Key'!$A$30+AX60*'Spreadsheet Key'!$A$31</f>
        <v>10</v>
      </c>
      <c r="BA60" s="283"/>
      <c r="BB60" s="283">
        <f t="shared" si="30"/>
        <v>14</v>
      </c>
    </row>
    <row r="61" spans="1:58">
      <c r="A61" s="3208"/>
      <c r="B61" s="3208"/>
      <c r="C61" s="3181"/>
      <c r="D61" s="3182"/>
      <c r="E61" s="3182" t="s">
        <v>722</v>
      </c>
      <c r="F61" s="3181"/>
      <c r="G61" s="3181"/>
      <c r="H61" s="3181"/>
      <c r="I61" s="3181"/>
      <c r="J61" s="3181"/>
      <c r="K61" s="3181"/>
      <c r="L61" s="3181"/>
      <c r="M61" s="3181"/>
      <c r="N61" s="3181"/>
      <c r="O61" s="3181"/>
      <c r="P61" s="3181"/>
      <c r="Q61" s="3182"/>
      <c r="R61" s="3181"/>
      <c r="S61" s="3181"/>
      <c r="T61" s="3181"/>
      <c r="U61" s="3181"/>
      <c r="V61" s="3181"/>
      <c r="W61" s="3181"/>
      <c r="X61" s="3181"/>
      <c r="Y61" s="3181"/>
      <c r="Z61" s="3181"/>
      <c r="AA61" s="3181"/>
      <c r="AB61" s="3182" t="s">
        <v>722</v>
      </c>
      <c r="AC61" s="3181"/>
      <c r="AD61" s="3181"/>
      <c r="AE61" s="3181"/>
      <c r="AF61" s="3181"/>
      <c r="AG61" s="3126"/>
      <c r="AH61" s="3126"/>
      <c r="AI61" s="283" cm="1">
        <f t="array" ref="AI61">SUM(COUNTIFS($C61:$AG61,{"0","4","5","6","7","8","9"}))</f>
        <v>0</v>
      </c>
      <c r="AJ61" s="283" cm="1">
        <f t="array" ref="AJ61">SUM(COUNTIFS($C61:$AG61,{"0","4","5","6","7","8","9"},$C$4:$AG$4,"0"))</f>
        <v>0</v>
      </c>
      <c r="AK61" s="283" cm="1">
        <f t="array" ref="AK61">SUM(COUNTIFS($C61:$AG61,{"0","4","5","6","7","8","9"},$C$4:$AG$4,"1"))</f>
        <v>0</v>
      </c>
      <c r="AL61" s="283" cm="1">
        <f t="array" ref="AL61">SUM(COUNTIFS($C61:$AG61,{"0","4","5","6","7","8","9"},$C$4:$AG$4,"2"))</f>
        <v>0</v>
      </c>
      <c r="AM61" s="283" cm="1">
        <f t="array" ref="AM61">SUM(COUNTIFS($C61:$AG61,{"0","4","5","6","7","8","9"},$C$4:$AG$4,"3"))</f>
        <v>0</v>
      </c>
      <c r="AN61" s="283" cm="1">
        <f t="array" ref="AN61">SUM(COUNTIFS($C61:$AG61,{"1","2","3"}))</f>
        <v>0</v>
      </c>
      <c r="AO61" s="283" cm="1">
        <f t="array" ref="AO61">SUM(COUNTIFS($C61:$AG61,{"4","5","6"}))</f>
        <v>0</v>
      </c>
      <c r="AP61" s="283">
        <f>AJ61*'Spreadsheet Key'!$A$23 + AK61*'Spreadsheet Key'!$A$24 + AL61*'Spreadsheet Key'!$A$25 + AM61*'Spreadsheet Key'!$A$26</f>
        <v>0</v>
      </c>
      <c r="AQ61" s="283">
        <f>AI61/('APR Statistics'!$B$24)</f>
        <v>0</v>
      </c>
      <c r="AR61" s="283">
        <f>AQ61*'APR Statistics'!$C$6</f>
        <v>0</v>
      </c>
      <c r="AS61" s="283"/>
      <c r="AT61" s="283">
        <f t="shared" si="0"/>
        <v>0</v>
      </c>
      <c r="AU61" s="283">
        <f t="shared" si="1"/>
        <v>0</v>
      </c>
      <c r="AV61" s="283">
        <f t="shared" si="2"/>
        <v>0</v>
      </c>
      <c r="AW61" s="283" cm="1">
        <f t="array" ref="AW61">COUNTIFS($C61:$AG61,"9",$C$4:$AG$4,"1")+SUM(COUNTIFS($C61:$AG61,{"8","9"},$C$4:$AG$4,"2"))+COUNTIFS($C61:$AG61,"8",$C$4:$AG$4,"3")</f>
        <v>0</v>
      </c>
      <c r="AX61" s="283">
        <f t="shared" si="3"/>
        <v>0</v>
      </c>
      <c r="AY61" s="283">
        <f t="shared" si="29"/>
        <v>0</v>
      </c>
      <c r="AZ61" s="283">
        <f>AT61*'Spreadsheet Key'!$A$27+AU61*'Spreadsheet Key'!$A$28+AV61*'Spreadsheet Key'!$A$29+AW61*'Spreadsheet Key'!$A$30+AX61*'Spreadsheet Key'!$A$31</f>
        <v>0</v>
      </c>
      <c r="BA61" s="283"/>
      <c r="BB61" s="283"/>
    </row>
    <row r="62" spans="1:58" s="3211" customFormat="1">
      <c r="A62" s="3180" t="s">
        <v>602</v>
      </c>
      <c r="B62" s="3216" t="s">
        <v>660</v>
      </c>
      <c r="C62" s="3206">
        <v>0</v>
      </c>
      <c r="D62" s="3206">
        <v>0</v>
      </c>
      <c r="E62" s="3206">
        <v>9</v>
      </c>
      <c r="F62" s="3206">
        <v>0</v>
      </c>
      <c r="G62" s="3206">
        <v>0</v>
      </c>
      <c r="H62" s="3206">
        <v>0</v>
      </c>
      <c r="I62" s="3206">
        <v>0</v>
      </c>
      <c r="J62" s="3206">
        <v>0</v>
      </c>
      <c r="K62" s="3206">
        <v>0</v>
      </c>
      <c r="L62" s="3206">
        <v>0</v>
      </c>
      <c r="M62" s="3206">
        <v>0</v>
      </c>
      <c r="N62" s="3206">
        <v>0</v>
      </c>
      <c r="O62" s="3206">
        <v>0</v>
      </c>
      <c r="P62" s="3206">
        <v>0</v>
      </c>
      <c r="Q62" s="3206">
        <v>0</v>
      </c>
      <c r="R62" s="3206">
        <v>0</v>
      </c>
      <c r="S62" s="3206">
        <v>0</v>
      </c>
      <c r="T62" s="3206">
        <v>0</v>
      </c>
      <c r="U62" s="3206">
        <v>0</v>
      </c>
      <c r="V62" s="3206">
        <v>0</v>
      </c>
      <c r="W62" s="3206">
        <v>0</v>
      </c>
      <c r="X62" s="3206">
        <v>0</v>
      </c>
      <c r="Y62" s="3206">
        <v>0</v>
      </c>
      <c r="Z62" s="3206">
        <v>0</v>
      </c>
      <c r="AA62" s="3206">
        <v>0</v>
      </c>
      <c r="AB62" s="3199">
        <v>9</v>
      </c>
      <c r="AC62" s="3206">
        <v>0</v>
      </c>
      <c r="AD62" s="3206">
        <v>0</v>
      </c>
      <c r="AE62" s="3206">
        <v>0</v>
      </c>
      <c r="AF62" s="3206">
        <v>0</v>
      </c>
      <c r="AG62" s="3209"/>
      <c r="AH62" s="3209"/>
      <c r="AI62" s="283" cm="1">
        <f t="array" ref="AI62">SUM(COUNTIFS($C62:$AG62,{"0","4","5","6","7","8","9"}))</f>
        <v>30</v>
      </c>
      <c r="AJ62" s="283" cm="1">
        <f t="array" ref="AJ62">SUM(COUNTIFS($C62:$AG62,{"0","4","5","6","7","8","9"},$C$4:$AG$4,"0"))</f>
        <v>18</v>
      </c>
      <c r="AK62" s="283" cm="1">
        <f t="array" ref="AK62">SUM(COUNTIFS($C62:$AG62,{"0","4","5","6","7","8","9"},$C$4:$AG$4,"1"))</f>
        <v>4</v>
      </c>
      <c r="AL62" s="283" cm="1">
        <f t="array" ref="AL62">SUM(COUNTIFS($C62:$AG62,{"0","4","5","6","7","8","9"},$C$4:$AG$4,"2"))</f>
        <v>4</v>
      </c>
      <c r="AM62" s="283" cm="1">
        <f t="array" ref="AM62">SUM(COUNTIFS($C62:$AG62,{"0","4","5","6","7","8","9"},$C$4:$AG$4,"3"))</f>
        <v>4</v>
      </c>
      <c r="AN62" s="283" cm="1">
        <f t="array" ref="AN62">SUM(COUNTIFS($C62:$AG62,{"1","2","3"}))</f>
        <v>0</v>
      </c>
      <c r="AO62" s="283" cm="1">
        <f t="array" ref="AO62">SUM(COUNTIFS($C62:$AG62,{"4","5","6"}))</f>
        <v>0</v>
      </c>
      <c r="AP62" s="283">
        <f>AJ62*'Spreadsheet Key'!$A$23 + AK62*'Spreadsheet Key'!$A$24 + AL62*'Spreadsheet Key'!$A$25 + AM62*'Spreadsheet Key'!$A$26</f>
        <v>1124</v>
      </c>
      <c r="AQ62" s="283">
        <f>AI62/('APR Statistics'!$B$24)</f>
        <v>4.709576138147567E-2</v>
      </c>
      <c r="AR62" s="283">
        <f>AQ62*'APR Statistics'!$C$6</f>
        <v>55.290423861852439</v>
      </c>
      <c r="AS62" s="283"/>
      <c r="AT62" s="283">
        <f t="shared" si="0"/>
        <v>0</v>
      </c>
      <c r="AU62" s="283">
        <f t="shared" si="1"/>
        <v>1</v>
      </c>
      <c r="AV62" s="283">
        <f t="shared" si="2"/>
        <v>0</v>
      </c>
      <c r="AW62" s="283" cm="1">
        <f t="array" ref="AW62">COUNTIFS($C62:$AG62,"9",$C$4:$AG$4,"1")+SUM(COUNTIFS($C62:$AG62,{"8","9"},$C$4:$AG$4,"2"))+COUNTIFS($C62:$AG62,"8",$C$4:$AG$4,"3")</f>
        <v>1</v>
      </c>
      <c r="AX62" s="283">
        <f t="shared" si="3"/>
        <v>0</v>
      </c>
      <c r="AY62" s="283">
        <f t="shared" si="29"/>
        <v>2</v>
      </c>
      <c r="AZ62" s="283">
        <f>AT62*'Spreadsheet Key'!$A$27+AU62*'Spreadsheet Key'!$A$28+AV62*'Spreadsheet Key'!$A$29+AW62*'Spreadsheet Key'!$A$30+AX62*'Spreadsheet Key'!$A$31</f>
        <v>48</v>
      </c>
      <c r="BA62" s="283"/>
      <c r="BB62" s="283">
        <f t="shared" si="30"/>
        <v>7.2904238618524388</v>
      </c>
    </row>
    <row r="63" spans="1:58" ht="15.75">
      <c r="A63" s="3208"/>
      <c r="B63" s="3208"/>
      <c r="C63" s="6267" t="s">
        <v>1260</v>
      </c>
      <c r="D63" s="6267"/>
      <c r="E63" s="3183" t="s">
        <v>1025</v>
      </c>
      <c r="F63" s="3192"/>
      <c r="G63" s="3192"/>
      <c r="H63" s="3181"/>
      <c r="I63" s="3182" t="s">
        <v>722</v>
      </c>
      <c r="J63" s="3181"/>
      <c r="K63" s="3181"/>
      <c r="L63" s="3181"/>
      <c r="M63" s="3181"/>
      <c r="N63" s="3181"/>
      <c r="O63" s="3183" t="s">
        <v>1025</v>
      </c>
      <c r="P63" s="6271" t="s">
        <v>1271</v>
      </c>
      <c r="Q63" s="6271"/>
      <c r="R63" s="3183" t="s">
        <v>1025</v>
      </c>
      <c r="S63" s="6272" t="s">
        <v>312</v>
      </c>
      <c r="T63" s="6272"/>
      <c r="U63" s="3183" t="s">
        <v>1025</v>
      </c>
      <c r="V63" s="3181"/>
      <c r="W63" s="3181"/>
      <c r="X63" s="3181"/>
      <c r="Y63" s="3181"/>
      <c r="Z63" s="3181"/>
      <c r="AA63" s="3181"/>
      <c r="AB63" s="3181"/>
      <c r="AC63" s="3181"/>
      <c r="AD63" s="3181"/>
      <c r="AE63" s="3182" t="s">
        <v>720</v>
      </c>
      <c r="AF63" s="3181"/>
      <c r="AG63" s="3126"/>
      <c r="AH63" s="3126"/>
      <c r="AI63" s="283" cm="1">
        <f t="array" ref="AI63">SUM(COUNTIFS($C63:$AG63,{"0","4","5","6","7","8","9"}))</f>
        <v>0</v>
      </c>
      <c r="AJ63" s="283" cm="1">
        <f t="array" ref="AJ63">SUM(COUNTIFS($C63:$AG63,{"0","4","5","6","7","8","9"},$C$4:$AG$4,"0"))</f>
        <v>0</v>
      </c>
      <c r="AK63" s="283" cm="1">
        <f t="array" ref="AK63">SUM(COUNTIFS($C63:$AG63,{"0","4","5","6","7","8","9"},$C$4:$AG$4,"1"))</f>
        <v>0</v>
      </c>
      <c r="AL63" s="283" cm="1">
        <f t="array" ref="AL63">SUM(COUNTIFS($C63:$AG63,{"0","4","5","6","7","8","9"},$C$4:$AG$4,"2"))</f>
        <v>0</v>
      </c>
      <c r="AM63" s="283" cm="1">
        <f t="array" ref="AM63">SUM(COUNTIFS($C63:$AG63,{"0","4","5","6","7","8","9"},$C$4:$AG$4,"3"))</f>
        <v>0</v>
      </c>
      <c r="AN63" s="283" cm="1">
        <f t="array" ref="AN63">SUM(COUNTIFS($C63:$AG63,{"1","2","3"}))</f>
        <v>0</v>
      </c>
      <c r="AO63" s="283" cm="1">
        <f t="array" ref="AO63">SUM(COUNTIFS($C63:$AG63,{"4","5","6"}))</f>
        <v>0</v>
      </c>
      <c r="AP63" s="283">
        <f>AJ63*'Spreadsheet Key'!$A$23 + AK63*'Spreadsheet Key'!$A$24 + AL63*'Spreadsheet Key'!$A$25 + AM63*'Spreadsheet Key'!$A$26</f>
        <v>0</v>
      </c>
      <c r="AQ63" s="283">
        <f>AI63/('APR Statistics'!$B$24)</f>
        <v>0</v>
      </c>
      <c r="AR63" s="283">
        <f>AQ63*'APR Statistics'!$C$6</f>
        <v>0</v>
      </c>
      <c r="AS63" s="283"/>
      <c r="AT63" s="283">
        <f t="shared" si="0"/>
        <v>0</v>
      </c>
      <c r="AU63" s="283">
        <f t="shared" si="1"/>
        <v>0</v>
      </c>
      <c r="AV63" s="283">
        <f t="shared" si="2"/>
        <v>0</v>
      </c>
      <c r="AW63" s="283" cm="1">
        <f t="array" ref="AW63">COUNTIFS($C63:$AG63,"9",$C$4:$AG$4,"1")+SUM(COUNTIFS($C63:$AG63,{"8","9"},$C$4:$AG$4,"2"))+COUNTIFS($C63:$AG63,"8",$C$4:$AG$4,"3")</f>
        <v>0</v>
      </c>
      <c r="AX63" s="283">
        <f t="shared" si="3"/>
        <v>0</v>
      </c>
      <c r="AY63" s="283">
        <f t="shared" si="29"/>
        <v>0</v>
      </c>
      <c r="AZ63" s="283">
        <f>AT63*'Spreadsheet Key'!$A$27+AU63*'Spreadsheet Key'!$A$28+AV63*'Spreadsheet Key'!$A$29+AW63*'Spreadsheet Key'!$A$30+AX63*'Spreadsheet Key'!$A$31</f>
        <v>0</v>
      </c>
      <c r="BA63" s="283"/>
      <c r="BB63" s="283"/>
    </row>
    <row r="64" spans="1:58" s="3211" customFormat="1" ht="15.75">
      <c r="A64" s="3180" t="s">
        <v>81</v>
      </c>
      <c r="B64" s="3180" t="s">
        <v>396</v>
      </c>
      <c r="C64" s="3205">
        <v>2</v>
      </c>
      <c r="D64" s="3205">
        <v>2</v>
      </c>
      <c r="E64" s="3199">
        <v>3</v>
      </c>
      <c r="F64" s="3199">
        <v>0</v>
      </c>
      <c r="G64" s="3199">
        <v>0</v>
      </c>
      <c r="H64" s="3199">
        <v>0</v>
      </c>
      <c r="I64" s="3199">
        <v>9</v>
      </c>
      <c r="J64" s="3199">
        <v>0</v>
      </c>
      <c r="K64" s="3199">
        <v>0</v>
      </c>
      <c r="L64" s="3199">
        <v>0</v>
      </c>
      <c r="M64" s="3199">
        <v>0</v>
      </c>
      <c r="N64" s="3199">
        <v>0</v>
      </c>
      <c r="O64" s="3199">
        <v>1</v>
      </c>
      <c r="P64" s="3204">
        <v>2</v>
      </c>
      <c r="Q64" s="3204">
        <v>2</v>
      </c>
      <c r="R64" s="3199">
        <v>1</v>
      </c>
      <c r="S64" s="3199">
        <v>2</v>
      </c>
      <c r="T64" s="3199">
        <v>2</v>
      </c>
      <c r="U64" s="3199">
        <v>3</v>
      </c>
      <c r="V64" s="3199">
        <v>0</v>
      </c>
      <c r="W64" s="3199">
        <v>0</v>
      </c>
      <c r="X64" s="3199">
        <v>0</v>
      </c>
      <c r="Y64" s="3199">
        <v>0</v>
      </c>
      <c r="Z64" s="3199">
        <v>0</v>
      </c>
      <c r="AA64" s="3199">
        <v>0</v>
      </c>
      <c r="AB64" s="3199">
        <v>0</v>
      </c>
      <c r="AC64" s="3199">
        <v>0</v>
      </c>
      <c r="AD64" s="3199">
        <v>0</v>
      </c>
      <c r="AE64" s="3199">
        <v>8</v>
      </c>
      <c r="AF64" s="3199">
        <v>0</v>
      </c>
      <c r="AG64" s="3209"/>
      <c r="AH64" s="3209"/>
      <c r="AI64" s="283" cm="1">
        <f t="array" ref="AI64">SUM(COUNTIFS($C64:$AG64,{"0","4","5","6","7","8","9"}))</f>
        <v>20</v>
      </c>
      <c r="AJ64" s="283" cm="1">
        <f t="array" ref="AJ64">SUM(COUNTIFS($C64:$AG64,{"0","4","5","6","7","8","9"},$C$4:$AG$4,"0"))</f>
        <v>11</v>
      </c>
      <c r="AK64" s="283" cm="1">
        <f t="array" ref="AK64">SUM(COUNTIFS($C64:$AG64,{"0","4","5","6","7","8","9"},$C$4:$AG$4,"1"))</f>
        <v>3</v>
      </c>
      <c r="AL64" s="283" cm="1">
        <f t="array" ref="AL64">SUM(COUNTIFS($C64:$AG64,{"0","4","5","6","7","8","9"},$C$4:$AG$4,"2"))</f>
        <v>3</v>
      </c>
      <c r="AM64" s="283" cm="1">
        <f t="array" ref="AM64">SUM(COUNTIFS($C64:$AG64,{"0","4","5","6","7","8","9"},$C$4:$AG$4,"3"))</f>
        <v>3</v>
      </c>
      <c r="AN64" s="283" cm="1">
        <f t="array" ref="AN64">SUM(COUNTIFS($C64:$AG64,{"1","2","3"}))</f>
        <v>10</v>
      </c>
      <c r="AO64" s="283" cm="1">
        <f t="array" ref="AO64">SUM(COUNTIFS($C64:$AG64,{"4","5","6"}))</f>
        <v>0</v>
      </c>
      <c r="AP64" s="283">
        <f>AJ64*'Spreadsheet Key'!$A$23 + AK64*'Spreadsheet Key'!$A$24 + AL64*'Spreadsheet Key'!$A$25 + AM64*'Spreadsheet Key'!$A$26</f>
        <v>788</v>
      </c>
      <c r="AQ64" s="283">
        <f>AI64/('APR Statistics'!$B$24)</f>
        <v>3.1397174254317109E-2</v>
      </c>
      <c r="AR64" s="283">
        <f>AQ64*'APR Statistics'!$C$6</f>
        <v>36.860282574568288</v>
      </c>
      <c r="AS64" s="283"/>
      <c r="AT64" s="283">
        <f t="shared" si="0"/>
        <v>1</v>
      </c>
      <c r="AU64" s="283">
        <f t="shared" si="1"/>
        <v>1</v>
      </c>
      <c r="AV64" s="283">
        <f t="shared" si="2"/>
        <v>0</v>
      </c>
      <c r="AW64" s="283" cm="1">
        <f t="array" ref="AW64">COUNTIFS($C64:$AG64,"9",$C$4:$AG$4,"1")+SUM(COUNTIFS($C64:$AG64,{"8","9"},$C$4:$AG$4,"2"))+COUNTIFS($C64:$AG64,"8",$C$4:$AG$4,"3")</f>
        <v>0</v>
      </c>
      <c r="AX64" s="283">
        <f t="shared" si="3"/>
        <v>0</v>
      </c>
      <c r="AY64" s="283">
        <f t="shared" si="29"/>
        <v>2</v>
      </c>
      <c r="AZ64" s="283">
        <f>AT64*'Spreadsheet Key'!$A$27+AU64*'Spreadsheet Key'!$A$28+AV64*'Spreadsheet Key'!$A$29+AW64*'Spreadsheet Key'!$A$30+AX64*'Spreadsheet Key'!$A$31</f>
        <v>22</v>
      </c>
      <c r="BA64" s="283"/>
      <c r="BB64" s="283">
        <f t="shared" si="30"/>
        <v>14.860282574568288</v>
      </c>
    </row>
    <row r="65" spans="1:54">
      <c r="A65" s="3208"/>
      <c r="B65" s="3208"/>
      <c r="C65" s="3195"/>
      <c r="D65" s="3183" t="s">
        <v>1025</v>
      </c>
      <c r="E65" s="3181"/>
      <c r="F65" s="3184"/>
      <c r="G65" s="3184"/>
      <c r="H65" s="3185" t="s">
        <v>720</v>
      </c>
      <c r="I65" s="3184"/>
      <c r="J65" s="3184"/>
      <c r="K65" s="3185"/>
      <c r="L65" s="3184"/>
      <c r="M65" s="3184"/>
      <c r="N65" s="3181"/>
      <c r="O65" s="3181"/>
      <c r="P65" s="3181"/>
      <c r="Q65" s="3181"/>
      <c r="R65" s="3182" t="s">
        <v>720</v>
      </c>
      <c r="S65" s="3181"/>
      <c r="T65" s="3181"/>
      <c r="U65" s="3181"/>
      <c r="V65" s="3181"/>
      <c r="W65" s="3183" t="s">
        <v>1025</v>
      </c>
      <c r="X65" s="6273" t="s">
        <v>754</v>
      </c>
      <c r="Y65" s="6273"/>
      <c r="Z65" s="6273"/>
      <c r="AA65" s="3183" t="s">
        <v>1025</v>
      </c>
      <c r="AB65" s="3181"/>
      <c r="AC65" s="3181"/>
      <c r="AD65" s="3181"/>
      <c r="AE65" s="3181"/>
      <c r="AF65" s="3181"/>
      <c r="AG65" s="3126"/>
      <c r="AH65" s="3126"/>
      <c r="AI65" s="283" cm="1">
        <f t="array" ref="AI65">SUM(COUNTIFS($C65:$AG65,{"0","4","5","6","7","8","9"}))</f>
        <v>0</v>
      </c>
      <c r="AJ65" s="283" cm="1">
        <f t="array" ref="AJ65">SUM(COUNTIFS($C65:$AG65,{"0","4","5","6","7","8","9"},$C$4:$AG$4,"0"))</f>
        <v>0</v>
      </c>
      <c r="AK65" s="283" cm="1">
        <f t="array" ref="AK65">SUM(COUNTIFS($C65:$AG65,{"0","4","5","6","7","8","9"},$C$4:$AG$4,"1"))</f>
        <v>0</v>
      </c>
      <c r="AL65" s="283" cm="1">
        <f t="array" ref="AL65">SUM(COUNTIFS($C65:$AG65,{"0","4","5","6","7","8","9"},$C$4:$AG$4,"2"))</f>
        <v>0</v>
      </c>
      <c r="AM65" s="283" cm="1">
        <f t="array" ref="AM65">SUM(COUNTIFS($C65:$AG65,{"0","4","5","6","7","8","9"},$C$4:$AG$4,"3"))</f>
        <v>0</v>
      </c>
      <c r="AN65" s="283" cm="1">
        <f t="array" ref="AN65">SUM(COUNTIFS($C65:$AG65,{"1","2","3"}))</f>
        <v>0</v>
      </c>
      <c r="AO65" s="283" cm="1">
        <f t="array" ref="AO65">SUM(COUNTIFS($C65:$AG65,{"4","5","6"}))</f>
        <v>0</v>
      </c>
      <c r="AP65" s="283">
        <f>AJ65*'Spreadsheet Key'!$A$23 + AK65*'Spreadsheet Key'!$A$24 + AL65*'Spreadsheet Key'!$A$25 + AM65*'Spreadsheet Key'!$A$26</f>
        <v>0</v>
      </c>
      <c r="AQ65" s="283">
        <f>AI65/('APR Statistics'!$B$24)</f>
        <v>0</v>
      </c>
      <c r="AR65" s="283">
        <f>AQ65*'APR Statistics'!$C$6</f>
        <v>0</v>
      </c>
      <c r="AS65" s="283"/>
      <c r="AT65" s="283">
        <f t="shared" si="0"/>
        <v>0</v>
      </c>
      <c r="AU65" s="283">
        <f t="shared" si="1"/>
        <v>0</v>
      </c>
      <c r="AV65" s="283">
        <f t="shared" si="2"/>
        <v>0</v>
      </c>
      <c r="AW65" s="283" cm="1">
        <f t="array" ref="AW65">COUNTIFS($C65:$AG65,"9",$C$4:$AG$4,"1")+SUM(COUNTIFS($C65:$AG65,{"8","9"},$C$4:$AG$4,"2"))+COUNTIFS($C65:$AG65,"8",$C$4:$AG$4,"3")</f>
        <v>0</v>
      </c>
      <c r="AX65" s="283">
        <f t="shared" si="3"/>
        <v>0</v>
      </c>
      <c r="AY65" s="283">
        <f t="shared" si="29"/>
        <v>0</v>
      </c>
      <c r="AZ65" s="283">
        <f>AT65*'Spreadsheet Key'!$A$27+AU65*'Spreadsheet Key'!$A$28+AV65*'Spreadsheet Key'!$A$29+AW65*'Spreadsheet Key'!$A$30+AX65*'Spreadsheet Key'!$A$31</f>
        <v>0</v>
      </c>
      <c r="BA65" s="283"/>
      <c r="BB65" s="283"/>
    </row>
    <row r="66" spans="1:54" s="3211" customFormat="1">
      <c r="A66" s="3180" t="s">
        <v>95</v>
      </c>
      <c r="B66" s="3180" t="s">
        <v>303</v>
      </c>
      <c r="C66" s="3199">
        <v>2</v>
      </c>
      <c r="D66" s="3199">
        <v>3</v>
      </c>
      <c r="E66" s="3199">
        <v>0</v>
      </c>
      <c r="F66" s="3203">
        <v>0</v>
      </c>
      <c r="G66" s="3203">
        <v>0</v>
      </c>
      <c r="H66" s="3203">
        <v>8</v>
      </c>
      <c r="I66" s="3203">
        <v>0</v>
      </c>
      <c r="J66" s="3203">
        <v>0</v>
      </c>
      <c r="K66" s="3203">
        <v>0</v>
      </c>
      <c r="L66" s="3203">
        <v>0</v>
      </c>
      <c r="M66" s="3203">
        <v>0</v>
      </c>
      <c r="N66" s="3199">
        <v>0</v>
      </c>
      <c r="O66" s="3199">
        <v>0</v>
      </c>
      <c r="P66" s="3199">
        <v>0</v>
      </c>
      <c r="Q66" s="3199">
        <v>0</v>
      </c>
      <c r="R66" s="3199">
        <v>8</v>
      </c>
      <c r="S66" s="3199">
        <v>0</v>
      </c>
      <c r="T66" s="3199">
        <v>0</v>
      </c>
      <c r="U66" s="3199">
        <v>0</v>
      </c>
      <c r="V66" s="3199">
        <v>0</v>
      </c>
      <c r="W66" s="3199">
        <v>1</v>
      </c>
      <c r="X66" s="3199">
        <v>2</v>
      </c>
      <c r="Y66" s="3199">
        <v>2</v>
      </c>
      <c r="Z66" s="3199">
        <v>2</v>
      </c>
      <c r="AA66" s="3199">
        <v>3</v>
      </c>
      <c r="AB66" s="3199">
        <v>0</v>
      </c>
      <c r="AC66" s="3199">
        <v>0</v>
      </c>
      <c r="AD66" s="3199">
        <v>0</v>
      </c>
      <c r="AE66" s="3199">
        <v>0</v>
      </c>
      <c r="AF66" s="3199">
        <v>0</v>
      </c>
      <c r="AG66" s="3209"/>
      <c r="AH66" s="3209"/>
      <c r="AI66" s="283" cm="1">
        <f t="array" ref="AI66">SUM(COUNTIFS($C66:$AG66,{"0","4","5","6","7","8","9"}))</f>
        <v>23</v>
      </c>
      <c r="AJ66" s="283" cm="1">
        <f t="array" ref="AJ66">SUM(COUNTIFS($C66:$AG66,{"0","4","5","6","7","8","9"},$C$4:$AG$4,"0"))</f>
        <v>12</v>
      </c>
      <c r="AK66" s="283" cm="1">
        <f t="array" ref="AK66">SUM(COUNTIFS($C66:$AG66,{"0","4","5","6","7","8","9"},$C$4:$AG$4,"1"))</f>
        <v>3</v>
      </c>
      <c r="AL66" s="283" cm="1">
        <f t="array" ref="AL66">SUM(COUNTIFS($C66:$AG66,{"0","4","5","6","7","8","9"},$C$4:$AG$4,"2"))</f>
        <v>4</v>
      </c>
      <c r="AM66" s="283" cm="1">
        <f t="array" ref="AM66">SUM(COUNTIFS($C66:$AG66,{"0","4","5","6","7","8","9"},$C$4:$AG$4,"3"))</f>
        <v>4</v>
      </c>
      <c r="AN66" s="283" cm="1">
        <f t="array" ref="AN66">SUM(COUNTIFS($C66:$AG66,{"1","2","3"}))</f>
        <v>7</v>
      </c>
      <c r="AO66" s="283" cm="1">
        <f t="array" ref="AO66">SUM(COUNTIFS($C66:$AG66,{"4","5","6"}))</f>
        <v>0</v>
      </c>
      <c r="AP66" s="283">
        <f>AJ66*'Spreadsheet Key'!$A$23 + AK66*'Spreadsheet Key'!$A$24 + AL66*'Spreadsheet Key'!$A$25 + AM66*'Spreadsheet Key'!$A$26</f>
        <v>938</v>
      </c>
      <c r="AQ66" s="283">
        <f>AI66/('APR Statistics'!$B$24)</f>
        <v>3.6106750392464679E-2</v>
      </c>
      <c r="AR66" s="283">
        <f>AQ66*'APR Statistics'!$C$6</f>
        <v>42.389324960753534</v>
      </c>
      <c r="AS66" s="283"/>
      <c r="AT66" s="283">
        <f t="shared" si="0"/>
        <v>1</v>
      </c>
      <c r="AU66" s="283">
        <f t="shared" si="1"/>
        <v>0</v>
      </c>
      <c r="AV66" s="283">
        <f t="shared" si="2"/>
        <v>0</v>
      </c>
      <c r="AW66" s="283" cm="1">
        <f t="array" ref="AW66">COUNTIFS($C66:$AG66,"9",$C$4:$AG$4,"1")+SUM(COUNTIFS($C66:$AG66,{"8","9"},$C$4:$AG$4,"2"))+COUNTIFS($C66:$AG66,"8",$C$4:$AG$4,"3")</f>
        <v>1</v>
      </c>
      <c r="AX66" s="283">
        <f t="shared" si="3"/>
        <v>0</v>
      </c>
      <c r="AY66" s="283">
        <f t="shared" si="29"/>
        <v>2</v>
      </c>
      <c r="AZ66" s="283">
        <f>AT66*'Spreadsheet Key'!$A$27+AU66*'Spreadsheet Key'!$A$28+AV66*'Spreadsheet Key'!$A$29+AW66*'Spreadsheet Key'!$A$30+AX66*'Spreadsheet Key'!$A$31</f>
        <v>46</v>
      </c>
      <c r="BA66" s="283"/>
      <c r="BB66" s="283">
        <f t="shared" si="30"/>
        <v>-3.6106750392464662</v>
      </c>
    </row>
    <row r="67" spans="1:54">
      <c r="A67" s="3208"/>
      <c r="B67" s="3208"/>
      <c r="C67" s="3183" t="s">
        <v>1025</v>
      </c>
      <c r="D67" s="3181"/>
      <c r="E67" s="3181"/>
      <c r="F67" s="3182"/>
      <c r="G67" s="3182" t="s">
        <v>720</v>
      </c>
      <c r="H67" s="3181"/>
      <c r="I67" s="3181"/>
      <c r="J67" s="3181"/>
      <c r="K67" s="3181"/>
      <c r="L67" s="3182" t="s">
        <v>722</v>
      </c>
      <c r="M67" s="3181"/>
      <c r="N67" s="3181"/>
      <c r="O67" s="3181"/>
      <c r="P67" s="3183" t="s">
        <v>1025</v>
      </c>
      <c r="Q67" s="6273" t="s">
        <v>754</v>
      </c>
      <c r="R67" s="6273"/>
      <c r="S67" s="6273"/>
      <c r="T67" s="6273"/>
      <c r="U67" s="3183" t="s">
        <v>1025</v>
      </c>
      <c r="V67" s="3181"/>
      <c r="W67" s="3181"/>
      <c r="X67" s="3181"/>
      <c r="Y67" s="3183" t="s">
        <v>1025</v>
      </c>
      <c r="Z67" s="6274" t="s">
        <v>1273</v>
      </c>
      <c r="AA67" s="6275"/>
      <c r="AB67" s="6275"/>
      <c r="AC67" s="6275"/>
      <c r="AD67" s="6275"/>
      <c r="AE67" s="6275"/>
      <c r="AF67" s="6275"/>
      <c r="AG67" s="3126"/>
      <c r="AH67" s="3126"/>
      <c r="AI67" s="283" cm="1">
        <f t="array" ref="AI67">SUM(COUNTIFS($C67:$AG67,{"0","4","5","6","7","8","9"}))</f>
        <v>0</v>
      </c>
      <c r="AJ67" s="283" cm="1">
        <f t="array" ref="AJ67">SUM(COUNTIFS($C67:$AG67,{"0","4","5","6","7","8","9"},$C$4:$AG$4,"0"))</f>
        <v>0</v>
      </c>
      <c r="AK67" s="283" cm="1">
        <f t="array" ref="AK67">SUM(COUNTIFS($C67:$AG67,{"0","4","5","6","7","8","9"},$C$4:$AG$4,"1"))</f>
        <v>0</v>
      </c>
      <c r="AL67" s="283" cm="1">
        <f t="array" ref="AL67">SUM(COUNTIFS($C67:$AG67,{"0","4","5","6","7","8","9"},$C$4:$AG$4,"2"))</f>
        <v>0</v>
      </c>
      <c r="AM67" s="283" cm="1">
        <f t="array" ref="AM67">SUM(COUNTIFS($C67:$AG67,{"0","4","5","6","7","8","9"},$C$4:$AG$4,"3"))</f>
        <v>0</v>
      </c>
      <c r="AN67" s="283" cm="1">
        <f t="array" ref="AN67">SUM(COUNTIFS($C67:$AG67,{"1","2","3"}))</f>
        <v>0</v>
      </c>
      <c r="AO67" s="283" cm="1">
        <f t="array" ref="AO67">SUM(COUNTIFS($C67:$AG67,{"4","5","6"}))</f>
        <v>0</v>
      </c>
      <c r="AP67" s="283">
        <f>AJ67*'Spreadsheet Key'!$A$23 + AK67*'Spreadsheet Key'!$A$24 + AL67*'Spreadsheet Key'!$A$25 + AM67*'Spreadsheet Key'!$A$26</f>
        <v>0</v>
      </c>
      <c r="AQ67" s="283">
        <f>AI67/('APR Statistics'!$B$24)</f>
        <v>0</v>
      </c>
      <c r="AR67" s="283">
        <f>AQ67*'APR Statistics'!$C$6</f>
        <v>0</v>
      </c>
      <c r="AS67" s="283"/>
      <c r="AT67" s="283">
        <f t="shared" si="0"/>
        <v>0</v>
      </c>
      <c r="AU67" s="283">
        <f t="shared" si="1"/>
        <v>0</v>
      </c>
      <c r="AV67" s="283">
        <f t="shared" si="2"/>
        <v>0</v>
      </c>
      <c r="AW67" s="283" cm="1">
        <f t="array" ref="AW67">COUNTIFS($C67:$AG67,"9",$C$4:$AG$4,"1")+SUM(COUNTIFS($C67:$AG67,{"8","9"},$C$4:$AG$4,"2"))+COUNTIFS($C67:$AG67,"8",$C$4:$AG$4,"3")</f>
        <v>0</v>
      </c>
      <c r="AX67" s="283">
        <f t="shared" si="3"/>
        <v>0</v>
      </c>
      <c r="AY67" s="283">
        <f t="shared" si="29"/>
        <v>0</v>
      </c>
      <c r="AZ67" s="283">
        <f>AT67*'Spreadsheet Key'!$A$27+AU67*'Spreadsheet Key'!$A$28+AV67*'Spreadsheet Key'!$A$29+AW67*'Spreadsheet Key'!$A$30+AX67*'Spreadsheet Key'!$A$31</f>
        <v>0</v>
      </c>
      <c r="BA67" s="283"/>
      <c r="BB67" s="283"/>
    </row>
    <row r="68" spans="1:54" s="3211" customFormat="1">
      <c r="A68" s="3180" t="s">
        <v>155</v>
      </c>
      <c r="B68" s="3187" t="s">
        <v>532</v>
      </c>
      <c r="C68" s="3199">
        <v>3</v>
      </c>
      <c r="D68" s="3199">
        <v>0</v>
      </c>
      <c r="E68" s="3199">
        <v>0</v>
      </c>
      <c r="F68" s="3203">
        <v>0</v>
      </c>
      <c r="G68" s="3203">
        <v>8</v>
      </c>
      <c r="H68" s="3203">
        <v>0</v>
      </c>
      <c r="I68" s="3203">
        <v>0</v>
      </c>
      <c r="J68" s="3203">
        <v>0</v>
      </c>
      <c r="K68" s="3203">
        <v>0</v>
      </c>
      <c r="L68" s="3203">
        <v>9</v>
      </c>
      <c r="M68" s="3203">
        <v>0</v>
      </c>
      <c r="N68" s="3199">
        <v>0</v>
      </c>
      <c r="O68" s="3199">
        <v>0</v>
      </c>
      <c r="P68" s="3199">
        <v>1</v>
      </c>
      <c r="Q68" s="3199">
        <v>2</v>
      </c>
      <c r="R68" s="3199">
        <v>2</v>
      </c>
      <c r="S68" s="3199">
        <v>2</v>
      </c>
      <c r="T68" s="3199">
        <v>2</v>
      </c>
      <c r="U68" s="3199">
        <v>3</v>
      </c>
      <c r="V68" s="3199">
        <v>0</v>
      </c>
      <c r="W68" s="3199">
        <v>0</v>
      </c>
      <c r="X68" s="3199">
        <v>0</v>
      </c>
      <c r="Y68" s="3199">
        <v>1</v>
      </c>
      <c r="Z68" s="3199">
        <v>2</v>
      </c>
      <c r="AA68" s="3199">
        <v>2</v>
      </c>
      <c r="AB68" s="3199">
        <v>2</v>
      </c>
      <c r="AC68" s="3199">
        <v>2</v>
      </c>
      <c r="AD68" s="3199">
        <v>2</v>
      </c>
      <c r="AE68" s="3199">
        <v>2</v>
      </c>
      <c r="AF68" s="3199">
        <v>2</v>
      </c>
      <c r="AG68" s="3209"/>
      <c r="AH68" s="3209"/>
      <c r="AI68" s="283" cm="1">
        <f t="array" ref="AI68">SUM(COUNTIFS($C68:$AG68,{"0","4","5","6","7","8","9"}))</f>
        <v>15</v>
      </c>
      <c r="AJ68" s="283" cm="1">
        <f t="array" ref="AJ68">SUM(COUNTIFS($C68:$AG68,{"0","4","5","6","7","8","9"},$C$4:$AG$4,"0"))</f>
        <v>8</v>
      </c>
      <c r="AK68" s="283" cm="1">
        <f t="array" ref="AK68">SUM(COUNTIFS($C68:$AG68,{"0","4","5","6","7","8","9"},$C$4:$AG$4,"1"))</f>
        <v>2</v>
      </c>
      <c r="AL68" s="283" cm="1">
        <f t="array" ref="AL68">SUM(COUNTIFS($C68:$AG68,{"0","4","5","6","7","8","9"},$C$4:$AG$4,"2"))</f>
        <v>2</v>
      </c>
      <c r="AM68" s="283" cm="1">
        <f t="array" ref="AM68">SUM(COUNTIFS($C68:$AG68,{"0","4","5","6","7","8","9"},$C$4:$AG$4,"3"))</f>
        <v>3</v>
      </c>
      <c r="AN68" s="283" cm="1">
        <f t="array" ref="AN68">SUM(COUNTIFS($C68:$AG68,{"1","2","3"}))</f>
        <v>15</v>
      </c>
      <c r="AO68" s="283" cm="1">
        <f t="array" ref="AO68">SUM(COUNTIFS($C68:$AG68,{"4","5","6"}))</f>
        <v>0</v>
      </c>
      <c r="AP68" s="283">
        <f>AJ68*'Spreadsheet Key'!$A$23 + AK68*'Spreadsheet Key'!$A$24 + AL68*'Spreadsheet Key'!$A$25 + AM68*'Spreadsheet Key'!$A$26</f>
        <v>596</v>
      </c>
      <c r="AQ68" s="283">
        <f>AI68/('APR Statistics'!$B$24)</f>
        <v>2.3547880690737835E-2</v>
      </c>
      <c r="AR68" s="283">
        <f>AQ68*'APR Statistics'!$C$6</f>
        <v>27.645211930926219</v>
      </c>
      <c r="AS68" s="283"/>
      <c r="AT68" s="283">
        <f t="shared" si="0"/>
        <v>0</v>
      </c>
      <c r="AU68" s="283">
        <f t="shared" si="1"/>
        <v>1</v>
      </c>
      <c r="AV68" s="283">
        <f t="shared" si="2"/>
        <v>0</v>
      </c>
      <c r="AW68" s="283" cm="1">
        <f t="array" ref="AW68">COUNTIFS($C68:$AG68,"9",$C$4:$AG$4,"1")+SUM(COUNTIFS($C68:$AG68,{"8","9"},$C$4:$AG$4,"2"))+COUNTIFS($C68:$AG68,"8",$C$4:$AG$4,"3")</f>
        <v>1</v>
      </c>
      <c r="AX68" s="283">
        <f t="shared" si="3"/>
        <v>0</v>
      </c>
      <c r="AY68" s="283">
        <f t="shared" si="29"/>
        <v>2</v>
      </c>
      <c r="AZ68" s="283">
        <f>AT68*'Spreadsheet Key'!$A$27+AU68*'Spreadsheet Key'!$A$28+AV68*'Spreadsheet Key'!$A$29+AW68*'Spreadsheet Key'!$A$30+AX68*'Spreadsheet Key'!$A$31</f>
        <v>48</v>
      </c>
      <c r="BA68" s="283"/>
      <c r="BB68" s="283">
        <f t="shared" si="30"/>
        <v>-20.354788069073781</v>
      </c>
    </row>
    <row r="69" spans="1:54">
      <c r="AI69" s="283"/>
      <c r="AJ69" s="283"/>
      <c r="AK69" s="283"/>
      <c r="AL69" s="283"/>
      <c r="AM69" s="283"/>
      <c r="AN69" s="283"/>
      <c r="AO69" s="283"/>
      <c r="AP69" s="283"/>
      <c r="AQ69" s="283"/>
      <c r="AR69" s="283">
        <f>SUM(AR12:AR64)</f>
        <v>1045.1930926216642</v>
      </c>
      <c r="AS69" s="283"/>
      <c r="AT69" s="283">
        <f t="shared" ref="AT69:AX69" si="31">SUM(AT12:AT68)</f>
        <v>16</v>
      </c>
      <c r="AU69" s="283">
        <f t="shared" si="31"/>
        <v>15</v>
      </c>
      <c r="AV69" s="283">
        <f t="shared" si="31"/>
        <v>4</v>
      </c>
      <c r="AW69" s="283">
        <f t="shared" si="31"/>
        <v>14</v>
      </c>
      <c r="AX69" s="283">
        <f t="shared" si="31"/>
        <v>4</v>
      </c>
      <c r="AY69" s="283">
        <f>SUM(AY12:AY68)</f>
        <v>53</v>
      </c>
      <c r="AZ69" s="283">
        <f>SUM(AZ12:AZ68)</f>
        <v>996</v>
      </c>
      <c r="BA69" s="283"/>
      <c r="BB69" s="283"/>
    </row>
    <row r="70" spans="1:54">
      <c r="AI70" s="283"/>
      <c r="AJ70" s="283"/>
      <c r="AK70" s="283"/>
      <c r="AL70" s="283"/>
      <c r="AM70" s="283"/>
      <c r="AN70" s="283"/>
      <c r="AO70" s="283"/>
      <c r="AP70" s="283"/>
      <c r="AQ70" s="283"/>
      <c r="AR70" s="283"/>
      <c r="AS70" s="283"/>
      <c r="AT70" s="283"/>
      <c r="AU70" s="283"/>
      <c r="AV70" s="283"/>
      <c r="AW70" s="283"/>
      <c r="AX70" s="283"/>
      <c r="AY70" s="283"/>
      <c r="AZ70" s="283"/>
      <c r="BA70" s="283"/>
      <c r="BB70" s="283">
        <f>STDEV(BB12:BB60)</f>
        <v>21.057692497530471</v>
      </c>
    </row>
    <row r="71" spans="1:54">
      <c r="A71" t="s">
        <v>1151</v>
      </c>
      <c r="C71">
        <f>COUNTIF(C5:AF68,"D")</f>
        <v>30</v>
      </c>
      <c r="AQ71" s="283"/>
    </row>
    <row r="72" spans="1:54">
      <c r="A72" t="s">
        <v>1152</v>
      </c>
      <c r="C72">
        <f>COUNTIF(C5:AG68,"8")</f>
        <v>30</v>
      </c>
      <c r="AQ72" s="283"/>
    </row>
    <row r="73" spans="1:54">
      <c r="A73" t="s">
        <v>1153</v>
      </c>
      <c r="C73">
        <f>COUNTIF(C5:AG68,"N")</f>
        <v>30</v>
      </c>
      <c r="AQ73" s="283"/>
    </row>
    <row r="74" spans="1:54">
      <c r="A74" t="s">
        <v>1154</v>
      </c>
      <c r="C74">
        <f>COUNTIF(C5:AG68,"9")</f>
        <v>30</v>
      </c>
      <c r="AQ74" s="283"/>
    </row>
  </sheetData>
  <mergeCells count="59">
    <mergeCell ref="I29:O29"/>
    <mergeCell ref="A1:B1"/>
    <mergeCell ref="C1:AF1"/>
    <mergeCell ref="A2:B2"/>
    <mergeCell ref="A3:B3"/>
    <mergeCell ref="C17:D17"/>
    <mergeCell ref="C5:F5"/>
    <mergeCell ref="X5:Z5"/>
    <mergeCell ref="C7:D7"/>
    <mergeCell ref="C9:D9"/>
    <mergeCell ref="I9:M9"/>
    <mergeCell ref="G11:J11"/>
    <mergeCell ref="Q11:R11"/>
    <mergeCell ref="C13:D13"/>
    <mergeCell ref="I13:M13"/>
    <mergeCell ref="A4:B4"/>
    <mergeCell ref="Q49:R49"/>
    <mergeCell ref="V43:AD43"/>
    <mergeCell ref="Q45:R45"/>
    <mergeCell ref="W45:AF45"/>
    <mergeCell ref="P47:Q47"/>
    <mergeCell ref="Q43:R43"/>
    <mergeCell ref="C47:N47"/>
    <mergeCell ref="C33:D33"/>
    <mergeCell ref="W33:AA33"/>
    <mergeCell ref="C35:D35"/>
    <mergeCell ref="I35:O35"/>
    <mergeCell ref="G39:L39"/>
    <mergeCell ref="S47:T47"/>
    <mergeCell ref="Z35:AF35"/>
    <mergeCell ref="C41:F41"/>
    <mergeCell ref="Q41:R41"/>
    <mergeCell ref="C43:F43"/>
    <mergeCell ref="AD23:AF23"/>
    <mergeCell ref="C25:H25"/>
    <mergeCell ref="C27:D27"/>
    <mergeCell ref="AI1:BF1"/>
    <mergeCell ref="AI3:AR3"/>
    <mergeCell ref="AT3:AZ3"/>
    <mergeCell ref="X9:AC9"/>
    <mergeCell ref="X15:Z15"/>
    <mergeCell ref="C15:D15"/>
    <mergeCell ref="F21:I21"/>
    <mergeCell ref="M23:X23"/>
    <mergeCell ref="X65:Z65"/>
    <mergeCell ref="Q67:T67"/>
    <mergeCell ref="Z67:AF67"/>
    <mergeCell ref="P63:Q63"/>
    <mergeCell ref="S63:T63"/>
    <mergeCell ref="C63:D63"/>
    <mergeCell ref="Q51:R51"/>
    <mergeCell ref="Q53:R53"/>
    <mergeCell ref="X53:Z53"/>
    <mergeCell ref="C55:D55"/>
    <mergeCell ref="C59:D59"/>
    <mergeCell ref="P59:Q59"/>
    <mergeCell ref="S59:T59"/>
    <mergeCell ref="X59:Z59"/>
    <mergeCell ref="C51:D51"/>
  </mergeCells>
  <conditionalFormatting sqref="BB1:BB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69:BB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4:BB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486F0-0E8C-4B91-85E6-08C6E9664936}">
  <dimension ref="A1:BH74"/>
  <sheetViews>
    <sheetView zoomScale="80" zoomScaleNormal="80" workbookViewId="0">
      <pane xSplit="2" topLeftCell="C19" activePane="topRight" state="frozen"/>
      <selection pane="topRight"/>
    </sheetView>
  </sheetViews>
  <sheetFormatPr defaultRowHeight="15"/>
  <cols>
    <col min="1" max="1" width="7.85546875" bestFit="1" customWidth="1"/>
    <col min="2" max="2" width="12" bestFit="1" customWidth="1"/>
    <col min="35" max="35" width="9.140625" style="1"/>
    <col min="37" max="37" width="17.85546875" bestFit="1" customWidth="1"/>
    <col min="38" max="38" width="15" bestFit="1" customWidth="1"/>
    <col min="39" max="39" width="25.7109375" bestFit="1" customWidth="1"/>
    <col min="40" max="40" width="16" bestFit="1" customWidth="1"/>
    <col min="41" max="41" width="17.7109375" bestFit="1" customWidth="1"/>
    <col min="42" max="42" width="20.85546875" bestFit="1" customWidth="1"/>
    <col min="43" max="43" width="12.28515625" bestFit="1" customWidth="1"/>
    <col min="44" max="45" width="29.140625" customWidth="1"/>
    <col min="46" max="46" width="15.425781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</cols>
  <sheetData>
    <row r="1" spans="1:60">
      <c r="A1" s="6281"/>
      <c r="B1" s="6281"/>
      <c r="C1" s="6282" t="s">
        <v>1259</v>
      </c>
      <c r="D1" s="6282"/>
      <c r="E1" s="6282"/>
      <c r="F1" s="6282"/>
      <c r="G1" s="6282"/>
      <c r="H1" s="6282"/>
      <c r="I1" s="6282"/>
      <c r="J1" s="6282"/>
      <c r="K1" s="6282"/>
      <c r="L1" s="6282"/>
      <c r="M1" s="6282"/>
      <c r="N1" s="6282"/>
      <c r="O1" s="6282"/>
      <c r="P1" s="6282"/>
      <c r="Q1" s="6282"/>
      <c r="R1" s="6282"/>
      <c r="S1" s="6282"/>
      <c r="T1" s="6282"/>
      <c r="U1" s="6282"/>
      <c r="V1" s="6282"/>
      <c r="W1" s="6282"/>
      <c r="X1" s="6282"/>
      <c r="Y1" s="6282"/>
      <c r="Z1" s="6282"/>
      <c r="AA1" s="6282"/>
      <c r="AB1" s="6282"/>
      <c r="AC1" s="6282"/>
      <c r="AD1" s="6282"/>
      <c r="AE1" s="6282"/>
      <c r="AF1" s="6283"/>
      <c r="AG1" s="3126"/>
      <c r="AH1" s="3126"/>
      <c r="AI1" s="368"/>
      <c r="AJ1" s="6143" t="s">
        <v>1113</v>
      </c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  <c r="BG1" s="6143"/>
      <c r="BH1" s="6143"/>
    </row>
    <row r="2" spans="1:60">
      <c r="A2" s="6284"/>
      <c r="B2" s="6284"/>
      <c r="C2" s="3705">
        <v>1</v>
      </c>
      <c r="D2" s="3705">
        <v>2</v>
      </c>
      <c r="E2" s="3705">
        <v>3</v>
      </c>
      <c r="F2" s="3705">
        <v>4</v>
      </c>
      <c r="G2" s="3705">
        <v>5</v>
      </c>
      <c r="H2" s="3705">
        <v>6</v>
      </c>
      <c r="I2" s="3705">
        <v>7</v>
      </c>
      <c r="J2" s="3705">
        <v>8</v>
      </c>
      <c r="K2" s="3705">
        <v>9</v>
      </c>
      <c r="L2" s="3705">
        <v>10</v>
      </c>
      <c r="M2" s="3705">
        <v>11</v>
      </c>
      <c r="N2" s="3705">
        <v>12</v>
      </c>
      <c r="O2" s="3705">
        <v>13</v>
      </c>
      <c r="P2" s="3705">
        <v>14</v>
      </c>
      <c r="Q2" s="3705">
        <v>15</v>
      </c>
      <c r="R2" s="3705">
        <v>16</v>
      </c>
      <c r="S2" s="3705">
        <v>17</v>
      </c>
      <c r="T2" s="3705">
        <v>18</v>
      </c>
      <c r="U2" s="3705">
        <v>19</v>
      </c>
      <c r="V2" s="3705">
        <v>20</v>
      </c>
      <c r="W2" s="3705">
        <v>21</v>
      </c>
      <c r="X2" s="3705">
        <v>22</v>
      </c>
      <c r="Y2" s="3705">
        <v>23</v>
      </c>
      <c r="Z2" s="3705">
        <v>24</v>
      </c>
      <c r="AA2" s="3705">
        <v>25</v>
      </c>
      <c r="AB2" s="3705">
        <v>26</v>
      </c>
      <c r="AC2" s="3705">
        <v>27</v>
      </c>
      <c r="AD2" s="3705">
        <v>28</v>
      </c>
      <c r="AE2" s="3705">
        <v>29</v>
      </c>
      <c r="AF2" s="3176">
        <v>30</v>
      </c>
      <c r="AG2" s="3126"/>
      <c r="AH2" s="3126"/>
      <c r="AI2" s="368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</row>
    <row r="3" spans="1:60">
      <c r="A3" s="6285"/>
      <c r="B3" s="6285"/>
      <c r="C3" s="3177" t="s">
        <v>33</v>
      </c>
      <c r="D3" s="3177" t="s">
        <v>34</v>
      </c>
      <c r="E3" s="3706" t="s">
        <v>33</v>
      </c>
      <c r="F3" s="3706" t="s">
        <v>35</v>
      </c>
      <c r="G3" s="3178" t="s">
        <v>36</v>
      </c>
      <c r="H3" s="3178" t="s">
        <v>36</v>
      </c>
      <c r="I3" s="3177" t="s">
        <v>37</v>
      </c>
      <c r="J3" s="3177" t="s">
        <v>33</v>
      </c>
      <c r="K3" s="3706" t="s">
        <v>34</v>
      </c>
      <c r="L3" s="3706" t="s">
        <v>33</v>
      </c>
      <c r="M3" s="3706" t="s">
        <v>35</v>
      </c>
      <c r="N3" s="3178" t="s">
        <v>36</v>
      </c>
      <c r="O3" s="3178" t="s">
        <v>36</v>
      </c>
      <c r="P3" s="3177" t="s">
        <v>37</v>
      </c>
      <c r="Q3" s="3177" t="s">
        <v>33</v>
      </c>
      <c r="R3" s="3706" t="s">
        <v>34</v>
      </c>
      <c r="S3" s="3706" t="s">
        <v>33</v>
      </c>
      <c r="T3" s="2945" t="s">
        <v>35</v>
      </c>
      <c r="U3" s="3178" t="s">
        <v>36</v>
      </c>
      <c r="V3" s="3178" t="s">
        <v>36</v>
      </c>
      <c r="W3" s="3177" t="s">
        <v>37</v>
      </c>
      <c r="X3" s="3177" t="s">
        <v>33</v>
      </c>
      <c r="Y3" s="3706" t="s">
        <v>34</v>
      </c>
      <c r="Z3" s="3706" t="s">
        <v>33</v>
      </c>
      <c r="AA3" s="3706" t="s">
        <v>35</v>
      </c>
      <c r="AB3" s="3178" t="s">
        <v>36</v>
      </c>
      <c r="AC3" s="3178" t="s">
        <v>36</v>
      </c>
      <c r="AD3" s="3177" t="s">
        <v>37</v>
      </c>
      <c r="AE3" s="3177" t="s">
        <v>33</v>
      </c>
      <c r="AF3" s="3179" t="s">
        <v>34</v>
      </c>
      <c r="AG3" s="3126"/>
      <c r="AH3" s="3126"/>
      <c r="AI3" s="368"/>
      <c r="AJ3" s="6146" t="s">
        <v>1115</v>
      </c>
      <c r="AK3" s="6146"/>
      <c r="AL3" s="6146"/>
      <c r="AM3" s="6146"/>
      <c r="AN3" s="6146"/>
      <c r="AO3" s="6146"/>
      <c r="AP3" s="6146"/>
      <c r="AQ3" s="6146"/>
      <c r="AR3" s="6146"/>
      <c r="AS3" s="6146"/>
      <c r="AT3" s="6146"/>
      <c r="AU3" s="283"/>
      <c r="AV3" s="6146" t="s">
        <v>1116</v>
      </c>
      <c r="AW3" s="6146"/>
      <c r="AX3" s="6146"/>
      <c r="AY3" s="6146"/>
      <c r="AZ3" s="6146"/>
      <c r="BA3" s="6146"/>
      <c r="BB3" s="6146"/>
      <c r="BC3" s="283"/>
      <c r="BD3" s="283" t="s">
        <v>1135</v>
      </c>
      <c r="BE3" s="283"/>
      <c r="BF3" s="283"/>
      <c r="BG3" s="283"/>
      <c r="BH3" s="283"/>
    </row>
    <row r="4" spans="1:60">
      <c r="A4" s="6220" t="s">
        <v>1117</v>
      </c>
      <c r="B4" s="6220"/>
      <c r="C4" s="3155">
        <v>0</v>
      </c>
      <c r="D4" s="3155">
        <v>0</v>
      </c>
      <c r="E4" s="3155">
        <v>0</v>
      </c>
      <c r="F4" s="3155">
        <v>1</v>
      </c>
      <c r="G4" s="3155">
        <v>2</v>
      </c>
      <c r="H4" s="3217">
        <v>3</v>
      </c>
      <c r="I4" s="3155">
        <v>0</v>
      </c>
      <c r="J4" s="3155">
        <v>0</v>
      </c>
      <c r="K4" s="3155">
        <v>0</v>
      </c>
      <c r="L4" s="3155">
        <v>0</v>
      </c>
      <c r="M4" s="3155">
        <v>1</v>
      </c>
      <c r="N4" s="3155">
        <v>2</v>
      </c>
      <c r="O4" s="3155">
        <v>3</v>
      </c>
      <c r="P4" s="3155">
        <v>0</v>
      </c>
      <c r="Q4" s="3155">
        <v>0</v>
      </c>
      <c r="R4" s="3155">
        <v>0</v>
      </c>
      <c r="S4" s="3155">
        <v>1</v>
      </c>
      <c r="T4" s="3155">
        <v>2</v>
      </c>
      <c r="U4" s="3155">
        <v>2</v>
      </c>
      <c r="V4" s="3155">
        <v>3</v>
      </c>
      <c r="W4" s="3155">
        <v>0</v>
      </c>
      <c r="X4" s="3155">
        <v>0</v>
      </c>
      <c r="Y4" s="3155">
        <v>0</v>
      </c>
      <c r="Z4" s="3155">
        <v>0</v>
      </c>
      <c r="AA4" s="3155">
        <v>1</v>
      </c>
      <c r="AB4" s="3155">
        <v>2</v>
      </c>
      <c r="AC4" s="3155">
        <v>3</v>
      </c>
      <c r="AD4" s="3155">
        <v>0</v>
      </c>
      <c r="AE4" s="3155">
        <v>0</v>
      </c>
      <c r="AF4" s="3155">
        <v>0</v>
      </c>
      <c r="AG4" s="3126"/>
      <c r="AH4" s="3126"/>
      <c r="AI4" s="368" t="s">
        <v>1227</v>
      </c>
      <c r="AJ4" s="283" t="s">
        <v>1118</v>
      </c>
      <c r="AK4" s="283" t="s">
        <v>1119</v>
      </c>
      <c r="AL4" s="283" t="s">
        <v>1120</v>
      </c>
      <c r="AM4" s="283" t="s">
        <v>1121</v>
      </c>
      <c r="AN4" s="283" t="s">
        <v>1122</v>
      </c>
      <c r="AO4" s="283" t="s">
        <v>1123</v>
      </c>
      <c r="AP4" s="283" t="s">
        <v>1124</v>
      </c>
      <c r="AQ4" s="283" t="s">
        <v>1125</v>
      </c>
      <c r="AR4" s="283" t="s">
        <v>1126</v>
      </c>
      <c r="AS4" s="283" t="s">
        <v>1214</v>
      </c>
      <c r="AT4" s="283" t="s">
        <v>1127</v>
      </c>
      <c r="AU4" s="283"/>
      <c r="AV4" s="283" t="s">
        <v>1128</v>
      </c>
      <c r="AW4" s="283" t="s">
        <v>1129</v>
      </c>
      <c r="AX4" s="283" t="s">
        <v>1130</v>
      </c>
      <c r="AY4" s="283" t="s">
        <v>1131</v>
      </c>
      <c r="AZ4" s="283" t="s">
        <v>1132</v>
      </c>
      <c r="BA4" s="283" t="s">
        <v>1133</v>
      </c>
      <c r="BB4" s="283" t="s">
        <v>1134</v>
      </c>
      <c r="BC4" s="283"/>
      <c r="BD4" s="283"/>
      <c r="BE4" s="283"/>
      <c r="BF4" s="283"/>
      <c r="BG4" s="283"/>
      <c r="BH4" s="283"/>
    </row>
    <row r="5" spans="1:60">
      <c r="A5" s="3180"/>
      <c r="B5" s="3180"/>
      <c r="C5" s="6286" t="s">
        <v>482</v>
      </c>
      <c r="D5" s="6286"/>
      <c r="E5" s="6286"/>
      <c r="F5" s="6286"/>
      <c r="G5" s="3181"/>
      <c r="H5" s="3155"/>
      <c r="I5" s="3181"/>
      <c r="J5" s="3181"/>
      <c r="K5" s="3181"/>
      <c r="L5" s="3182" t="s">
        <v>720</v>
      </c>
      <c r="M5" s="3181"/>
      <c r="N5" s="3181"/>
      <c r="O5" s="3181"/>
      <c r="P5" s="3181"/>
      <c r="Q5" s="3182" t="s">
        <v>722</v>
      </c>
      <c r="R5" s="3181"/>
      <c r="S5" s="3181"/>
      <c r="T5" s="3181"/>
      <c r="U5" s="3182"/>
      <c r="V5" s="3183" t="s">
        <v>1025</v>
      </c>
      <c r="W5" s="6291" t="s">
        <v>667</v>
      </c>
      <c r="X5" s="6292"/>
      <c r="Y5" s="6293"/>
      <c r="Z5" s="3183" t="s">
        <v>1025</v>
      </c>
      <c r="AB5" s="3181"/>
      <c r="AC5" s="3181"/>
      <c r="AD5" s="3181"/>
      <c r="AE5" s="3181"/>
      <c r="AF5" s="3181"/>
      <c r="AG5" s="3126"/>
      <c r="AH5" s="3126"/>
      <c r="AI5" s="368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</row>
    <row r="6" spans="1:60" s="3202" customFormat="1">
      <c r="A6" s="3180" t="s">
        <v>561</v>
      </c>
      <c r="B6" s="3180" t="s">
        <v>718</v>
      </c>
      <c r="C6" s="3198">
        <v>1</v>
      </c>
      <c r="D6" s="3198">
        <v>2</v>
      </c>
      <c r="E6" s="3198">
        <v>2</v>
      </c>
      <c r="F6" s="3198">
        <v>3</v>
      </c>
      <c r="G6" s="3199">
        <v>0</v>
      </c>
      <c r="H6" s="3199">
        <v>0</v>
      </c>
      <c r="I6" s="3199">
        <v>0</v>
      </c>
      <c r="J6" s="3199">
        <v>0</v>
      </c>
      <c r="K6" s="3199">
        <v>0</v>
      </c>
      <c r="L6" s="3199">
        <v>8</v>
      </c>
      <c r="M6" s="3199">
        <v>0</v>
      </c>
      <c r="N6" s="3199">
        <v>0</v>
      </c>
      <c r="O6" s="3199">
        <v>0</v>
      </c>
      <c r="P6" s="3199">
        <v>0</v>
      </c>
      <c r="Q6" s="3199">
        <v>9</v>
      </c>
      <c r="R6" s="3199">
        <v>0</v>
      </c>
      <c r="S6" s="3199">
        <v>0</v>
      </c>
      <c r="T6" s="3199">
        <v>0</v>
      </c>
      <c r="U6" s="3199">
        <v>0</v>
      </c>
      <c r="V6" s="3199">
        <v>1</v>
      </c>
      <c r="W6" s="3199">
        <v>2</v>
      </c>
      <c r="X6" s="3199">
        <v>2</v>
      </c>
      <c r="Y6" s="3199">
        <v>2</v>
      </c>
      <c r="Z6" s="3199">
        <v>3</v>
      </c>
      <c r="AA6" s="3199">
        <v>0</v>
      </c>
      <c r="AB6" s="3199">
        <v>0</v>
      </c>
      <c r="AC6" s="3199">
        <v>0</v>
      </c>
      <c r="AD6" s="3199">
        <v>0</v>
      </c>
      <c r="AE6" s="3199">
        <v>0</v>
      </c>
      <c r="AF6" s="3199">
        <v>0</v>
      </c>
      <c r="AG6" s="3200"/>
      <c r="AH6" s="3200"/>
      <c r="AI6" s="3230">
        <v>0</v>
      </c>
      <c r="AJ6" s="283" cm="1">
        <f t="array" ref="AJ6">SUM(COUNTIFS($C6:$AG6,{"0","4","5","6","7","8","9"}))</f>
        <v>21</v>
      </c>
      <c r="AK6" s="283" cm="1">
        <f t="array" ref="AK6">SUM(COUNTIFS($C6:$AG6,{"0","4","5","6","7","8","9"},$C$4:$AG$4,"0"))</f>
        <v>10</v>
      </c>
      <c r="AL6" s="283" cm="1">
        <f t="array" ref="AL6">SUM(COUNTIFS($C6:$AG6,{"0","4","5","6","7","8","9"},$C$4:$AG$4,"1"))</f>
        <v>3</v>
      </c>
      <c r="AM6" s="283" cm="1">
        <f t="array" ref="AM6">SUM(COUNTIFS($C6:$AG6,{"0","4","5","6","7","8","9"},$C$4:$AG$4,"2"))</f>
        <v>5</v>
      </c>
      <c r="AN6" s="283" cm="1">
        <f t="array" ref="AN6">SUM(COUNTIFS($C6:$AG6,{"0","4","5","6","7","8","9"},$C$4:$AG$4,"3"))</f>
        <v>3</v>
      </c>
      <c r="AO6" s="283" cm="1">
        <f t="array" ref="AO6">SUM(COUNTIFS($C6:$AG6,{"1","2","3"}))</f>
        <v>9</v>
      </c>
      <c r="AP6" s="283" cm="1">
        <f t="array" ref="AP6">SUM(COUNTIFS($C6:$AG6,{"4","5","6"}))</f>
        <v>0</v>
      </c>
      <c r="AQ6" s="283">
        <f>AK6*'Spreadsheet Key'!$A$23 + AL6*'Spreadsheet Key'!$A$24 + AM6*'Spreadsheet Key'!$A$25 + AN6*'Spreadsheet Key'!$A$26</f>
        <v>910</v>
      </c>
      <c r="AR6" s="3228">
        <f>(AJ6/('APR Statistics'!$B$28))*ABS(AI6-1)</f>
        <v>4.0076335877862593E-2</v>
      </c>
      <c r="AS6" s="3231">
        <f>AT6*AI6</f>
        <v>0</v>
      </c>
      <c r="AT6" s="3229">
        <f>AR6*'APR Statistics'!$C$11</f>
        <v>38.841984732824429</v>
      </c>
      <c r="AU6" s="283"/>
      <c r="AV6" s="283">
        <f>COUNTIFS($C6:$AG6,"8",$C$4:$AG$4,"0")</f>
        <v>1</v>
      </c>
      <c r="AW6" s="283">
        <f>COUNTIFS($C6:$AG6,"9",$C$4:$AG$4,"0")</f>
        <v>1</v>
      </c>
      <c r="AX6" s="283">
        <f>COUNTIFS($C6:$AG6,"8",$C$4:$AG$4,"1")</f>
        <v>0</v>
      </c>
      <c r="AY6" s="283" cm="1">
        <f t="array" ref="AY6">COUNTIFS($C6:$AG6,"9",$C$4:$AG$4,"1")+SUM(COUNTIFS($C6:$AG6,{"8","9"},$C$4:$AG$4,"2"))+COUNTIFS($C6:$AG6,"8",$C$4:$AG$4,"3")</f>
        <v>0</v>
      </c>
      <c r="AZ6" s="283">
        <f>COUNTIFS($C6:$AG6,"9",$C$4:$AG$4,"3")</f>
        <v>0</v>
      </c>
      <c r="BA6" s="283">
        <f>SUM(AV6:AZ6)</f>
        <v>2</v>
      </c>
      <c r="BB6" s="283">
        <f>AV6*'Spreadsheet Key'!$A$27+AW6*'Spreadsheet Key'!$A$28+AX6*'Spreadsheet Key'!$A$29+AY6*'Spreadsheet Key'!$A$30+AZ6*'Spreadsheet Key'!$A$31</f>
        <v>22</v>
      </c>
      <c r="BC6" s="283"/>
      <c r="BD6" s="283">
        <f>AT6-BB6</f>
        <v>16.841984732824429</v>
      </c>
      <c r="BE6" s="3201"/>
      <c r="BF6" s="3201"/>
      <c r="BG6" s="3201"/>
      <c r="BH6" s="3201"/>
    </row>
    <row r="7" spans="1:60">
      <c r="A7" s="3197"/>
      <c r="B7" s="3197"/>
      <c r="C7" s="3181"/>
      <c r="D7" s="3181"/>
      <c r="E7" s="3181"/>
      <c r="F7" s="3181"/>
      <c r="G7" s="3181"/>
      <c r="H7" s="3181"/>
      <c r="I7" s="3181"/>
      <c r="J7" s="3182" t="s">
        <v>722</v>
      </c>
      <c r="K7" s="3181"/>
      <c r="L7" s="3010" t="s">
        <v>1025</v>
      </c>
      <c r="M7" s="6249" t="s">
        <v>1231</v>
      </c>
      <c r="N7" s="6249"/>
      <c r="O7" s="3010" t="s">
        <v>1025</v>
      </c>
      <c r="P7" s="3181"/>
      <c r="Q7" s="3181"/>
      <c r="R7" s="3181"/>
      <c r="S7" s="3181"/>
      <c r="T7" s="3181"/>
      <c r="U7" s="3181"/>
      <c r="V7" s="3182" t="s">
        <v>720</v>
      </c>
      <c r="W7" s="3181"/>
      <c r="X7" s="3181"/>
      <c r="Y7" s="3181"/>
      <c r="Z7" s="3181"/>
      <c r="AA7" s="3181"/>
      <c r="AB7" s="3181"/>
      <c r="AC7" s="3181"/>
      <c r="AD7" s="3181"/>
      <c r="AE7" s="3181"/>
      <c r="AF7" s="3218" t="s">
        <v>720</v>
      </c>
      <c r="AG7" s="3126"/>
      <c r="AH7" s="3126"/>
      <c r="AI7" s="3230"/>
      <c r="AJ7" s="283" cm="1">
        <f t="array" ref="AJ7">SUM(COUNTIFS($C7:$AG7,{"0","4","5","6","7","8","9"}))</f>
        <v>0</v>
      </c>
      <c r="AK7" s="283" cm="1">
        <f t="array" ref="AK7">SUM(COUNTIFS($C7:$AG7,{"0","4","5","6","7","8","9"},$C$4:$AG$4,"0"))</f>
        <v>0</v>
      </c>
      <c r="AL7" s="283" cm="1">
        <f t="array" ref="AL7">SUM(COUNTIFS($C7:$AG7,{"0","4","5","6","7","8","9"},$C$4:$AG$4,"1"))</f>
        <v>0</v>
      </c>
      <c r="AM7" s="283" cm="1">
        <f t="array" ref="AM7">SUM(COUNTIFS($C7:$AG7,{"0","4","5","6","7","8","9"},$C$4:$AG$4,"2"))</f>
        <v>0</v>
      </c>
      <c r="AN7" s="283" cm="1">
        <f t="array" ref="AN7">SUM(COUNTIFS($C7:$AG7,{"0","4","5","6","7","8","9"},$C$4:$AG$4,"3"))</f>
        <v>0</v>
      </c>
      <c r="AO7" s="283" cm="1">
        <f t="array" ref="AO7">SUM(COUNTIFS($C7:$AG7,{"1","2","3"}))</f>
        <v>0</v>
      </c>
      <c r="AP7" s="283" cm="1">
        <f t="array" ref="AP7">SUM(COUNTIFS($C7:$AG7,{"4","5","6"}))</f>
        <v>0</v>
      </c>
      <c r="AQ7" s="283">
        <f>AK7*'Spreadsheet Key'!$A$23 + AL7*'Spreadsheet Key'!$A$24 + AM7*'Spreadsheet Key'!$A$25 + AN7*'Spreadsheet Key'!$A$26</f>
        <v>0</v>
      </c>
      <c r="AR7" s="3228">
        <f>(AJ7/('APR Statistics'!$B$28))*ABS(AI7-1)</f>
        <v>0</v>
      </c>
      <c r="AS7" s="3231">
        <f t="shared" ref="AS7:AS66" si="0">AT7*AI7</f>
        <v>0</v>
      </c>
      <c r="AT7" s="3229">
        <f>AR7*'APR Statistics'!$C$11</f>
        <v>0</v>
      </c>
      <c r="AU7" s="283"/>
      <c r="AV7" s="283">
        <f t="shared" ref="AV7:AV66" si="1">COUNTIFS($C7:$AG7,"8",$C$4:$AG$4,"0")</f>
        <v>0</v>
      </c>
      <c r="AW7" s="283">
        <f t="shared" ref="AW7:AW66" si="2">COUNTIFS($C7:$AG7,"9",$C$4:$AG$4,"0")</f>
        <v>0</v>
      </c>
      <c r="AX7" s="283">
        <f t="shared" ref="AX7:AX66" si="3">COUNTIFS($C7:$AG7,"8",$C$4:$AG$4,"1")</f>
        <v>0</v>
      </c>
      <c r="AY7" s="283" cm="1">
        <f t="array" ref="AY7">COUNTIFS($C7:$AG7,"9",$C$4:$AG$4,"1")+SUM(COUNTIFS($C7:$AG7,{"8","9"},$C$4:$AG$4,"2"))+COUNTIFS($C7:$AG7,"8",$C$4:$AG$4,"3")</f>
        <v>0</v>
      </c>
      <c r="AZ7" s="283">
        <f t="shared" ref="AZ7:AZ66" si="4">COUNTIFS($C7:$AG7,"9",$C$4:$AG$4,"3")</f>
        <v>0</v>
      </c>
      <c r="BA7" s="283">
        <f t="shared" ref="BA7:BA66" si="5">SUM(AV7:AZ7)</f>
        <v>0</v>
      </c>
      <c r="BB7" s="283">
        <f>AV7*'Spreadsheet Key'!$A$27+AW7*'Spreadsheet Key'!$A$28+AX7*'Spreadsheet Key'!$A$29+AY7*'Spreadsheet Key'!$A$30+AZ7*'Spreadsheet Key'!$A$31</f>
        <v>0</v>
      </c>
      <c r="BC7" s="283"/>
      <c r="BD7" s="283"/>
      <c r="BE7" s="283"/>
      <c r="BF7" s="283"/>
      <c r="BG7" s="283"/>
      <c r="BH7" s="283"/>
    </row>
    <row r="8" spans="1:60" s="3211" customFormat="1">
      <c r="A8" s="3180" t="s">
        <v>326</v>
      </c>
      <c r="B8" s="3180" t="s">
        <v>327</v>
      </c>
      <c r="C8" s="3199">
        <v>0</v>
      </c>
      <c r="D8" s="3199">
        <v>0</v>
      </c>
      <c r="E8" s="3199">
        <v>0</v>
      </c>
      <c r="F8" s="3199">
        <v>0</v>
      </c>
      <c r="G8" s="3199">
        <v>0</v>
      </c>
      <c r="H8" s="3199">
        <v>0</v>
      </c>
      <c r="I8" s="3199">
        <v>0</v>
      </c>
      <c r="J8" s="3199">
        <v>9</v>
      </c>
      <c r="K8" s="3199">
        <v>0</v>
      </c>
      <c r="L8" s="3199">
        <v>1</v>
      </c>
      <c r="M8" s="3199">
        <v>2</v>
      </c>
      <c r="N8" s="3199">
        <v>2</v>
      </c>
      <c r="O8" s="3199">
        <v>3</v>
      </c>
      <c r="P8" s="3199">
        <v>0</v>
      </c>
      <c r="Q8" s="3199">
        <v>0</v>
      </c>
      <c r="R8" s="3199">
        <v>0</v>
      </c>
      <c r="S8" s="3199">
        <v>0</v>
      </c>
      <c r="T8" s="3199">
        <v>0</v>
      </c>
      <c r="U8" s="3199">
        <v>0</v>
      </c>
      <c r="V8" s="3199">
        <v>8</v>
      </c>
      <c r="W8" s="3199">
        <v>0</v>
      </c>
      <c r="X8" s="3199">
        <v>0</v>
      </c>
      <c r="Y8" s="3199">
        <v>0</v>
      </c>
      <c r="Z8" s="3199">
        <v>0</v>
      </c>
      <c r="AA8" s="3199">
        <v>0</v>
      </c>
      <c r="AB8" s="3199">
        <v>0</v>
      </c>
      <c r="AC8" s="3199">
        <v>0</v>
      </c>
      <c r="AD8" s="3199">
        <v>0</v>
      </c>
      <c r="AE8" s="3199">
        <v>0</v>
      </c>
      <c r="AF8" s="3199">
        <v>8</v>
      </c>
      <c r="AG8" s="3209"/>
      <c r="AH8" s="3209"/>
      <c r="AI8" s="3230">
        <v>0</v>
      </c>
      <c r="AJ8" s="283" cm="1">
        <f t="array" ref="AJ8">SUM(COUNTIFS($C8:$AG8,{"0","4","5","6","7","8","9"}))</f>
        <v>26</v>
      </c>
      <c r="AK8" s="283" cm="1">
        <f t="array" ref="AK8">SUM(COUNTIFS($C8:$AG8,{"0","4","5","6","7","8","9"},$C$4:$AG$4,"0"))</f>
        <v>16</v>
      </c>
      <c r="AL8" s="283" cm="1">
        <f t="array" ref="AL8">SUM(COUNTIFS($C8:$AG8,{"0","4","5","6","7","8","9"},$C$4:$AG$4,"1"))</f>
        <v>3</v>
      </c>
      <c r="AM8" s="283" cm="1">
        <f t="array" ref="AM8">SUM(COUNTIFS($C8:$AG8,{"0","4","5","6","7","8","9"},$C$4:$AG$4,"2"))</f>
        <v>4</v>
      </c>
      <c r="AN8" s="283" cm="1">
        <f t="array" ref="AN8">SUM(COUNTIFS($C8:$AG8,{"0","4","5","6","7","8","9"},$C$4:$AG$4,"3"))</f>
        <v>3</v>
      </c>
      <c r="AO8" s="283" cm="1">
        <f t="array" ref="AO8">SUM(COUNTIFS($C8:$AG8,{"1","2","3"}))</f>
        <v>4</v>
      </c>
      <c r="AP8" s="283" cm="1">
        <f t="array" ref="AP8">SUM(COUNTIFS($C8:$AG8,{"4","5","6"}))</f>
        <v>0</v>
      </c>
      <c r="AQ8" s="283">
        <f>AK8*'Spreadsheet Key'!$A$23 + AL8*'Spreadsheet Key'!$A$24 + AM8*'Spreadsheet Key'!$A$25 + AN8*'Spreadsheet Key'!$A$26</f>
        <v>970</v>
      </c>
      <c r="AR8" s="3228">
        <f>(AJ8/('APR Statistics'!$B$28))*ABS(AI8-1)</f>
        <v>4.9618320610687022E-2</v>
      </c>
      <c r="AS8" s="3231">
        <f t="shared" si="0"/>
        <v>0</v>
      </c>
      <c r="AT8" s="3229">
        <f>AR8*'APR Statistics'!$C$11</f>
        <v>48.090076335877868</v>
      </c>
      <c r="AU8" s="283"/>
      <c r="AV8" s="283">
        <f t="shared" si="1"/>
        <v>1</v>
      </c>
      <c r="AW8" s="283">
        <f t="shared" si="2"/>
        <v>1</v>
      </c>
      <c r="AX8" s="283">
        <f t="shared" si="3"/>
        <v>0</v>
      </c>
      <c r="AY8" s="283" cm="1">
        <f t="array" ref="AY8">COUNTIFS($C8:$AG8,"9",$C$4:$AG$4,"1")+SUM(COUNTIFS($C8:$AG8,{"8","9"},$C$4:$AG$4,"2"))+COUNTIFS($C8:$AG8,"8",$C$4:$AG$4,"3")</f>
        <v>1</v>
      </c>
      <c r="AZ8" s="283">
        <f t="shared" si="4"/>
        <v>0</v>
      </c>
      <c r="BA8" s="283">
        <f t="shared" si="5"/>
        <v>3</v>
      </c>
      <c r="BB8" s="283">
        <f>AV8*'Spreadsheet Key'!$A$27+AW8*'Spreadsheet Key'!$A$28+AX8*'Spreadsheet Key'!$A$29+AY8*'Spreadsheet Key'!$A$30+AZ8*'Spreadsheet Key'!$A$31</f>
        <v>58</v>
      </c>
      <c r="BC8" s="283"/>
      <c r="BD8" s="283">
        <f t="shared" ref="BD8" si="6">AT8-BB8</f>
        <v>-9.9099236641221324</v>
      </c>
      <c r="BE8" s="3210"/>
      <c r="BF8" s="3210"/>
      <c r="BG8" s="3210"/>
      <c r="BH8" s="3210"/>
    </row>
    <row r="9" spans="1:60">
      <c r="A9" s="3208"/>
      <c r="B9" s="3208"/>
      <c r="C9" s="6267" t="s">
        <v>1260</v>
      </c>
      <c r="D9" s="6267"/>
      <c r="E9" s="3183" t="s">
        <v>1025</v>
      </c>
      <c r="F9" s="3181"/>
      <c r="G9" s="3183" t="s">
        <v>1025</v>
      </c>
      <c r="H9" s="3183" t="s">
        <v>1025</v>
      </c>
      <c r="I9" s="6276" t="s">
        <v>1261</v>
      </c>
      <c r="J9" s="6277"/>
      <c r="K9" s="6277"/>
      <c r="L9" s="6277"/>
      <c r="M9" s="6277"/>
      <c r="N9" s="3183" t="s">
        <v>1025</v>
      </c>
      <c r="O9" s="3183" t="s">
        <v>1025</v>
      </c>
      <c r="P9" s="3181"/>
      <c r="Q9" s="3181"/>
      <c r="R9" s="3181"/>
      <c r="S9" s="3181"/>
      <c r="T9" s="3181"/>
      <c r="U9" s="3182" t="s">
        <v>720</v>
      </c>
      <c r="V9" s="3181"/>
      <c r="W9" s="3181"/>
      <c r="X9" s="6276" t="s">
        <v>1262</v>
      </c>
      <c r="Y9" s="6276"/>
      <c r="Z9" s="6276"/>
      <c r="AA9" s="6276"/>
      <c r="AB9" s="6276"/>
      <c r="AC9" s="6276"/>
      <c r="AD9" s="3181"/>
      <c r="AE9" s="3182" t="s">
        <v>722</v>
      </c>
      <c r="AF9" s="3181"/>
      <c r="AG9" s="3126"/>
      <c r="AH9" s="3126"/>
      <c r="AI9" s="3230"/>
      <c r="AJ9" s="283" cm="1">
        <f t="array" ref="AJ9">SUM(COUNTIFS($C9:$AG9,{"0","4","5","6","7","8","9"}))</f>
        <v>0</v>
      </c>
      <c r="AK9" s="283" cm="1">
        <f t="array" ref="AK9">SUM(COUNTIFS($C9:$AG9,{"0","4","5","6","7","8","9"},$C$4:$AG$4,"0"))</f>
        <v>0</v>
      </c>
      <c r="AL9" s="283" cm="1">
        <f t="array" ref="AL9">SUM(COUNTIFS($C9:$AG9,{"0","4","5","6","7","8","9"},$C$4:$AG$4,"1"))</f>
        <v>0</v>
      </c>
      <c r="AM9" s="283" cm="1">
        <f t="array" ref="AM9">SUM(COUNTIFS($C9:$AG9,{"0","4","5","6","7","8","9"},$C$4:$AG$4,"2"))</f>
        <v>0</v>
      </c>
      <c r="AN9" s="283" cm="1">
        <f t="array" ref="AN9">SUM(COUNTIFS($C9:$AG9,{"0","4","5","6","7","8","9"},$C$4:$AG$4,"3"))</f>
        <v>0</v>
      </c>
      <c r="AO9" s="283" cm="1">
        <f t="array" ref="AO9">SUM(COUNTIFS($C9:$AG9,{"1","2","3"}))</f>
        <v>0</v>
      </c>
      <c r="AP9" s="283" cm="1">
        <f t="array" ref="AP9">SUM(COUNTIFS($C9:$AG9,{"4","5","6"}))</f>
        <v>0</v>
      </c>
      <c r="AQ9" s="283">
        <f>AK9*'Spreadsheet Key'!$A$23 + AL9*'Spreadsheet Key'!$A$24 + AM9*'Spreadsheet Key'!$A$25 + AN9*'Spreadsheet Key'!$A$26</f>
        <v>0</v>
      </c>
      <c r="AR9" s="3228">
        <f>(AJ9/('APR Statistics'!$B$28))*ABS(AI9-1)</f>
        <v>0</v>
      </c>
      <c r="AS9" s="3231">
        <f t="shared" si="0"/>
        <v>0</v>
      </c>
      <c r="AT9" s="3229">
        <f>AR9*'APR Statistics'!$C$11</f>
        <v>0</v>
      </c>
      <c r="AU9" s="283"/>
      <c r="AV9" s="283">
        <f t="shared" si="1"/>
        <v>0</v>
      </c>
      <c r="AW9" s="283">
        <f t="shared" si="2"/>
        <v>0</v>
      </c>
      <c r="AX9" s="283">
        <f t="shared" si="3"/>
        <v>0</v>
      </c>
      <c r="AY9" s="283" cm="1">
        <f t="array" ref="AY9">COUNTIFS($C9:$AG9,"9",$C$4:$AG$4,"1")+SUM(COUNTIFS($C9:$AG9,{"8","9"},$C$4:$AG$4,"2"))+COUNTIFS($C9:$AG9,"8",$C$4:$AG$4,"3")</f>
        <v>0</v>
      </c>
      <c r="AZ9" s="283">
        <f t="shared" si="4"/>
        <v>0</v>
      </c>
      <c r="BA9" s="283">
        <f t="shared" si="5"/>
        <v>0</v>
      </c>
      <c r="BB9" s="283">
        <f>AV9*'Spreadsheet Key'!$A$27+AW9*'Spreadsheet Key'!$A$28+AX9*'Spreadsheet Key'!$A$29+AY9*'Spreadsheet Key'!$A$30+AZ9*'Spreadsheet Key'!$A$31</f>
        <v>0</v>
      </c>
      <c r="BC9" s="283"/>
      <c r="BD9" s="283"/>
      <c r="BE9" s="283"/>
      <c r="BF9" s="283"/>
      <c r="BG9" s="283"/>
      <c r="BH9" s="283"/>
    </row>
    <row r="10" spans="1:60" s="3211" customFormat="1">
      <c r="A10" s="3180" t="s">
        <v>606</v>
      </c>
      <c r="B10" s="3180" t="s">
        <v>98</v>
      </c>
      <c r="C10" s="3199">
        <v>2</v>
      </c>
      <c r="D10" s="3199">
        <v>2</v>
      </c>
      <c r="E10" s="3199">
        <v>3</v>
      </c>
      <c r="F10" s="3199">
        <v>0</v>
      </c>
      <c r="G10" s="3199">
        <v>1</v>
      </c>
      <c r="H10" s="3199">
        <v>1</v>
      </c>
      <c r="I10" s="3199">
        <v>2</v>
      </c>
      <c r="J10" s="3199">
        <v>2</v>
      </c>
      <c r="K10" s="3199">
        <v>2</v>
      </c>
      <c r="L10" s="3199">
        <v>2</v>
      </c>
      <c r="M10" s="3199">
        <v>2</v>
      </c>
      <c r="N10" s="3199">
        <v>3</v>
      </c>
      <c r="O10" s="3199">
        <v>3</v>
      </c>
      <c r="P10" s="3199">
        <v>0</v>
      </c>
      <c r="Q10" s="3199">
        <v>0</v>
      </c>
      <c r="R10" s="3199">
        <v>0</v>
      </c>
      <c r="S10" s="3199">
        <v>0</v>
      </c>
      <c r="T10" s="3199">
        <v>0</v>
      </c>
      <c r="U10" s="3199">
        <v>8</v>
      </c>
      <c r="V10" s="3199">
        <v>0</v>
      </c>
      <c r="W10" s="3199">
        <v>0</v>
      </c>
      <c r="X10" s="3199">
        <v>1</v>
      </c>
      <c r="Y10" s="3199">
        <v>2</v>
      </c>
      <c r="Z10" s="3199">
        <v>2</v>
      </c>
      <c r="AA10" s="3199">
        <v>2</v>
      </c>
      <c r="AB10" s="3199">
        <v>2</v>
      </c>
      <c r="AC10" s="3199">
        <v>3</v>
      </c>
      <c r="AD10" s="3199">
        <v>0</v>
      </c>
      <c r="AE10" s="3199">
        <v>9</v>
      </c>
      <c r="AF10" s="3199">
        <v>0</v>
      </c>
      <c r="AG10" s="3209"/>
      <c r="AH10" s="3209"/>
      <c r="AI10" s="3230">
        <v>0</v>
      </c>
      <c r="AJ10" s="283" cm="1">
        <f t="array" ref="AJ10">SUM(COUNTIFS($C10:$AG10,{"0","4","5","6","7","8","9"}))</f>
        <v>12</v>
      </c>
      <c r="AK10" s="283" cm="1">
        <f t="array" ref="AK10">SUM(COUNTIFS($C10:$AG10,{"0","4","5","6","7","8","9"},$C$4:$AG$4,"0"))</f>
        <v>7</v>
      </c>
      <c r="AL10" s="283" cm="1">
        <f t="array" ref="AL10">SUM(COUNTIFS($C10:$AG10,{"0","4","5","6","7","8","9"},$C$4:$AG$4,"1"))</f>
        <v>2</v>
      </c>
      <c r="AM10" s="283" cm="1">
        <f t="array" ref="AM10">SUM(COUNTIFS($C10:$AG10,{"0","4","5","6","7","8","9"},$C$4:$AG$4,"2"))</f>
        <v>2</v>
      </c>
      <c r="AN10" s="283" cm="1">
        <f t="array" ref="AN10">SUM(COUNTIFS($C10:$AG10,{"0","4","5","6","7","8","9"},$C$4:$AG$4,"3"))</f>
        <v>1</v>
      </c>
      <c r="AO10" s="283" cm="1">
        <f t="array" ref="AO10">SUM(COUNTIFS($C10:$AG10,{"1","2","3"}))</f>
        <v>18</v>
      </c>
      <c r="AP10" s="283" cm="1">
        <f t="array" ref="AP10">SUM(COUNTIFS($C10:$AG10,{"4","5","6"}))</f>
        <v>0</v>
      </c>
      <c r="AQ10" s="283">
        <f>AK10*'Spreadsheet Key'!$A$23 + AL10*'Spreadsheet Key'!$A$24 + AM10*'Spreadsheet Key'!$A$25 + AN10*'Spreadsheet Key'!$A$26</f>
        <v>462</v>
      </c>
      <c r="AR10" s="3228">
        <f>(AJ10/('APR Statistics'!$B$28))*ABS(AI10-1)</f>
        <v>2.2900763358778626E-2</v>
      </c>
      <c r="AS10" s="3231">
        <f t="shared" si="0"/>
        <v>0</v>
      </c>
      <c r="AT10" s="3229">
        <f>AR10*'APR Statistics'!$C$11</f>
        <v>22.195419847328246</v>
      </c>
      <c r="AU10" s="283"/>
      <c r="AV10" s="283">
        <f t="shared" si="1"/>
        <v>0</v>
      </c>
      <c r="AW10" s="283">
        <f t="shared" si="2"/>
        <v>1</v>
      </c>
      <c r="AX10" s="283">
        <f t="shared" si="3"/>
        <v>0</v>
      </c>
      <c r="AY10" s="283" cm="1">
        <f t="array" ref="AY10">COUNTIFS($C10:$AG10,"9",$C$4:$AG$4,"1")+SUM(COUNTIFS($C10:$AG10,{"8","9"},$C$4:$AG$4,"2"))+COUNTIFS($C10:$AG10,"8",$C$4:$AG$4,"3")</f>
        <v>1</v>
      </c>
      <c r="AZ10" s="283">
        <f t="shared" si="4"/>
        <v>0</v>
      </c>
      <c r="BA10" s="283">
        <f t="shared" si="5"/>
        <v>2</v>
      </c>
      <c r="BB10" s="283">
        <f>AV10*'Spreadsheet Key'!$A$27+AW10*'Spreadsheet Key'!$A$28+AX10*'Spreadsheet Key'!$A$29+AY10*'Spreadsheet Key'!$A$30+AZ10*'Spreadsheet Key'!$A$31</f>
        <v>48</v>
      </c>
      <c r="BC10" s="283"/>
      <c r="BD10" s="283">
        <f t="shared" ref="BD10" si="7">AT10-BB10</f>
        <v>-25.804580152671754</v>
      </c>
      <c r="BE10" s="3210"/>
      <c r="BF10" s="3210"/>
      <c r="BG10" s="3210"/>
      <c r="BH10" s="3210"/>
    </row>
    <row r="11" spans="1:60">
      <c r="A11" s="3208"/>
      <c r="B11" s="3208"/>
      <c r="C11" s="3184"/>
      <c r="D11" s="3185"/>
      <c r="E11" s="3184"/>
      <c r="F11" s="3186"/>
      <c r="G11" s="6276" t="s">
        <v>112</v>
      </c>
      <c r="H11" s="6276"/>
      <c r="I11" s="6276"/>
      <c r="J11" s="6276"/>
      <c r="K11" s="3181"/>
      <c r="L11" s="3182"/>
      <c r="M11" s="3181"/>
      <c r="N11" s="3181"/>
      <c r="O11" s="3181"/>
      <c r="P11" s="3181"/>
      <c r="Q11" s="6268" t="s">
        <v>1263</v>
      </c>
      <c r="R11" s="6268"/>
      <c r="S11" s="3182"/>
      <c r="T11" s="3181"/>
      <c r="U11" s="3181"/>
      <c r="V11" s="3181"/>
      <c r="W11" s="3181"/>
      <c r="X11" s="3181"/>
      <c r="Y11" s="3181"/>
      <c r="Z11" s="3182" t="s">
        <v>720</v>
      </c>
      <c r="AA11" s="3181"/>
      <c r="AB11" s="3181"/>
      <c r="AC11" s="3181"/>
      <c r="AD11" s="3181"/>
      <c r="AE11" s="3181"/>
      <c r="AF11" s="3181"/>
      <c r="AG11" s="3126"/>
      <c r="AH11" s="3126"/>
      <c r="AI11" s="3230"/>
      <c r="AJ11" s="283" cm="1">
        <f t="array" ref="AJ11">SUM(COUNTIFS($C11:$AG11,{"0","4","5","6","7","8","9"}))</f>
        <v>0</v>
      </c>
      <c r="AK11" s="283" cm="1">
        <f t="array" ref="AK11">SUM(COUNTIFS($C11:$AG11,{"0","4","5","6","7","8","9"},$C$4:$AG$4,"0"))</f>
        <v>0</v>
      </c>
      <c r="AL11" s="283" cm="1">
        <f t="array" ref="AL11">SUM(COUNTIFS($C11:$AG11,{"0","4","5","6","7","8","9"},$C$4:$AG$4,"1"))</f>
        <v>0</v>
      </c>
      <c r="AM11" s="283" cm="1">
        <f t="array" ref="AM11">SUM(COUNTIFS($C11:$AG11,{"0","4","5","6","7","8","9"},$C$4:$AG$4,"2"))</f>
        <v>0</v>
      </c>
      <c r="AN11" s="283" cm="1">
        <f t="array" ref="AN11">SUM(COUNTIFS($C11:$AG11,{"0","4","5","6","7","8","9"},$C$4:$AG$4,"3"))</f>
        <v>0</v>
      </c>
      <c r="AO11" s="283" cm="1">
        <f t="array" ref="AO11">SUM(COUNTIFS($C11:$AG11,{"1","2","3"}))</f>
        <v>0</v>
      </c>
      <c r="AP11" s="283" cm="1">
        <f t="array" ref="AP11">SUM(COUNTIFS($C11:$AG11,{"4","5","6"}))</f>
        <v>0</v>
      </c>
      <c r="AQ11" s="283">
        <f>AK11*'Spreadsheet Key'!$A$23 + AL11*'Spreadsheet Key'!$A$24 + AM11*'Spreadsheet Key'!$A$25 + AN11*'Spreadsheet Key'!$A$26</f>
        <v>0</v>
      </c>
      <c r="AR11" s="3228">
        <f>(AJ11/('APR Statistics'!$B$28))*ABS(AI11-1)</f>
        <v>0</v>
      </c>
      <c r="AS11" s="3231">
        <f t="shared" si="0"/>
        <v>0</v>
      </c>
      <c r="AT11" s="3229">
        <f>AR11*'APR Statistics'!$C$11</f>
        <v>0</v>
      </c>
      <c r="AU11" s="283"/>
      <c r="AV11" s="283">
        <f t="shared" si="1"/>
        <v>0</v>
      </c>
      <c r="AW11" s="283">
        <f t="shared" si="2"/>
        <v>0</v>
      </c>
      <c r="AX11" s="283">
        <f t="shared" si="3"/>
        <v>0</v>
      </c>
      <c r="AY11" s="283" cm="1">
        <f t="array" ref="AY11">COUNTIFS($C11:$AG11,"9",$C$4:$AG$4,"1")+SUM(COUNTIFS($C11:$AG11,{"8","9"},$C$4:$AG$4,"2"))+COUNTIFS($C11:$AG11,"8",$C$4:$AG$4,"3")</f>
        <v>0</v>
      </c>
      <c r="AZ11" s="283">
        <f t="shared" si="4"/>
        <v>0</v>
      </c>
      <c r="BA11" s="283">
        <f t="shared" si="5"/>
        <v>0</v>
      </c>
      <c r="BB11" s="283">
        <f>AV11*'Spreadsheet Key'!$A$27+AW11*'Spreadsheet Key'!$A$28+AX11*'Spreadsheet Key'!$A$29+AY11*'Spreadsheet Key'!$A$30+AZ11*'Spreadsheet Key'!$A$31</f>
        <v>0</v>
      </c>
      <c r="BC11" s="283"/>
      <c r="BD11" s="283"/>
      <c r="BE11" s="283"/>
      <c r="BF11" s="283"/>
      <c r="BG11" s="283"/>
      <c r="BH11" s="283"/>
    </row>
    <row r="12" spans="1:60" s="3211" customFormat="1">
      <c r="A12" s="3180" t="s">
        <v>100</v>
      </c>
      <c r="B12" s="3180" t="s">
        <v>725</v>
      </c>
      <c r="C12" s="3203">
        <v>0</v>
      </c>
      <c r="D12" s="3203">
        <v>0</v>
      </c>
      <c r="E12" s="3203">
        <v>0</v>
      </c>
      <c r="F12" s="3199">
        <v>0</v>
      </c>
      <c r="G12" s="3199">
        <v>1</v>
      </c>
      <c r="H12" s="3199">
        <v>2</v>
      </c>
      <c r="I12" s="3199">
        <v>2</v>
      </c>
      <c r="J12" s="3199">
        <v>3</v>
      </c>
      <c r="K12" s="3199">
        <v>0</v>
      </c>
      <c r="L12" s="3199">
        <v>0</v>
      </c>
      <c r="M12" s="3199">
        <v>0</v>
      </c>
      <c r="N12" s="3199">
        <v>0</v>
      </c>
      <c r="O12" s="3199">
        <v>0</v>
      </c>
      <c r="P12" s="3199">
        <v>0</v>
      </c>
      <c r="Q12" s="3199">
        <v>7</v>
      </c>
      <c r="R12" s="3199">
        <v>7</v>
      </c>
      <c r="S12" s="3199">
        <v>0</v>
      </c>
      <c r="T12" s="3199">
        <v>0</v>
      </c>
      <c r="U12" s="3199">
        <v>0</v>
      </c>
      <c r="V12" s="3199">
        <v>0</v>
      </c>
      <c r="W12" s="3199">
        <v>0</v>
      </c>
      <c r="X12" s="3199">
        <v>0</v>
      </c>
      <c r="Y12" s="3199">
        <v>0</v>
      </c>
      <c r="Z12" s="3199">
        <v>8</v>
      </c>
      <c r="AA12" s="3199">
        <v>0</v>
      </c>
      <c r="AB12" s="3199">
        <v>0</v>
      </c>
      <c r="AC12" s="3199">
        <v>0</v>
      </c>
      <c r="AD12" s="3199">
        <v>0</v>
      </c>
      <c r="AE12" s="3199">
        <v>0</v>
      </c>
      <c r="AF12" s="3199">
        <v>0</v>
      </c>
      <c r="AG12" s="3209"/>
      <c r="AH12" s="3209"/>
      <c r="AI12" s="3230">
        <v>1</v>
      </c>
      <c r="AJ12" s="283" cm="1">
        <f t="array" ref="AJ12">SUM(COUNTIFS($C12:$AG12,{"0","4","5","6","7","8","9"}))</f>
        <v>26</v>
      </c>
      <c r="AK12" s="283" cm="1">
        <f t="array" ref="AK12">SUM(COUNTIFS($C12:$AG12,{"0","4","5","6","7","8","9"},$C$4:$AG$4,"0"))</f>
        <v>15</v>
      </c>
      <c r="AL12" s="283" cm="1">
        <f t="array" ref="AL12">SUM(COUNTIFS($C12:$AG12,{"0","4","5","6","7","8","9"},$C$4:$AG$4,"1"))</f>
        <v>4</v>
      </c>
      <c r="AM12" s="283" cm="1">
        <f t="array" ref="AM12">SUM(COUNTIFS($C12:$AG12,{"0","4","5","6","7","8","9"},$C$4:$AG$4,"2"))</f>
        <v>4</v>
      </c>
      <c r="AN12" s="283" cm="1">
        <f t="array" ref="AN12">SUM(COUNTIFS($C12:$AG12,{"0","4","5","6","7","8","9"},$C$4:$AG$4,"3"))</f>
        <v>3</v>
      </c>
      <c r="AO12" s="283" cm="1">
        <f t="array" ref="AO12">SUM(COUNTIFS($C12:$AG12,{"1","2","3"}))</f>
        <v>4</v>
      </c>
      <c r="AP12" s="283" cm="1">
        <f t="array" ref="AP12">SUM(COUNTIFS($C12:$AG12,{"4","5","6"}))</f>
        <v>0</v>
      </c>
      <c r="AQ12" s="283">
        <f>AK12*'Spreadsheet Key'!$A$23 + AL12*'Spreadsheet Key'!$A$24 + AM12*'Spreadsheet Key'!$A$25 + AN12*'Spreadsheet Key'!$A$26</f>
        <v>1002</v>
      </c>
      <c r="AR12" s="3228">
        <f>(AJ12/('APR Statistics'!$B$28))*ABS(AI12-1)</f>
        <v>0</v>
      </c>
      <c r="AS12" s="3231">
        <f>AT12*AI12</f>
        <v>15.600000000000001</v>
      </c>
      <c r="AT12" s="3229">
        <f>(AJ12/'APR Statistics'!$B$6)*'Spreadsheet Key'!$A$33</f>
        <v>15.600000000000001</v>
      </c>
      <c r="AU12" s="283"/>
      <c r="AV12" s="283">
        <f t="shared" si="1"/>
        <v>1</v>
      </c>
      <c r="AW12" s="283">
        <f t="shared" si="2"/>
        <v>0</v>
      </c>
      <c r="AX12" s="283">
        <f t="shared" si="3"/>
        <v>0</v>
      </c>
      <c r="AY12" s="283" cm="1">
        <f t="array" ref="AY12">COUNTIFS($C12:$AG12,"9",$C$4:$AG$4,"1")+SUM(COUNTIFS($C12:$AG12,{"8","9"},$C$4:$AG$4,"2"))+COUNTIFS($C12:$AG12,"8",$C$4:$AG$4,"3")</f>
        <v>0</v>
      </c>
      <c r="AZ12" s="283">
        <f t="shared" si="4"/>
        <v>0</v>
      </c>
      <c r="BA12" s="283">
        <f t="shared" si="5"/>
        <v>1</v>
      </c>
      <c r="BB12" s="283">
        <f>AV12*'Spreadsheet Key'!$A$27+AW12*'Spreadsheet Key'!$A$28+AX12*'Spreadsheet Key'!$A$29+AY12*'Spreadsheet Key'!$A$30+AZ12*'Spreadsheet Key'!$A$31</f>
        <v>10</v>
      </c>
      <c r="BC12" s="283"/>
      <c r="BD12" s="283">
        <f t="shared" ref="BD12" si="8">AT12-BB12</f>
        <v>5.6000000000000014</v>
      </c>
      <c r="BE12" s="3210"/>
      <c r="BF12" s="3210"/>
      <c r="BG12" s="3210"/>
      <c r="BH12" s="3210"/>
    </row>
    <row r="13" spans="1:60">
      <c r="A13" s="3208"/>
      <c r="B13" s="3208"/>
      <c r="C13" s="6267" t="s">
        <v>1260</v>
      </c>
      <c r="D13" s="6267"/>
      <c r="E13" s="3183" t="s">
        <v>1025</v>
      </c>
      <c r="F13" s="3181"/>
      <c r="G13" s="3181"/>
      <c r="H13" s="3183" t="s">
        <v>1025</v>
      </c>
      <c r="I13" s="6287" t="s">
        <v>1264</v>
      </c>
      <c r="J13" s="6287"/>
      <c r="K13" s="6287"/>
      <c r="L13" s="6287"/>
      <c r="M13" s="6287"/>
      <c r="N13" s="3183" t="s">
        <v>1025</v>
      </c>
      <c r="O13" s="3181"/>
      <c r="P13" s="3181"/>
      <c r="Q13" s="3181"/>
      <c r="R13" s="3184"/>
      <c r="S13" s="3181"/>
      <c r="T13" s="3182" t="s">
        <v>722</v>
      </c>
      <c r="U13" s="3181"/>
      <c r="V13" s="3181"/>
      <c r="W13" s="3181"/>
      <c r="X13" s="3181"/>
      <c r="Y13" s="3182" t="s">
        <v>720</v>
      </c>
      <c r="Z13" s="3181"/>
      <c r="AA13" s="3181"/>
      <c r="AB13" s="3181"/>
      <c r="AC13" s="3181"/>
      <c r="AD13" s="3181"/>
      <c r="AE13" s="3181"/>
      <c r="AF13" s="3181"/>
      <c r="AG13" s="3126"/>
      <c r="AH13" s="3126"/>
      <c r="AI13" s="3230"/>
      <c r="AJ13" s="283" cm="1">
        <f t="array" ref="AJ13">SUM(COUNTIFS($C13:$AG13,{"0","4","5","6","7","8","9"}))</f>
        <v>0</v>
      </c>
      <c r="AK13" s="283" cm="1">
        <f t="array" ref="AK13">SUM(COUNTIFS($C13:$AG13,{"0","4","5","6","7","8","9"},$C$4:$AG$4,"0"))</f>
        <v>0</v>
      </c>
      <c r="AL13" s="283" cm="1">
        <f t="array" ref="AL13">SUM(COUNTIFS($C13:$AG13,{"0","4","5","6","7","8","9"},$C$4:$AG$4,"1"))</f>
        <v>0</v>
      </c>
      <c r="AM13" s="283" cm="1">
        <f t="array" ref="AM13">SUM(COUNTIFS($C13:$AG13,{"0","4","5","6","7","8","9"},$C$4:$AG$4,"2"))</f>
        <v>0</v>
      </c>
      <c r="AN13" s="283" cm="1">
        <f t="array" ref="AN13">SUM(COUNTIFS($C13:$AG13,{"0","4","5","6","7","8","9"},$C$4:$AG$4,"3"))</f>
        <v>0</v>
      </c>
      <c r="AO13" s="283" cm="1">
        <f t="array" ref="AO13">SUM(COUNTIFS($C13:$AG13,{"1","2","3"}))</f>
        <v>0</v>
      </c>
      <c r="AP13" s="283" cm="1">
        <f t="array" ref="AP13">SUM(COUNTIFS($C13:$AG13,{"4","5","6"}))</f>
        <v>0</v>
      </c>
      <c r="AQ13" s="283">
        <f>AK13*'Spreadsheet Key'!$A$23 + AL13*'Spreadsheet Key'!$A$24 + AM13*'Spreadsheet Key'!$A$25 + AN13*'Spreadsheet Key'!$A$26</f>
        <v>0</v>
      </c>
      <c r="AR13" s="3228">
        <f>(AJ13/('APR Statistics'!$B$28))*ABS(AI13-1)</f>
        <v>0</v>
      </c>
      <c r="AS13" s="3231">
        <f t="shared" ref="AS13:AS72" si="9">AT13*AI13</f>
        <v>0</v>
      </c>
      <c r="AT13" s="3229">
        <f>AR13*'APR Statistics'!$C$6</f>
        <v>0</v>
      </c>
      <c r="AU13" s="283"/>
      <c r="AV13" s="283">
        <f t="shared" si="1"/>
        <v>0</v>
      </c>
      <c r="AW13" s="283">
        <f t="shared" si="2"/>
        <v>0</v>
      </c>
      <c r="AX13" s="283">
        <f t="shared" si="3"/>
        <v>0</v>
      </c>
      <c r="AY13" s="283" cm="1">
        <f t="array" ref="AY13">COUNTIFS($C13:$AG13,"9",$C$4:$AG$4,"1")+SUM(COUNTIFS($C13:$AG13,{"8","9"},$C$4:$AG$4,"2"))+COUNTIFS($C13:$AG13,"8",$C$4:$AG$4,"3")</f>
        <v>0</v>
      </c>
      <c r="AZ13" s="283">
        <f t="shared" si="4"/>
        <v>0</v>
      </c>
      <c r="BA13" s="283">
        <f t="shared" si="5"/>
        <v>0</v>
      </c>
      <c r="BB13" s="283">
        <f>AV13*'Spreadsheet Key'!$A$27+AW13*'Spreadsheet Key'!$A$28+AX13*'Spreadsheet Key'!$A$29+AY13*'Spreadsheet Key'!$A$30+AZ13*'Spreadsheet Key'!$A$31</f>
        <v>0</v>
      </c>
      <c r="BC13" s="283"/>
      <c r="BD13" s="283"/>
      <c r="BE13" s="3139"/>
      <c r="BF13" s="3139"/>
      <c r="BG13" s="3139"/>
      <c r="BH13" s="3139"/>
    </row>
    <row r="14" spans="1:60" s="3211" customFormat="1">
      <c r="A14" s="3187" t="s">
        <v>95</v>
      </c>
      <c r="B14" s="3180" t="s">
        <v>726</v>
      </c>
      <c r="C14" s="3199">
        <v>2</v>
      </c>
      <c r="D14" s="3199">
        <v>2</v>
      </c>
      <c r="E14" s="3199">
        <v>3</v>
      </c>
      <c r="F14" s="3199">
        <v>0</v>
      </c>
      <c r="G14" s="3199">
        <v>0</v>
      </c>
      <c r="H14" s="3199">
        <v>1</v>
      </c>
      <c r="I14" s="3199">
        <v>2</v>
      </c>
      <c r="J14" s="3199">
        <v>2</v>
      </c>
      <c r="K14" s="3199">
        <v>2</v>
      </c>
      <c r="L14" s="3199">
        <v>2</v>
      </c>
      <c r="M14" s="3199">
        <v>2</v>
      </c>
      <c r="N14" s="3199">
        <v>3</v>
      </c>
      <c r="O14" s="3199">
        <v>0</v>
      </c>
      <c r="P14" s="3199">
        <v>0</v>
      </c>
      <c r="Q14" s="3199">
        <v>0</v>
      </c>
      <c r="R14" s="3203">
        <v>0</v>
      </c>
      <c r="S14" s="3199">
        <v>0</v>
      </c>
      <c r="T14" s="3199">
        <v>9</v>
      </c>
      <c r="U14" s="3199">
        <v>0</v>
      </c>
      <c r="V14" s="3199">
        <v>0</v>
      </c>
      <c r="W14" s="3199">
        <v>0</v>
      </c>
      <c r="X14" s="3199">
        <v>0</v>
      </c>
      <c r="Y14" s="3199">
        <v>8</v>
      </c>
      <c r="Z14" s="3199">
        <v>0</v>
      </c>
      <c r="AA14" s="3199">
        <v>0</v>
      </c>
      <c r="AB14" s="3199">
        <v>0</v>
      </c>
      <c r="AC14" s="3199">
        <v>0</v>
      </c>
      <c r="AD14" s="3199">
        <v>0</v>
      </c>
      <c r="AE14" s="3199">
        <v>0</v>
      </c>
      <c r="AF14" s="3199">
        <v>0</v>
      </c>
      <c r="AG14" s="3209"/>
      <c r="AH14" s="3209"/>
      <c r="AI14" s="3230">
        <v>0</v>
      </c>
      <c r="AJ14" s="283" cm="1">
        <f t="array" ref="AJ14">SUM(COUNTIFS($C14:$AG14,{"0","4","5","6","7","8","9"}))</f>
        <v>20</v>
      </c>
      <c r="AK14" s="283" cm="1">
        <f t="array" ref="AK14">SUM(COUNTIFS($C14:$AG14,{"0","4","5","6","7","8","9"},$C$4:$AG$4,"0"))</f>
        <v>10</v>
      </c>
      <c r="AL14" s="283" cm="1">
        <f t="array" ref="AL14">SUM(COUNTIFS($C14:$AG14,{"0","4","5","6","7","8","9"},$C$4:$AG$4,"1"))</f>
        <v>3</v>
      </c>
      <c r="AM14" s="283" cm="1">
        <f t="array" ref="AM14">SUM(COUNTIFS($C14:$AG14,{"0","4","5","6","7","8","9"},$C$4:$AG$4,"2"))</f>
        <v>4</v>
      </c>
      <c r="AN14" s="283" cm="1">
        <f t="array" ref="AN14">SUM(COUNTIFS($C14:$AG14,{"0","4","5","6","7","8","9"},$C$4:$AG$4,"3"))</f>
        <v>3</v>
      </c>
      <c r="AO14" s="283" cm="1">
        <f t="array" ref="AO14">SUM(COUNTIFS($C14:$AG14,{"1","2","3"}))</f>
        <v>10</v>
      </c>
      <c r="AP14" s="283" cm="1">
        <f t="array" ref="AP14">SUM(COUNTIFS($C14:$AG14,{"4","5","6"}))</f>
        <v>0</v>
      </c>
      <c r="AQ14" s="283">
        <f>AK14*'Spreadsheet Key'!$A$23 + AL14*'Spreadsheet Key'!$A$24 + AM14*'Spreadsheet Key'!$A$25 + AN14*'Spreadsheet Key'!$A$26</f>
        <v>838</v>
      </c>
      <c r="AR14" s="3228">
        <f>(AJ14/('APR Statistics'!$B$28))*ABS(AI14-1)</f>
        <v>3.8167938931297711E-2</v>
      </c>
      <c r="AS14" s="3231">
        <f t="shared" si="9"/>
        <v>0</v>
      </c>
      <c r="AT14" s="3229">
        <f>AR14*'APR Statistics'!$C$11</f>
        <v>36.992366412213741</v>
      </c>
      <c r="AU14" s="283"/>
      <c r="AV14" s="283">
        <f t="shared" si="1"/>
        <v>1</v>
      </c>
      <c r="AW14" s="283">
        <f t="shared" si="2"/>
        <v>0</v>
      </c>
      <c r="AX14" s="283">
        <f t="shared" si="3"/>
        <v>0</v>
      </c>
      <c r="AY14" s="283" cm="1">
        <f t="array" ref="AY14">COUNTIFS($C14:$AG14,"9",$C$4:$AG$4,"1")+SUM(COUNTIFS($C14:$AG14,{"8","9"},$C$4:$AG$4,"2"))+COUNTIFS($C14:$AG14,"8",$C$4:$AG$4,"3")</f>
        <v>1</v>
      </c>
      <c r="AZ14" s="283">
        <f t="shared" si="4"/>
        <v>0</v>
      </c>
      <c r="BA14" s="283">
        <f t="shared" si="5"/>
        <v>2</v>
      </c>
      <c r="BB14" s="283">
        <f>AV14*'Spreadsheet Key'!$A$27+AW14*'Spreadsheet Key'!$A$28+AX14*'Spreadsheet Key'!$A$29+AY14*'Spreadsheet Key'!$A$30+AZ14*'Spreadsheet Key'!$A$31</f>
        <v>46</v>
      </c>
      <c r="BC14" s="283"/>
      <c r="BD14" s="283">
        <f t="shared" ref="BD14" si="10">AT14-BB14</f>
        <v>-9.007633587786259</v>
      </c>
      <c r="BE14" s="3213"/>
      <c r="BF14" s="3213"/>
      <c r="BG14" s="3213"/>
      <c r="BH14" s="3213"/>
    </row>
    <row r="15" spans="1:60" ht="15.75">
      <c r="A15" s="3212"/>
      <c r="B15" s="3208"/>
      <c r="C15" s="4550" t="s">
        <v>112</v>
      </c>
      <c r="D15" s="4551"/>
      <c r="E15" s="4551"/>
      <c r="F15" s="4551"/>
      <c r="G15" s="5103"/>
      <c r="H15" s="3181"/>
      <c r="I15" s="3181"/>
      <c r="J15" s="3181"/>
      <c r="K15" s="3181"/>
      <c r="L15" s="3010" t="s">
        <v>1025</v>
      </c>
      <c r="M15" s="6249" t="s">
        <v>1231</v>
      </c>
      <c r="N15" s="6249"/>
      <c r="O15" s="3010" t="s">
        <v>1025</v>
      </c>
      <c r="P15" s="3184"/>
      <c r="Q15" s="3184"/>
      <c r="R15" s="3182" t="s">
        <v>722</v>
      </c>
      <c r="S15" s="3181"/>
      <c r="T15" s="3181"/>
      <c r="U15" s="3181"/>
      <c r="V15" s="3183" t="s">
        <v>1025</v>
      </c>
      <c r="W15" s="6288" t="s">
        <v>667</v>
      </c>
      <c r="X15" s="6289"/>
      <c r="Y15" s="6290"/>
      <c r="Z15" s="3183" t="s">
        <v>1025</v>
      </c>
      <c r="AB15" s="3190" t="s">
        <v>720</v>
      </c>
      <c r="AC15" s="3181"/>
      <c r="AD15" s="3010" t="s">
        <v>1025</v>
      </c>
      <c r="AE15" s="4850" t="s">
        <v>1271</v>
      </c>
      <c r="AF15" s="5950"/>
      <c r="AG15" s="3126"/>
      <c r="AH15" s="3126"/>
      <c r="AI15" s="3230"/>
      <c r="AJ15" s="283" cm="1">
        <f t="array" ref="AJ15">SUM(COUNTIFS($C15:$AG15,{"0","4","5","6","7","8","9"}))</f>
        <v>0</v>
      </c>
      <c r="AK15" s="283" cm="1">
        <f t="array" ref="AK15">SUM(COUNTIFS($C15:$AG15,{"0","4","5","6","7","8","9"},$C$4:$AG$4,"0"))</f>
        <v>0</v>
      </c>
      <c r="AL15" s="283" cm="1">
        <f t="array" ref="AL15">SUM(COUNTIFS($C15:$AG15,{"0","4","5","6","7","8","9"},$C$4:$AG$4,"1"))</f>
        <v>0</v>
      </c>
      <c r="AM15" s="283" cm="1">
        <f t="array" ref="AM15">SUM(COUNTIFS($C15:$AG15,{"0","4","5","6","7","8","9"},$C$4:$AG$4,"2"))</f>
        <v>0</v>
      </c>
      <c r="AN15" s="283" cm="1">
        <f t="array" ref="AN15">SUM(COUNTIFS($C15:$AG15,{"0","4","5","6","7","8","9"},$C$4:$AG$4,"3"))</f>
        <v>0</v>
      </c>
      <c r="AO15" s="283" cm="1">
        <f t="array" ref="AO15">SUM(COUNTIFS($C15:$AG15,{"1","2","3"}))</f>
        <v>0</v>
      </c>
      <c r="AP15" s="283" cm="1">
        <f t="array" ref="AP15">SUM(COUNTIFS($C15:$AG15,{"4","5","6"}))</f>
        <v>0</v>
      </c>
      <c r="AQ15" s="283">
        <f>AK15*'Spreadsheet Key'!$A$23 + AL15*'Spreadsheet Key'!$A$24 + AM15*'Spreadsheet Key'!$A$25 + AN15*'Spreadsheet Key'!$A$26</f>
        <v>0</v>
      </c>
      <c r="AR15" s="3228">
        <f>(AJ15/('APR Statistics'!$B$28))*ABS(AI15-1)</f>
        <v>0</v>
      </c>
      <c r="AS15" s="3231">
        <f t="shared" si="9"/>
        <v>0</v>
      </c>
      <c r="AT15" s="3229">
        <f>AR15*'APR Statistics'!$C$11</f>
        <v>0</v>
      </c>
      <c r="AU15" s="283"/>
      <c r="AV15" s="283">
        <f t="shared" si="1"/>
        <v>0</v>
      </c>
      <c r="AW15" s="283">
        <f t="shared" si="2"/>
        <v>0</v>
      </c>
      <c r="AX15" s="283">
        <f t="shared" si="3"/>
        <v>0</v>
      </c>
      <c r="AY15" s="283" cm="1">
        <f t="array" ref="AY15">COUNTIFS($C15:$AG15,"9",$C$4:$AG$4,"1")+SUM(COUNTIFS($C15:$AG15,{"8","9"},$C$4:$AG$4,"2"))+COUNTIFS($C15:$AG15,"8",$C$4:$AG$4,"3")</f>
        <v>0</v>
      </c>
      <c r="AZ15" s="283">
        <f t="shared" si="4"/>
        <v>0</v>
      </c>
      <c r="BA15" s="283">
        <f t="shared" si="5"/>
        <v>0</v>
      </c>
      <c r="BB15" s="283">
        <f>AV15*'Spreadsheet Key'!$A$27+AW15*'Spreadsheet Key'!$A$28+AX15*'Spreadsheet Key'!$A$29+AY15*'Spreadsheet Key'!$A$30+AZ15*'Spreadsheet Key'!$A$31</f>
        <v>0</v>
      </c>
      <c r="BC15" s="283"/>
      <c r="BD15" s="283"/>
      <c r="BE15" s="283"/>
      <c r="BF15" s="283"/>
      <c r="BG15" s="283"/>
      <c r="BH15" s="283"/>
    </row>
    <row r="16" spans="1:60" s="3211" customFormat="1">
      <c r="A16" s="3180" t="s">
        <v>95</v>
      </c>
      <c r="B16" s="3180" t="s">
        <v>738</v>
      </c>
      <c r="C16" s="3199">
        <v>2</v>
      </c>
      <c r="D16" s="3199">
        <v>2</v>
      </c>
      <c r="E16" s="3199">
        <v>2</v>
      </c>
      <c r="F16" s="3211">
        <v>2</v>
      </c>
      <c r="G16" s="3199">
        <v>3</v>
      </c>
      <c r="H16" s="3199">
        <v>0</v>
      </c>
      <c r="I16" s="3199">
        <v>0</v>
      </c>
      <c r="J16" s="3199">
        <v>0</v>
      </c>
      <c r="K16" s="3199">
        <v>0</v>
      </c>
      <c r="L16" s="3199">
        <v>1</v>
      </c>
      <c r="M16" s="3199">
        <v>2</v>
      </c>
      <c r="N16" s="3199">
        <v>2</v>
      </c>
      <c r="O16" s="3203">
        <v>3</v>
      </c>
      <c r="P16" s="3203">
        <v>0</v>
      </c>
      <c r="Q16" s="3203">
        <v>0</v>
      </c>
      <c r="R16" s="3203">
        <v>9</v>
      </c>
      <c r="S16" s="3199">
        <v>0</v>
      </c>
      <c r="T16" s="3199">
        <v>0</v>
      </c>
      <c r="U16" s="3199">
        <v>0</v>
      </c>
      <c r="V16" s="3199">
        <v>1</v>
      </c>
      <c r="W16" s="3199">
        <v>2</v>
      </c>
      <c r="X16" s="3199">
        <v>2</v>
      </c>
      <c r="Y16" s="3199">
        <v>2</v>
      </c>
      <c r="Z16" s="3199">
        <v>3</v>
      </c>
      <c r="AA16" s="3199">
        <v>0</v>
      </c>
      <c r="AB16" s="3199">
        <v>8</v>
      </c>
      <c r="AC16" s="3199">
        <v>0</v>
      </c>
      <c r="AD16" s="3199">
        <v>1</v>
      </c>
      <c r="AE16" s="3199">
        <v>2</v>
      </c>
      <c r="AF16" s="3199">
        <v>2</v>
      </c>
      <c r="AG16" s="3209"/>
      <c r="AH16" s="3209"/>
      <c r="AI16" s="3230">
        <v>0</v>
      </c>
      <c r="AJ16" s="283" cm="1">
        <f t="array" ref="AJ16">SUM(COUNTIFS($C16:$AG16,{"0","4","5","6","7","8","9"}))</f>
        <v>13</v>
      </c>
      <c r="AK16" s="283" cm="1">
        <f t="array" ref="AK16">SUM(COUNTIFS($C16:$AG16,{"0","4","5","6","7","8","9"},$C$4:$AG$4,"0"))</f>
        <v>6</v>
      </c>
      <c r="AL16" s="283" cm="1">
        <f t="array" ref="AL16">SUM(COUNTIFS($C16:$AG16,{"0","4","5","6","7","8","9"},$C$4:$AG$4,"1"))</f>
        <v>2</v>
      </c>
      <c r="AM16" s="283" cm="1">
        <f t="array" ref="AM16">SUM(COUNTIFS($C16:$AG16,{"0","4","5","6","7","8","9"},$C$4:$AG$4,"2"))</f>
        <v>3</v>
      </c>
      <c r="AN16" s="283" cm="1">
        <f t="array" ref="AN16">SUM(COUNTIFS($C16:$AG16,{"0","4","5","6","7","8","9"},$C$4:$AG$4,"3"))</f>
        <v>2</v>
      </c>
      <c r="AO16" s="283" cm="1">
        <f t="array" ref="AO16">SUM(COUNTIFS($C16:$AG16,{"1","2","3"}))</f>
        <v>17</v>
      </c>
      <c r="AP16" s="283" cm="1">
        <f t="array" ref="AP16">SUM(COUNTIFS($C16:$AG16,{"4","5","6"}))</f>
        <v>0</v>
      </c>
      <c r="AQ16" s="283">
        <f>AK16*'Spreadsheet Key'!$A$23 + AL16*'Spreadsheet Key'!$A$24 + AM16*'Spreadsheet Key'!$A$25 + AN16*'Spreadsheet Key'!$A$26</f>
        <v>568</v>
      </c>
      <c r="AR16" s="3228">
        <f>(AJ16/('APR Statistics'!$B$28))*ABS(AI16-1)</f>
        <v>2.4809160305343511E-2</v>
      </c>
      <c r="AS16" s="3231">
        <f t="shared" si="9"/>
        <v>0</v>
      </c>
      <c r="AT16" s="3229">
        <f>AR16*'APR Statistics'!$C$11</f>
        <v>24.045038167938934</v>
      </c>
      <c r="AU16" s="283"/>
      <c r="AV16" s="283">
        <f t="shared" si="1"/>
        <v>0</v>
      </c>
      <c r="AW16" s="283">
        <f t="shared" si="2"/>
        <v>1</v>
      </c>
      <c r="AX16" s="283">
        <f t="shared" si="3"/>
        <v>0</v>
      </c>
      <c r="AY16" s="283" cm="1">
        <f t="array" ref="AY16">COUNTIFS($C16:$AG16,"9",$C$4:$AG$4,"1")+SUM(COUNTIFS($C16:$AG16,{"8","9"},$C$4:$AG$4,"2"))+COUNTIFS($C16:$AG16,"8",$C$4:$AG$4,"3")</f>
        <v>1</v>
      </c>
      <c r="AZ16" s="283">
        <f t="shared" si="4"/>
        <v>0</v>
      </c>
      <c r="BA16" s="283">
        <f t="shared" si="5"/>
        <v>2</v>
      </c>
      <c r="BB16" s="283">
        <f>AV16*'Spreadsheet Key'!$A$27+AW16*'Spreadsheet Key'!$A$28+AX16*'Spreadsheet Key'!$A$29+AY16*'Spreadsheet Key'!$A$30+AZ16*'Spreadsheet Key'!$A$31</f>
        <v>48</v>
      </c>
      <c r="BC16" s="283"/>
      <c r="BD16" s="283">
        <f t="shared" ref="BD16" si="11">AT16-BB16</f>
        <v>-23.954961832061066</v>
      </c>
      <c r="BE16" s="3210"/>
      <c r="BF16" s="3210"/>
      <c r="BG16" s="3210"/>
      <c r="BH16" s="3210"/>
    </row>
    <row r="17" spans="1:60">
      <c r="A17" s="3208"/>
      <c r="B17" s="3208"/>
      <c r="C17" s="3181"/>
      <c r="D17" s="3181"/>
      <c r="E17" s="3181"/>
      <c r="F17" s="3181"/>
      <c r="G17" s="3181"/>
      <c r="H17" s="3181"/>
      <c r="I17" s="3181"/>
      <c r="J17" s="3181"/>
      <c r="K17" s="3181"/>
      <c r="L17" s="3010" t="s">
        <v>1025</v>
      </c>
      <c r="M17" s="6249" t="s">
        <v>1231</v>
      </c>
      <c r="N17" s="6249"/>
      <c r="O17" s="3010" t="s">
        <v>1025</v>
      </c>
      <c r="P17" s="3181"/>
      <c r="Q17" s="3181"/>
      <c r="R17" s="3181"/>
      <c r="S17" s="3181"/>
      <c r="T17" s="3181"/>
      <c r="U17" s="3181"/>
      <c r="V17" s="3181"/>
      <c r="W17" s="3181"/>
      <c r="X17" s="3181"/>
      <c r="Y17" s="3181"/>
      <c r="Z17" s="3181"/>
      <c r="AA17" s="3181"/>
      <c r="AB17" s="3181"/>
      <c r="AC17" s="3181" t="s">
        <v>324</v>
      </c>
      <c r="AD17" s="3181"/>
      <c r="AE17" s="3181"/>
      <c r="AF17" s="3181"/>
      <c r="AG17" s="3126"/>
      <c r="AH17" s="3126"/>
      <c r="AI17" s="3230"/>
      <c r="AJ17" s="283" cm="1">
        <f t="array" ref="AJ17">SUM(COUNTIFS($C17:$AG17,{"0","4","5","6","7","8","9"}))</f>
        <v>0</v>
      </c>
      <c r="AK17" s="283" cm="1">
        <f t="array" ref="AK17">SUM(COUNTIFS($C17:$AG17,{"0","4","5","6","7","8","9"},$C$4:$AG$4,"0"))</f>
        <v>0</v>
      </c>
      <c r="AL17" s="283" cm="1">
        <f t="array" ref="AL17">SUM(COUNTIFS($C17:$AG17,{"0","4","5","6","7","8","9"},$C$4:$AG$4,"1"))</f>
        <v>0</v>
      </c>
      <c r="AM17" s="283" cm="1">
        <f t="array" ref="AM17">SUM(COUNTIFS($C17:$AG17,{"0","4","5","6","7","8","9"},$C$4:$AG$4,"2"))</f>
        <v>0</v>
      </c>
      <c r="AN17" s="283" cm="1">
        <f t="array" ref="AN17">SUM(COUNTIFS($C17:$AG17,{"0","4","5","6","7","8","9"},$C$4:$AG$4,"3"))</f>
        <v>0</v>
      </c>
      <c r="AO17" s="283" cm="1">
        <f t="array" ref="AO17">SUM(COUNTIFS($C17:$AG17,{"1","2","3"}))</f>
        <v>0</v>
      </c>
      <c r="AP17" s="283" cm="1">
        <f t="array" ref="AP17">SUM(COUNTIFS($C17:$AG17,{"4","5","6"}))</f>
        <v>0</v>
      </c>
      <c r="AQ17" s="283">
        <f>AK17*'Spreadsheet Key'!$A$23 + AL17*'Spreadsheet Key'!$A$24 + AM17*'Spreadsheet Key'!$A$25 + AN17*'Spreadsheet Key'!$A$26</f>
        <v>0</v>
      </c>
      <c r="AR17" s="3228">
        <f>(AJ17/('APR Statistics'!$B$28))*ABS(AI17-1)</f>
        <v>0</v>
      </c>
      <c r="AS17" s="3231">
        <f t="shared" si="9"/>
        <v>0</v>
      </c>
      <c r="AT17" s="3229">
        <f>AR17*'APR Statistics'!$C$11</f>
        <v>0</v>
      </c>
      <c r="AU17" s="283"/>
      <c r="AV17" s="283">
        <f t="shared" si="1"/>
        <v>0</v>
      </c>
      <c r="AW17" s="283">
        <f t="shared" si="2"/>
        <v>0</v>
      </c>
      <c r="AX17" s="283">
        <f t="shared" si="3"/>
        <v>0</v>
      </c>
      <c r="AY17" s="283" cm="1">
        <f t="array" ref="AY17">COUNTIFS($C17:$AG17,"9",$C$4:$AG$4,"1")+SUM(COUNTIFS($C17:$AG17,{"8","9"},$C$4:$AG$4,"2"))+COUNTIFS($C17:$AG17,"8",$C$4:$AG$4,"3")</f>
        <v>0</v>
      </c>
      <c r="AZ17" s="283">
        <f t="shared" si="4"/>
        <v>0</v>
      </c>
      <c r="BA17" s="283">
        <f t="shared" si="5"/>
        <v>0</v>
      </c>
      <c r="BB17" s="283">
        <f>AV17*'Spreadsheet Key'!$A$27+AW17*'Spreadsheet Key'!$A$28+AX17*'Spreadsheet Key'!$A$29+AY17*'Spreadsheet Key'!$A$30+AZ17*'Spreadsheet Key'!$A$31</f>
        <v>0</v>
      </c>
      <c r="BC17" s="283"/>
      <c r="BD17" s="283"/>
      <c r="BE17" s="283"/>
      <c r="BF17" s="283"/>
      <c r="BG17" s="283"/>
      <c r="BH17" s="283"/>
    </row>
    <row r="18" spans="1:60" s="3211" customFormat="1">
      <c r="A18" s="3180" t="s">
        <v>106</v>
      </c>
      <c r="B18" s="3180" t="s">
        <v>1191</v>
      </c>
      <c r="C18" s="3199">
        <v>2</v>
      </c>
      <c r="D18" s="3199">
        <v>2</v>
      </c>
      <c r="E18" s="3199">
        <v>2</v>
      </c>
      <c r="F18" s="3199">
        <v>2</v>
      </c>
      <c r="G18" s="3199">
        <v>2</v>
      </c>
      <c r="H18" s="3199">
        <v>2</v>
      </c>
      <c r="I18" s="3199">
        <v>2</v>
      </c>
      <c r="J18" s="3199">
        <v>2</v>
      </c>
      <c r="K18" s="3199">
        <v>2</v>
      </c>
      <c r="L18" s="3199">
        <v>2</v>
      </c>
      <c r="M18" s="3199">
        <v>2</v>
      </c>
      <c r="N18" s="3199">
        <v>2</v>
      </c>
      <c r="O18" s="3199">
        <v>2</v>
      </c>
      <c r="P18" s="3199">
        <v>2</v>
      </c>
      <c r="Q18" s="3199">
        <v>2</v>
      </c>
      <c r="R18" s="3199">
        <v>2</v>
      </c>
      <c r="S18" s="3199">
        <v>2</v>
      </c>
      <c r="T18" s="3199">
        <v>2</v>
      </c>
      <c r="U18" s="3199">
        <v>2</v>
      </c>
      <c r="V18" s="3199">
        <v>2</v>
      </c>
      <c r="W18" s="3199">
        <v>2</v>
      </c>
      <c r="X18" s="3199">
        <v>2</v>
      </c>
      <c r="Y18" s="3199">
        <v>2</v>
      </c>
      <c r="Z18" s="3199">
        <v>2</v>
      </c>
      <c r="AA18" s="3199">
        <v>2</v>
      </c>
      <c r="AB18" s="3199">
        <v>2</v>
      </c>
      <c r="AC18" s="3199">
        <v>2</v>
      </c>
      <c r="AD18" s="3199">
        <v>2</v>
      </c>
      <c r="AE18" s="3199">
        <v>2</v>
      </c>
      <c r="AF18" s="3199">
        <v>2</v>
      </c>
      <c r="AG18" s="3209"/>
      <c r="AH18" s="3209"/>
      <c r="AI18" s="3230">
        <v>0</v>
      </c>
      <c r="AJ18" s="283" cm="1">
        <f t="array" ref="AJ18">SUM(COUNTIFS($C18:$AG18,{"0","4","5","6","7","8","9"}))</f>
        <v>0</v>
      </c>
      <c r="AK18" s="283" cm="1">
        <f t="array" ref="AK18">SUM(COUNTIFS($C18:$AG18,{"0","4","5","6","7","8","9"},$C$4:$AG$4,"0"))</f>
        <v>0</v>
      </c>
      <c r="AL18" s="283" cm="1">
        <f t="array" ref="AL18">SUM(COUNTIFS($C18:$AG18,{"0","4","5","6","7","8","9"},$C$4:$AG$4,"1"))</f>
        <v>0</v>
      </c>
      <c r="AM18" s="283" cm="1">
        <f t="array" ref="AM18">SUM(COUNTIFS($C18:$AG18,{"0","4","5","6","7","8","9"},$C$4:$AG$4,"2"))</f>
        <v>0</v>
      </c>
      <c r="AN18" s="283" cm="1">
        <f t="array" ref="AN18">SUM(COUNTIFS($C18:$AG18,{"0","4","5","6","7","8","9"},$C$4:$AG$4,"3"))</f>
        <v>0</v>
      </c>
      <c r="AO18" s="283" cm="1">
        <f t="array" ref="AO18">SUM(COUNTIFS($C18:$AG18,{"1","2","3"}))</f>
        <v>30</v>
      </c>
      <c r="AP18" s="283" cm="1">
        <f t="array" ref="AP18">SUM(COUNTIFS($C18:$AG18,{"4","5","6"}))</f>
        <v>0</v>
      </c>
      <c r="AQ18" s="283">
        <f>AK18*'Spreadsheet Key'!$A$23 + AL18*'Spreadsheet Key'!$A$24 + AM18*'Spreadsheet Key'!$A$25 + AN18*'Spreadsheet Key'!$A$26</f>
        <v>0</v>
      </c>
      <c r="AR18" s="3228">
        <f>(AJ18/('APR Statistics'!$B$28))*ABS(AI18-1)</f>
        <v>0</v>
      </c>
      <c r="AS18" s="3231">
        <f t="shared" si="9"/>
        <v>0</v>
      </c>
      <c r="AT18" s="3229">
        <f>AR18*'APR Statistics'!$C$11</f>
        <v>0</v>
      </c>
      <c r="AU18" s="283"/>
      <c r="AV18" s="283">
        <f t="shared" si="1"/>
        <v>0</v>
      </c>
      <c r="AW18" s="283">
        <f t="shared" si="2"/>
        <v>0</v>
      </c>
      <c r="AX18" s="283">
        <f t="shared" si="3"/>
        <v>0</v>
      </c>
      <c r="AY18" s="283" cm="1">
        <f t="array" ref="AY18">COUNTIFS($C18:$AG18,"9",$C$4:$AG$4,"1")+SUM(COUNTIFS($C18:$AG18,{"8","9"},$C$4:$AG$4,"2"))+COUNTIFS($C18:$AG18,"8",$C$4:$AG$4,"3")</f>
        <v>0</v>
      </c>
      <c r="AZ18" s="283">
        <f t="shared" si="4"/>
        <v>0</v>
      </c>
      <c r="BA18" s="283">
        <f t="shared" si="5"/>
        <v>0</v>
      </c>
      <c r="BB18" s="283">
        <f>AV18*'Spreadsheet Key'!$A$27+AW18*'Spreadsheet Key'!$A$28+AX18*'Spreadsheet Key'!$A$29+AY18*'Spreadsheet Key'!$A$30+AZ18*'Spreadsheet Key'!$A$31</f>
        <v>0</v>
      </c>
      <c r="BC18" s="283"/>
      <c r="BD18" s="283">
        <f t="shared" ref="BD18" si="12">AT18-BB18</f>
        <v>0</v>
      </c>
      <c r="BE18" s="3210"/>
      <c r="BF18" s="3210"/>
      <c r="BG18" s="3210"/>
      <c r="BH18" s="3210"/>
    </row>
    <row r="19" spans="1:60">
      <c r="A19" s="3208"/>
      <c r="B19" s="3208"/>
      <c r="C19" s="3181"/>
      <c r="D19" s="3182" t="s">
        <v>722</v>
      </c>
      <c r="E19" s="3182"/>
      <c r="F19" s="3181"/>
      <c r="G19" s="3181"/>
      <c r="H19" s="3181"/>
      <c r="I19" s="3181"/>
      <c r="J19" s="3181"/>
      <c r="K19" s="3182" t="s">
        <v>722</v>
      </c>
      <c r="L19" s="3181"/>
      <c r="M19" s="3181"/>
      <c r="N19" s="3181"/>
      <c r="O19" s="3181"/>
      <c r="P19" s="3181"/>
      <c r="Q19" s="3181"/>
      <c r="R19" s="3188"/>
      <c r="S19" s="3181"/>
      <c r="T19" s="3181"/>
      <c r="U19" s="3181"/>
      <c r="V19" s="3181"/>
      <c r="W19" s="3181"/>
      <c r="X19" s="3181"/>
      <c r="Y19" s="3181"/>
      <c r="Z19" s="3181"/>
      <c r="AA19" s="3181"/>
      <c r="AB19" s="3181"/>
      <c r="AC19" s="3181"/>
      <c r="AD19" s="3182" t="s">
        <v>720</v>
      </c>
      <c r="AE19" s="3181"/>
      <c r="AF19" s="3181"/>
      <c r="AG19" s="3126"/>
      <c r="AH19" s="3126"/>
      <c r="AI19" s="3230"/>
      <c r="AJ19" s="283" cm="1">
        <f t="array" ref="AJ19">SUM(COUNTIFS($C19:$AG19,{"0","4","5","6","7","8","9"}))</f>
        <v>0</v>
      </c>
      <c r="AK19" s="283" cm="1">
        <f t="array" ref="AK19">SUM(COUNTIFS($C19:$AG19,{"0","4","5","6","7","8","9"},$C$4:$AG$4,"0"))</f>
        <v>0</v>
      </c>
      <c r="AL19" s="283" cm="1">
        <f t="array" ref="AL19">SUM(COUNTIFS($C19:$AG19,{"0","4","5","6","7","8","9"},$C$4:$AG$4,"1"))</f>
        <v>0</v>
      </c>
      <c r="AM19" s="283" cm="1">
        <f t="array" ref="AM19">SUM(COUNTIFS($C19:$AG19,{"0","4","5","6","7","8","9"},$C$4:$AG$4,"2"))</f>
        <v>0</v>
      </c>
      <c r="AN19" s="283" cm="1">
        <f t="array" ref="AN19">SUM(COUNTIFS($C19:$AG19,{"0","4","5","6","7","8","9"},$C$4:$AG$4,"3"))</f>
        <v>0</v>
      </c>
      <c r="AO19" s="283" cm="1">
        <f t="array" ref="AO19">SUM(COUNTIFS($C19:$AG19,{"1","2","3"}))</f>
        <v>0</v>
      </c>
      <c r="AP19" s="283" cm="1">
        <f t="array" ref="AP19">SUM(COUNTIFS($C19:$AG19,{"4","5","6"}))</f>
        <v>0</v>
      </c>
      <c r="AQ19" s="283">
        <f>AK19*'Spreadsheet Key'!$A$23 + AL19*'Spreadsheet Key'!$A$24 + AM19*'Spreadsheet Key'!$A$25 + AN19*'Spreadsheet Key'!$A$26</f>
        <v>0</v>
      </c>
      <c r="AR19" s="3228">
        <f>(AJ19/('APR Statistics'!$B$28))*ABS(AI19-1)</f>
        <v>0</v>
      </c>
      <c r="AS19" s="3231">
        <f t="shared" si="9"/>
        <v>0</v>
      </c>
      <c r="AT19" s="3229">
        <f>AR19*'APR Statistics'!$C$11</f>
        <v>0</v>
      </c>
      <c r="AU19" s="283"/>
      <c r="AV19" s="283">
        <f t="shared" si="1"/>
        <v>0</v>
      </c>
      <c r="AW19" s="283">
        <f t="shared" si="2"/>
        <v>0</v>
      </c>
      <c r="AX19" s="283">
        <f t="shared" si="3"/>
        <v>0</v>
      </c>
      <c r="AY19" s="283" cm="1">
        <f t="array" ref="AY19">COUNTIFS($C19:$AG19,"9",$C$4:$AG$4,"1")+SUM(COUNTIFS($C19:$AG19,{"8","9"},$C$4:$AG$4,"2"))+COUNTIFS($C19:$AG19,"8",$C$4:$AG$4,"3")</f>
        <v>0</v>
      </c>
      <c r="AZ19" s="283">
        <f t="shared" si="4"/>
        <v>0</v>
      </c>
      <c r="BA19" s="283">
        <f t="shared" si="5"/>
        <v>0</v>
      </c>
      <c r="BB19" s="283">
        <f>AV19*'Spreadsheet Key'!$A$27+AW19*'Spreadsheet Key'!$A$28+AX19*'Spreadsheet Key'!$A$29+AY19*'Spreadsheet Key'!$A$30+AZ19*'Spreadsheet Key'!$A$31</f>
        <v>0</v>
      </c>
      <c r="BC19" s="283"/>
      <c r="BD19" s="283"/>
      <c r="BE19" s="283"/>
      <c r="BF19" s="283"/>
      <c r="BG19" s="283"/>
      <c r="BH19" s="283"/>
    </row>
    <row r="20" spans="1:60" s="3211" customFormat="1">
      <c r="A20" s="3180" t="s">
        <v>108</v>
      </c>
      <c r="B20" s="3180" t="s">
        <v>109</v>
      </c>
      <c r="C20" s="3206">
        <v>0</v>
      </c>
      <c r="D20" s="3206">
        <v>9</v>
      </c>
      <c r="E20" s="3206">
        <v>0</v>
      </c>
      <c r="F20" s="3206">
        <v>0</v>
      </c>
      <c r="G20" s="3206">
        <v>0</v>
      </c>
      <c r="H20" s="3206">
        <v>0</v>
      </c>
      <c r="I20" s="3206">
        <v>0</v>
      </c>
      <c r="J20" s="3206">
        <v>0</v>
      </c>
      <c r="K20" s="3206">
        <v>9</v>
      </c>
      <c r="L20" s="3206">
        <v>0</v>
      </c>
      <c r="M20" s="3206">
        <v>0</v>
      </c>
      <c r="N20" s="3206">
        <v>0</v>
      </c>
      <c r="O20" s="3206">
        <v>0</v>
      </c>
      <c r="P20" s="3206">
        <v>0</v>
      </c>
      <c r="Q20" s="3206">
        <v>0</v>
      </c>
      <c r="R20" s="3207">
        <v>0</v>
      </c>
      <c r="S20" s="3206">
        <v>0</v>
      </c>
      <c r="T20" s="3206">
        <v>0</v>
      </c>
      <c r="U20" s="3206">
        <v>0</v>
      </c>
      <c r="V20" s="3206">
        <v>0</v>
      </c>
      <c r="W20" s="3206">
        <v>0</v>
      </c>
      <c r="X20" s="3206">
        <v>0</v>
      </c>
      <c r="Y20" s="3206">
        <v>0</v>
      </c>
      <c r="Z20" s="3206">
        <v>0</v>
      </c>
      <c r="AA20" s="3206">
        <v>0</v>
      </c>
      <c r="AB20" s="3206">
        <v>0</v>
      </c>
      <c r="AC20" s="3206">
        <v>0</v>
      </c>
      <c r="AD20" s="3206">
        <v>8</v>
      </c>
      <c r="AE20" s="3206">
        <v>0</v>
      </c>
      <c r="AF20" s="3206">
        <v>0</v>
      </c>
      <c r="AG20" s="3209"/>
      <c r="AH20" s="3209"/>
      <c r="AI20" s="3230">
        <v>0</v>
      </c>
      <c r="AJ20" s="283" cm="1">
        <f t="array" ref="AJ20">SUM(COUNTIFS($C20:$AG20,{"0","4","5","6","7","8","9"}))</f>
        <v>30</v>
      </c>
      <c r="AK20" s="283" cm="1">
        <f t="array" ref="AK20">SUM(COUNTIFS($C20:$AG20,{"0","4","5","6","7","8","9"},$C$4:$AG$4,"0"))</f>
        <v>17</v>
      </c>
      <c r="AL20" s="283" cm="1">
        <f t="array" ref="AL20">SUM(COUNTIFS($C20:$AG20,{"0","4","5","6","7","8","9"},$C$4:$AG$4,"1"))</f>
        <v>4</v>
      </c>
      <c r="AM20" s="283" cm="1">
        <f t="array" ref="AM20">SUM(COUNTIFS($C20:$AG20,{"0","4","5","6","7","8","9"},$C$4:$AG$4,"2"))</f>
        <v>5</v>
      </c>
      <c r="AN20" s="283" cm="1">
        <f t="array" ref="AN20">SUM(COUNTIFS($C20:$AG20,{"0","4","5","6","7","8","9"},$C$4:$AG$4,"3"))</f>
        <v>4</v>
      </c>
      <c r="AO20" s="283" cm="1">
        <f t="array" ref="AO20">SUM(COUNTIFS($C20:$AG20,{"1","2","3"}))</f>
        <v>0</v>
      </c>
      <c r="AP20" s="283" cm="1">
        <f t="array" ref="AP20">SUM(COUNTIFS($C20:$AG20,{"4","5","6"}))</f>
        <v>0</v>
      </c>
      <c r="AQ20" s="283">
        <f>AK20*'Spreadsheet Key'!$A$23 + AL20*'Spreadsheet Key'!$A$24 + AM20*'Spreadsheet Key'!$A$25 + AN20*'Spreadsheet Key'!$A$26</f>
        <v>1174</v>
      </c>
      <c r="AR20" s="3228">
        <f>(AJ20/('APR Statistics'!$B$28))*ABS(AI20-1)</f>
        <v>5.7251908396946563E-2</v>
      </c>
      <c r="AS20" s="3231">
        <f t="shared" si="9"/>
        <v>0</v>
      </c>
      <c r="AT20" s="3229">
        <f>AR20*'APR Statistics'!$C$11</f>
        <v>55.488549618320612</v>
      </c>
      <c r="AU20" s="283"/>
      <c r="AV20" s="283">
        <f t="shared" si="1"/>
        <v>1</v>
      </c>
      <c r="AW20" s="283">
        <f t="shared" si="2"/>
        <v>2</v>
      </c>
      <c r="AX20" s="283">
        <f t="shared" si="3"/>
        <v>0</v>
      </c>
      <c r="AY20" s="283" cm="1">
        <f t="array" ref="AY20">COUNTIFS($C20:$AG20,"9",$C$4:$AG$4,"1")+SUM(COUNTIFS($C20:$AG20,{"8","9"},$C$4:$AG$4,"2"))+COUNTIFS($C20:$AG20,"8",$C$4:$AG$4,"3")</f>
        <v>0</v>
      </c>
      <c r="AZ20" s="283">
        <f t="shared" si="4"/>
        <v>0</v>
      </c>
      <c r="BA20" s="283">
        <f t="shared" si="5"/>
        <v>3</v>
      </c>
      <c r="BB20" s="283">
        <f>AV20*'Spreadsheet Key'!$A$27+AW20*'Spreadsheet Key'!$A$28+AX20*'Spreadsheet Key'!$A$29+AY20*'Spreadsheet Key'!$A$30+AZ20*'Spreadsheet Key'!$A$31</f>
        <v>34</v>
      </c>
      <c r="BC20" s="283"/>
      <c r="BD20" s="283">
        <f t="shared" ref="BD20" si="13">AT20-BB20</f>
        <v>21.488549618320612</v>
      </c>
      <c r="BE20" s="3210"/>
      <c r="BF20" s="3210"/>
      <c r="BG20" s="3210"/>
      <c r="BH20" s="3210"/>
    </row>
    <row r="21" spans="1:60">
      <c r="A21" s="3208"/>
      <c r="B21" s="3208"/>
      <c r="C21" s="3181"/>
      <c r="D21" s="3181"/>
      <c r="E21" s="3181"/>
      <c r="F21" s="6276" t="s">
        <v>112</v>
      </c>
      <c r="G21" s="6276"/>
      <c r="H21" s="6276"/>
      <c r="I21" s="6276"/>
      <c r="J21" s="3181"/>
      <c r="K21" s="3181"/>
      <c r="L21" s="3181"/>
      <c r="M21" s="3182" t="s">
        <v>720</v>
      </c>
      <c r="N21" s="3181"/>
      <c r="O21" s="3181"/>
      <c r="P21" s="3181"/>
      <c r="Q21" s="3181"/>
      <c r="R21" s="3181"/>
      <c r="S21" s="3181"/>
      <c r="T21" s="3181"/>
      <c r="U21" s="3181"/>
      <c r="V21" s="3181"/>
      <c r="W21" s="3182" t="s">
        <v>720</v>
      </c>
      <c r="X21" s="3181"/>
      <c r="Y21" s="3181"/>
      <c r="Z21" s="3181"/>
      <c r="AA21" s="3181"/>
      <c r="AB21" s="3181"/>
      <c r="AC21" s="3181"/>
      <c r="AD21" s="3181"/>
      <c r="AE21" s="3181"/>
      <c r="AF21" s="3181"/>
      <c r="AG21" s="3126"/>
      <c r="AH21" s="3126"/>
      <c r="AI21" s="3230"/>
      <c r="AJ21" s="283" cm="1">
        <f t="array" ref="AJ21">SUM(COUNTIFS($C21:$AG21,{"0","4","5","6","7","8","9"}))</f>
        <v>0</v>
      </c>
      <c r="AK21" s="283" cm="1">
        <f t="array" ref="AK21">SUM(COUNTIFS($C21:$AG21,{"0","4","5","6","7","8","9"},$C$4:$AG$4,"0"))</f>
        <v>0</v>
      </c>
      <c r="AL21" s="283" cm="1">
        <f t="array" ref="AL21">SUM(COUNTIFS($C21:$AG21,{"0","4","5","6","7","8","9"},$C$4:$AG$4,"1"))</f>
        <v>0</v>
      </c>
      <c r="AM21" s="283" cm="1">
        <f t="array" ref="AM21">SUM(COUNTIFS($C21:$AG21,{"0","4","5","6","7","8","9"},$C$4:$AG$4,"2"))</f>
        <v>0</v>
      </c>
      <c r="AN21" s="283" cm="1">
        <f t="array" ref="AN21">SUM(COUNTIFS($C21:$AG21,{"0","4","5","6","7","8","9"},$C$4:$AG$4,"3"))</f>
        <v>0</v>
      </c>
      <c r="AO21" s="283" cm="1">
        <f t="array" ref="AO21">SUM(COUNTIFS($C21:$AG21,{"1","2","3"}))</f>
        <v>0</v>
      </c>
      <c r="AP21" s="283" cm="1">
        <f t="array" ref="AP21">SUM(COUNTIFS($C21:$AG21,{"4","5","6"}))</f>
        <v>0</v>
      </c>
      <c r="AQ21" s="283">
        <f>AK21*'Spreadsheet Key'!$A$23 + AL21*'Spreadsheet Key'!$A$24 + AM21*'Spreadsheet Key'!$A$25 + AN21*'Spreadsheet Key'!$A$26</f>
        <v>0</v>
      </c>
      <c r="AR21" s="3228">
        <f>(AJ21/('APR Statistics'!$B$28))*ABS(AI21-1)</f>
        <v>0</v>
      </c>
      <c r="AS21" s="3231">
        <f t="shared" si="9"/>
        <v>0</v>
      </c>
      <c r="AT21" s="3229">
        <f>AR21*'APR Statistics'!$C$11</f>
        <v>0</v>
      </c>
      <c r="AU21" s="283"/>
      <c r="AV21" s="283">
        <f t="shared" si="1"/>
        <v>0</v>
      </c>
      <c r="AW21" s="283">
        <f t="shared" si="2"/>
        <v>0</v>
      </c>
      <c r="AX21" s="283">
        <f t="shared" si="3"/>
        <v>0</v>
      </c>
      <c r="AY21" s="283" cm="1">
        <f t="array" ref="AY21">COUNTIFS($C21:$AG21,"9",$C$4:$AG$4,"1")+SUM(COUNTIFS($C21:$AG21,{"8","9"},$C$4:$AG$4,"2"))+COUNTIFS($C21:$AG21,"8",$C$4:$AG$4,"3")</f>
        <v>0</v>
      </c>
      <c r="AZ21" s="283">
        <f t="shared" si="4"/>
        <v>0</v>
      </c>
      <c r="BA21" s="283">
        <f t="shared" si="5"/>
        <v>0</v>
      </c>
      <c r="BB21" s="283">
        <f>AV21*'Spreadsheet Key'!$A$27+AW21*'Spreadsheet Key'!$A$28+AX21*'Spreadsheet Key'!$A$29+AY21*'Spreadsheet Key'!$A$30+AZ21*'Spreadsheet Key'!$A$31</f>
        <v>0</v>
      </c>
      <c r="BC21" s="283"/>
      <c r="BD21" s="283"/>
      <c r="BE21" s="283"/>
      <c r="BF21" s="283"/>
      <c r="BG21" s="283"/>
      <c r="BH21" s="283"/>
    </row>
    <row r="22" spans="1:60" s="3211" customFormat="1">
      <c r="A22" s="3187" t="s">
        <v>283</v>
      </c>
      <c r="B22" s="3187" t="s">
        <v>201</v>
      </c>
      <c r="C22" s="3199">
        <v>0</v>
      </c>
      <c r="D22" s="3199">
        <v>0</v>
      </c>
      <c r="E22" s="3199">
        <v>0</v>
      </c>
      <c r="F22" s="3199">
        <v>1</v>
      </c>
      <c r="G22" s="3199">
        <v>2</v>
      </c>
      <c r="H22" s="3199">
        <v>2</v>
      </c>
      <c r="I22" s="3199">
        <v>3</v>
      </c>
      <c r="J22" s="3199">
        <v>0</v>
      </c>
      <c r="K22" s="3199">
        <v>0</v>
      </c>
      <c r="L22" s="3199">
        <v>0</v>
      </c>
      <c r="M22" s="3199">
        <v>8</v>
      </c>
      <c r="N22" s="3199">
        <v>0</v>
      </c>
      <c r="O22" s="3199">
        <v>0</v>
      </c>
      <c r="P22" s="3199">
        <v>0</v>
      </c>
      <c r="Q22" s="3199">
        <v>0</v>
      </c>
      <c r="R22" s="3199">
        <v>0</v>
      </c>
      <c r="S22" s="3199">
        <v>0</v>
      </c>
      <c r="T22" s="3199">
        <v>0</v>
      </c>
      <c r="U22" s="3199">
        <v>0</v>
      </c>
      <c r="V22" s="3199">
        <v>0</v>
      </c>
      <c r="W22" s="3199">
        <v>8</v>
      </c>
      <c r="X22" s="3199">
        <v>0</v>
      </c>
      <c r="Y22" s="3199">
        <v>0</v>
      </c>
      <c r="Z22" s="3199">
        <v>0</v>
      </c>
      <c r="AA22" s="3199">
        <v>0</v>
      </c>
      <c r="AB22" s="3199">
        <v>0</v>
      </c>
      <c r="AC22" s="3199">
        <v>0</v>
      </c>
      <c r="AD22" s="3199">
        <v>0</v>
      </c>
      <c r="AE22" s="3199">
        <v>0</v>
      </c>
      <c r="AF22" s="3199">
        <v>0</v>
      </c>
      <c r="AG22" s="3209"/>
      <c r="AH22" s="3209"/>
      <c r="AI22" s="3230">
        <v>1</v>
      </c>
      <c r="AJ22" s="283" cm="1">
        <f t="array" ref="AJ22">SUM(COUNTIFS($C22:$AG22,{"0","4","5","6","7","8","9"}))</f>
        <v>26</v>
      </c>
      <c r="AK22" s="283" cm="1">
        <f t="array" ref="AK22">SUM(COUNTIFS($C22:$AG22,{"0","4","5","6","7","8","9"},$C$4:$AG$4,"0"))</f>
        <v>16</v>
      </c>
      <c r="AL22" s="283" cm="1">
        <f t="array" ref="AL22">SUM(COUNTIFS($C22:$AG22,{"0","4","5","6","7","8","9"},$C$4:$AG$4,"1"))</f>
        <v>3</v>
      </c>
      <c r="AM22" s="283" cm="1">
        <f t="array" ref="AM22">SUM(COUNTIFS($C22:$AG22,{"0","4","5","6","7","8","9"},$C$4:$AG$4,"2"))</f>
        <v>4</v>
      </c>
      <c r="AN22" s="283" cm="1">
        <f t="array" ref="AN22">SUM(COUNTIFS($C22:$AG22,{"0","4","5","6","7","8","9"},$C$4:$AG$4,"3"))</f>
        <v>3</v>
      </c>
      <c r="AO22" s="283" cm="1">
        <f t="array" ref="AO22">SUM(COUNTIFS($C22:$AG22,{"1","2","3"}))</f>
        <v>4</v>
      </c>
      <c r="AP22" s="283" cm="1">
        <f t="array" ref="AP22">SUM(COUNTIFS($C22:$AG22,{"4","5","6"}))</f>
        <v>0</v>
      </c>
      <c r="AQ22" s="283">
        <f>AK22*'Spreadsheet Key'!$A$23 + AL22*'Spreadsheet Key'!$A$24 + AM22*'Spreadsheet Key'!$A$25 + AN22*'Spreadsheet Key'!$A$26</f>
        <v>970</v>
      </c>
      <c r="AR22" s="3228">
        <f>(AJ22/('APR Statistics'!$B$28))*ABS(AI22-1)</f>
        <v>0</v>
      </c>
      <c r="AS22" s="3231">
        <f>AT22*AI22</f>
        <v>24.266666666666666</v>
      </c>
      <c r="AT22" s="3229">
        <f>(AJ22/'APR Statistics'!$B$6)*'Spreadsheet Key'!$A$32</f>
        <v>24.266666666666666</v>
      </c>
      <c r="AU22" s="283"/>
      <c r="AV22" s="283">
        <f t="shared" si="1"/>
        <v>1</v>
      </c>
      <c r="AW22" s="283">
        <f t="shared" si="2"/>
        <v>0</v>
      </c>
      <c r="AX22" s="283">
        <f t="shared" si="3"/>
        <v>1</v>
      </c>
      <c r="AY22" s="283" cm="1">
        <f t="array" ref="AY22">COUNTIFS($C22:$AG22,"9",$C$4:$AG$4,"1")+SUM(COUNTIFS($C22:$AG22,{"8","9"},$C$4:$AG$4,"2"))+COUNTIFS($C22:$AG22,"8",$C$4:$AG$4,"3")</f>
        <v>0</v>
      </c>
      <c r="AZ22" s="283">
        <f t="shared" si="4"/>
        <v>0</v>
      </c>
      <c r="BA22" s="283">
        <f t="shared" si="5"/>
        <v>2</v>
      </c>
      <c r="BB22" s="283">
        <f>AV22*'Spreadsheet Key'!$A$27+AW22*'Spreadsheet Key'!$A$28+AX22*'Spreadsheet Key'!$A$29+AY22*'Spreadsheet Key'!$A$30+AZ22*'Spreadsheet Key'!$A$31</f>
        <v>28</v>
      </c>
      <c r="BC22" s="283"/>
      <c r="BD22" s="283">
        <f t="shared" ref="BD22" si="14">AT22-BB22</f>
        <v>-3.7333333333333343</v>
      </c>
      <c r="BE22" s="3210"/>
      <c r="BF22" s="3210"/>
      <c r="BG22" s="3210"/>
      <c r="BH22" s="3210"/>
    </row>
    <row r="23" spans="1:60">
      <c r="A23" s="3212"/>
      <c r="B23" s="3212"/>
      <c r="C23" s="3181"/>
      <c r="D23" s="3181"/>
      <c r="E23" s="3182"/>
      <c r="F23" s="3182" t="s">
        <v>720</v>
      </c>
      <c r="G23" s="3181"/>
      <c r="H23" s="3181"/>
      <c r="I23" s="3181"/>
      <c r="J23" s="3181"/>
      <c r="K23" s="3181"/>
      <c r="L23" s="3181"/>
      <c r="M23" s="6276" t="s">
        <v>1265</v>
      </c>
      <c r="N23" s="6276"/>
      <c r="O23" s="6276"/>
      <c r="P23" s="6276"/>
      <c r="Q23" s="6276"/>
      <c r="R23" s="6276"/>
      <c r="S23" s="6276"/>
      <c r="T23" s="6276"/>
      <c r="U23" s="6276"/>
      <c r="V23" s="6276"/>
      <c r="W23" s="6276"/>
      <c r="X23" s="6276"/>
      <c r="Y23" s="3181"/>
      <c r="Z23" s="3181"/>
      <c r="AA23" s="3182" t="s">
        <v>720</v>
      </c>
      <c r="AB23" s="3182"/>
      <c r="AC23" s="3181"/>
      <c r="AD23" s="6276" t="s">
        <v>737</v>
      </c>
      <c r="AE23" s="6276"/>
      <c r="AF23" s="6276"/>
      <c r="AG23" s="3126"/>
      <c r="AH23" s="3126"/>
      <c r="AI23" s="3230"/>
      <c r="AJ23" s="283" cm="1">
        <f t="array" ref="AJ23">SUM(COUNTIFS($C23:$AG23,{"0","4","5","6","7","8","9"}))</f>
        <v>0</v>
      </c>
      <c r="AK23" s="283" cm="1">
        <f t="array" ref="AK23">SUM(COUNTIFS($C23:$AG23,{"0","4","5","6","7","8","9"},$C$4:$AG$4,"0"))</f>
        <v>0</v>
      </c>
      <c r="AL23" s="283" cm="1">
        <f t="array" ref="AL23">SUM(COUNTIFS($C23:$AG23,{"0","4","5","6","7","8","9"},$C$4:$AG$4,"1"))</f>
        <v>0</v>
      </c>
      <c r="AM23" s="283" cm="1">
        <f t="array" ref="AM23">SUM(COUNTIFS($C23:$AG23,{"0","4","5","6","7","8","9"},$C$4:$AG$4,"2"))</f>
        <v>0</v>
      </c>
      <c r="AN23" s="283" cm="1">
        <f t="array" ref="AN23">SUM(COUNTIFS($C23:$AG23,{"0","4","5","6","7","8","9"},$C$4:$AG$4,"3"))</f>
        <v>0</v>
      </c>
      <c r="AO23" s="283" cm="1">
        <f t="array" ref="AO23">SUM(COUNTIFS($C23:$AG23,{"1","2","3"}))</f>
        <v>0</v>
      </c>
      <c r="AP23" s="283" cm="1">
        <f t="array" ref="AP23">SUM(COUNTIFS($C23:$AG23,{"4","5","6"}))</f>
        <v>0</v>
      </c>
      <c r="AQ23" s="283">
        <f>AK23*'Spreadsheet Key'!$A$23 + AL23*'Spreadsheet Key'!$A$24 + AM23*'Spreadsheet Key'!$A$25 + AN23*'Spreadsheet Key'!$A$26</f>
        <v>0</v>
      </c>
      <c r="AR23" s="3228">
        <f>(AJ23/('APR Statistics'!$B$28))*ABS(AI23-1)</f>
        <v>0</v>
      </c>
      <c r="AS23" s="3231">
        <f t="shared" ref="AS23:AS82" si="15">AT23*AI23</f>
        <v>0</v>
      </c>
      <c r="AT23" s="3229">
        <f>AR23*'APR Statistics'!$C$6</f>
        <v>0</v>
      </c>
      <c r="AU23" s="283"/>
      <c r="AV23" s="283">
        <f t="shared" si="1"/>
        <v>0</v>
      </c>
      <c r="AW23" s="283">
        <f t="shared" si="2"/>
        <v>0</v>
      </c>
      <c r="AX23" s="283">
        <f t="shared" si="3"/>
        <v>0</v>
      </c>
      <c r="AY23" s="283" cm="1">
        <f t="array" ref="AY23">COUNTIFS($C23:$AG23,"9",$C$4:$AG$4,"1")+SUM(COUNTIFS($C23:$AG23,{"8","9"},$C$4:$AG$4,"2"))+COUNTIFS($C23:$AG23,"8",$C$4:$AG$4,"3")</f>
        <v>0</v>
      </c>
      <c r="AZ23" s="283">
        <f t="shared" si="4"/>
        <v>0</v>
      </c>
      <c r="BA23" s="283">
        <f t="shared" si="5"/>
        <v>0</v>
      </c>
      <c r="BB23" s="283">
        <f>AV23*'Spreadsheet Key'!$A$27+AW23*'Spreadsheet Key'!$A$28+AX23*'Spreadsheet Key'!$A$29+AY23*'Spreadsheet Key'!$A$30+AZ23*'Spreadsheet Key'!$A$31</f>
        <v>0</v>
      </c>
      <c r="BC23" s="283"/>
      <c r="BD23" s="283"/>
      <c r="BE23" s="283"/>
      <c r="BF23" s="283"/>
      <c r="BG23" s="283"/>
      <c r="BH23" s="283"/>
    </row>
    <row r="24" spans="1:60" s="3211" customFormat="1">
      <c r="A24" s="3187" t="s">
        <v>283</v>
      </c>
      <c r="B24" s="3187" t="s">
        <v>610</v>
      </c>
      <c r="C24" s="3199">
        <v>0</v>
      </c>
      <c r="D24" s="3199">
        <v>0</v>
      </c>
      <c r="E24" s="3199">
        <v>0</v>
      </c>
      <c r="F24" s="3199">
        <v>8</v>
      </c>
      <c r="G24" s="3199">
        <v>0</v>
      </c>
      <c r="H24" s="3199">
        <v>0</v>
      </c>
      <c r="I24" s="3199">
        <v>0</v>
      </c>
      <c r="J24" s="3199">
        <v>0</v>
      </c>
      <c r="K24" s="3199">
        <v>0</v>
      </c>
      <c r="L24" s="3199">
        <v>0</v>
      </c>
      <c r="M24" s="3199">
        <v>1</v>
      </c>
      <c r="N24" s="3199">
        <v>2</v>
      </c>
      <c r="O24" s="3199">
        <v>2</v>
      </c>
      <c r="P24" s="3199">
        <v>2</v>
      </c>
      <c r="Q24" s="3199">
        <v>2</v>
      </c>
      <c r="R24" s="3199">
        <v>2</v>
      </c>
      <c r="S24" s="3199">
        <v>2</v>
      </c>
      <c r="T24" s="3199">
        <v>2</v>
      </c>
      <c r="U24" s="3199">
        <v>2</v>
      </c>
      <c r="V24" s="3199">
        <v>2</v>
      </c>
      <c r="W24" s="3199">
        <v>2</v>
      </c>
      <c r="X24" s="3199">
        <v>3</v>
      </c>
      <c r="Y24" s="3199">
        <v>0</v>
      </c>
      <c r="Z24" s="3199">
        <v>0</v>
      </c>
      <c r="AA24" s="3199">
        <v>8</v>
      </c>
      <c r="AB24" s="3199">
        <v>0</v>
      </c>
      <c r="AC24" s="3199">
        <v>0</v>
      </c>
      <c r="AD24" s="3199">
        <v>7</v>
      </c>
      <c r="AE24" s="3199">
        <v>7</v>
      </c>
      <c r="AF24" s="3199">
        <v>7</v>
      </c>
      <c r="AG24" s="3209"/>
      <c r="AH24" s="3209"/>
      <c r="AI24" s="3230">
        <v>1</v>
      </c>
      <c r="AJ24" s="283" cm="1">
        <f t="array" ref="AJ24">SUM(COUNTIFS($C24:$AG24,{"0","4","5","6","7","8","9"}))</f>
        <v>18</v>
      </c>
      <c r="AK24" s="283" cm="1">
        <f t="array" ref="AK24">SUM(COUNTIFS($C24:$AG24,{"0","4","5","6","7","8","9"},$C$4:$AG$4,"0"))</f>
        <v>12</v>
      </c>
      <c r="AL24" s="283" cm="1">
        <f t="array" ref="AL24">SUM(COUNTIFS($C24:$AG24,{"0","4","5","6","7","8","9"},$C$4:$AG$4,"1"))</f>
        <v>2</v>
      </c>
      <c r="AM24" s="283" cm="1">
        <f t="array" ref="AM24">SUM(COUNTIFS($C24:$AG24,{"0","4","5","6","7","8","9"},$C$4:$AG$4,"2"))</f>
        <v>2</v>
      </c>
      <c r="AN24" s="283" cm="1">
        <f t="array" ref="AN24">SUM(COUNTIFS($C24:$AG24,{"0","4","5","6","7","8","9"},$C$4:$AG$4,"3"))</f>
        <v>2</v>
      </c>
      <c r="AO24" s="283" cm="1">
        <f t="array" ref="AO24">SUM(COUNTIFS($C24:$AG24,{"1","2","3"}))</f>
        <v>12</v>
      </c>
      <c r="AP24" s="283" cm="1">
        <f t="array" ref="AP24">SUM(COUNTIFS($C24:$AG24,{"4","5","6"}))</f>
        <v>0</v>
      </c>
      <c r="AQ24" s="283">
        <f>AK24*'Spreadsheet Key'!$A$23 + AL24*'Spreadsheet Key'!$A$24 + AM24*'Spreadsheet Key'!$A$25 + AN24*'Spreadsheet Key'!$A$26</f>
        <v>628</v>
      </c>
      <c r="AR24" s="3228">
        <f>(AJ24/('APR Statistics'!$B$28))*ABS(AI24-1)</f>
        <v>0</v>
      </c>
      <c r="AS24" s="3231">
        <f>AT24*AI24</f>
        <v>16.8</v>
      </c>
      <c r="AT24" s="3229">
        <f>(AJ24/'APR Statistics'!$B$6)*'Spreadsheet Key'!$A$32</f>
        <v>16.8</v>
      </c>
      <c r="AU24" s="283"/>
      <c r="AV24" s="283">
        <f t="shared" si="1"/>
        <v>0</v>
      </c>
      <c r="AW24" s="283">
        <f t="shared" si="2"/>
        <v>0</v>
      </c>
      <c r="AX24" s="283">
        <f t="shared" si="3"/>
        <v>2</v>
      </c>
      <c r="AY24" s="283" cm="1">
        <f t="array" ref="AY24">COUNTIFS($C24:$AG24,"9",$C$4:$AG$4,"1")+SUM(COUNTIFS($C24:$AG24,{"8","9"},$C$4:$AG$4,"2"))+COUNTIFS($C24:$AG24,"8",$C$4:$AG$4,"3")</f>
        <v>0</v>
      </c>
      <c r="AZ24" s="283">
        <f t="shared" si="4"/>
        <v>0</v>
      </c>
      <c r="BA24" s="283">
        <f t="shared" si="5"/>
        <v>2</v>
      </c>
      <c r="BB24" s="283">
        <f>AV24*'Spreadsheet Key'!$A$27+AW24*'Spreadsheet Key'!$A$28+AX24*'Spreadsheet Key'!$A$29+AY24*'Spreadsheet Key'!$A$30+AZ24*'Spreadsheet Key'!$A$31</f>
        <v>36</v>
      </c>
      <c r="BC24" s="283"/>
      <c r="BD24" s="283">
        <f t="shared" ref="BD24" si="16">AT24-BB24</f>
        <v>-19.2</v>
      </c>
      <c r="BE24" s="3210"/>
      <c r="BF24" s="3210"/>
      <c r="BG24" s="3210"/>
      <c r="BH24" s="3210"/>
    </row>
    <row r="25" spans="1:60">
      <c r="A25" s="3212"/>
      <c r="B25" s="3212"/>
      <c r="C25" s="6276" t="s">
        <v>375</v>
      </c>
      <c r="D25" s="6276"/>
      <c r="E25" s="6276"/>
      <c r="F25" s="6276"/>
      <c r="G25" s="6276"/>
      <c r="H25" s="6276"/>
      <c r="I25" s="3181"/>
      <c r="J25" s="3181"/>
      <c r="K25" s="3181"/>
      <c r="L25" s="3181"/>
      <c r="M25" s="3181"/>
      <c r="N25" s="3181"/>
      <c r="O25" s="3182" t="s">
        <v>722</v>
      </c>
      <c r="P25" s="3181"/>
      <c r="Q25" s="3181"/>
      <c r="R25" s="3181"/>
      <c r="S25" s="3181"/>
      <c r="T25" s="3181"/>
      <c r="U25" s="3181"/>
      <c r="V25" s="3181"/>
      <c r="W25" s="3181"/>
      <c r="X25" s="3181"/>
      <c r="Y25" s="3181"/>
      <c r="Z25" s="3181"/>
      <c r="AA25" s="3181"/>
      <c r="AB25" s="3181"/>
      <c r="AC25" s="3181"/>
      <c r="AD25" s="3182" t="s">
        <v>722</v>
      </c>
      <c r="AE25" s="3181"/>
      <c r="AF25" s="3181"/>
      <c r="AG25" s="3126"/>
      <c r="AH25" s="3126"/>
      <c r="AI25" s="3230"/>
      <c r="AJ25" s="283" cm="1">
        <f t="array" ref="AJ25">SUM(COUNTIFS($C25:$AG25,{"0","4","5","6","7","8","9"}))</f>
        <v>0</v>
      </c>
      <c r="AK25" s="283" cm="1">
        <f t="array" ref="AK25">SUM(COUNTIFS($C25:$AG25,{"0","4","5","6","7","8","9"},$C$4:$AG$4,"0"))</f>
        <v>0</v>
      </c>
      <c r="AL25" s="283" cm="1">
        <f t="array" ref="AL25">SUM(COUNTIFS($C25:$AG25,{"0","4","5","6","7","8","9"},$C$4:$AG$4,"1"))</f>
        <v>0</v>
      </c>
      <c r="AM25" s="283" cm="1">
        <f t="array" ref="AM25">SUM(COUNTIFS($C25:$AG25,{"0","4","5","6","7","8","9"},$C$4:$AG$4,"2"))</f>
        <v>0</v>
      </c>
      <c r="AN25" s="283" cm="1">
        <f t="array" ref="AN25">SUM(COUNTIFS($C25:$AG25,{"0","4","5","6","7","8","9"},$C$4:$AG$4,"3"))</f>
        <v>0</v>
      </c>
      <c r="AO25" s="283" cm="1">
        <f t="array" ref="AO25">SUM(COUNTIFS($C25:$AG25,{"1","2","3"}))</f>
        <v>0</v>
      </c>
      <c r="AP25" s="283" cm="1">
        <f t="array" ref="AP25">SUM(COUNTIFS($C25:$AG25,{"4","5","6"}))</f>
        <v>0</v>
      </c>
      <c r="AQ25" s="283">
        <f>AK25*'Spreadsheet Key'!$A$23 + AL25*'Spreadsheet Key'!$A$24 + AM25*'Spreadsheet Key'!$A$25 + AN25*'Spreadsheet Key'!$A$26</f>
        <v>0</v>
      </c>
      <c r="AR25" s="3228">
        <f>(AJ25/('APR Statistics'!$B$28))*ABS(AI25-1)</f>
        <v>0</v>
      </c>
      <c r="AS25" s="3231">
        <f t="shared" ref="AS25:AS84" si="17">AT25*AI25</f>
        <v>0</v>
      </c>
      <c r="AT25" s="3229">
        <f>AR25*'APR Statistics'!$C$6</f>
        <v>0</v>
      </c>
      <c r="AU25" s="283"/>
      <c r="AV25" s="283">
        <f t="shared" si="1"/>
        <v>0</v>
      </c>
      <c r="AW25" s="283">
        <f t="shared" si="2"/>
        <v>0</v>
      </c>
      <c r="AX25" s="283">
        <f t="shared" si="3"/>
        <v>0</v>
      </c>
      <c r="AY25" s="283" cm="1">
        <f t="array" ref="AY25">COUNTIFS($C25:$AG25,"9",$C$4:$AG$4,"1")+SUM(COUNTIFS($C25:$AG25,{"8","9"},$C$4:$AG$4,"2"))+COUNTIFS($C25:$AG25,"8",$C$4:$AG$4,"3")</f>
        <v>0</v>
      </c>
      <c r="AZ25" s="283">
        <f t="shared" si="4"/>
        <v>0</v>
      </c>
      <c r="BA25" s="283">
        <f t="shared" si="5"/>
        <v>0</v>
      </c>
      <c r="BB25" s="283">
        <f>AV25*'Spreadsheet Key'!$A$27+AW25*'Spreadsheet Key'!$A$28+AX25*'Spreadsheet Key'!$A$29+AY25*'Spreadsheet Key'!$A$30+AZ25*'Spreadsheet Key'!$A$31</f>
        <v>0</v>
      </c>
      <c r="BC25" s="283"/>
      <c r="BD25" s="283"/>
      <c r="BE25" s="283"/>
      <c r="BF25" s="283"/>
      <c r="BG25" s="283"/>
      <c r="BH25" s="283"/>
    </row>
    <row r="26" spans="1:60" s="3211" customFormat="1">
      <c r="A26" s="3187" t="s">
        <v>122</v>
      </c>
      <c r="B26" s="3187" t="s">
        <v>553</v>
      </c>
      <c r="C26" s="3199">
        <v>2</v>
      </c>
      <c r="D26" s="3199">
        <v>2</v>
      </c>
      <c r="E26" s="3199">
        <v>2</v>
      </c>
      <c r="F26" s="3199">
        <v>2</v>
      </c>
      <c r="G26" s="3199">
        <v>2</v>
      </c>
      <c r="H26" s="3199">
        <v>3</v>
      </c>
      <c r="I26" s="3199">
        <v>0</v>
      </c>
      <c r="J26" s="3199">
        <v>0</v>
      </c>
      <c r="K26" s="3199">
        <v>0</v>
      </c>
      <c r="L26" s="3199">
        <v>0</v>
      </c>
      <c r="M26" s="3199">
        <v>0</v>
      </c>
      <c r="N26" s="3199">
        <v>0</v>
      </c>
      <c r="O26" s="3199">
        <v>9</v>
      </c>
      <c r="P26" s="3199">
        <v>0</v>
      </c>
      <c r="Q26" s="3199">
        <v>0</v>
      </c>
      <c r="R26" s="3199">
        <v>0</v>
      </c>
      <c r="S26" s="3199">
        <v>0</v>
      </c>
      <c r="T26" s="3199">
        <v>0</v>
      </c>
      <c r="U26" s="3199">
        <v>0</v>
      </c>
      <c r="V26" s="3199">
        <v>0</v>
      </c>
      <c r="W26" s="3199">
        <v>0</v>
      </c>
      <c r="X26" s="3199">
        <v>0</v>
      </c>
      <c r="Y26" s="3199">
        <v>0</v>
      </c>
      <c r="Z26" s="3199">
        <v>0</v>
      </c>
      <c r="AA26" s="3199">
        <v>0</v>
      </c>
      <c r="AB26" s="3199">
        <v>0</v>
      </c>
      <c r="AC26" s="3199">
        <v>0</v>
      </c>
      <c r="AD26" s="3199">
        <v>9</v>
      </c>
      <c r="AE26" s="3199">
        <v>0</v>
      </c>
      <c r="AF26" s="3199">
        <v>0</v>
      </c>
      <c r="AG26" s="3209"/>
      <c r="AH26" s="3209"/>
      <c r="AI26" s="3230">
        <v>0</v>
      </c>
      <c r="AJ26" s="283" cm="1">
        <f t="array" ref="AJ26">SUM(COUNTIFS($C26:$AG26,{"0","4","5","6","7","8","9"}))</f>
        <v>24</v>
      </c>
      <c r="AK26" s="283" cm="1">
        <f t="array" ref="AK26">SUM(COUNTIFS($C26:$AG26,{"0","4","5","6","7","8","9"},$C$4:$AG$4,"0"))</f>
        <v>14</v>
      </c>
      <c r="AL26" s="283" cm="1">
        <f t="array" ref="AL26">SUM(COUNTIFS($C26:$AG26,{"0","4","5","6","7","8","9"},$C$4:$AG$4,"1"))</f>
        <v>3</v>
      </c>
      <c r="AM26" s="283" cm="1">
        <f t="array" ref="AM26">SUM(COUNTIFS($C26:$AG26,{"0","4","5","6","7","8","9"},$C$4:$AG$4,"2"))</f>
        <v>4</v>
      </c>
      <c r="AN26" s="283" cm="1">
        <f t="array" ref="AN26">SUM(COUNTIFS($C26:$AG26,{"0","4","5","6","7","8","9"},$C$4:$AG$4,"3"))</f>
        <v>3</v>
      </c>
      <c r="AO26" s="283" cm="1">
        <f t="array" ref="AO26">SUM(COUNTIFS($C26:$AG26,{"1","2","3"}))</f>
        <v>6</v>
      </c>
      <c r="AP26" s="283" cm="1">
        <f t="array" ref="AP26">SUM(COUNTIFS($C26:$AG26,{"4","5","6"}))</f>
        <v>0</v>
      </c>
      <c r="AQ26" s="283">
        <f>AK26*'Spreadsheet Key'!$A$23 + AL26*'Spreadsheet Key'!$A$24 + AM26*'Spreadsheet Key'!$A$25 + AN26*'Spreadsheet Key'!$A$26</f>
        <v>926</v>
      </c>
      <c r="AR26" s="3228">
        <f>(AJ26/('APR Statistics'!$B$28))*ABS(AI26-1)</f>
        <v>4.5801526717557252E-2</v>
      </c>
      <c r="AS26" s="3231">
        <f t="shared" si="17"/>
        <v>0</v>
      </c>
      <c r="AT26" s="3229">
        <f>AR26*'APR Statistics'!$C$11</f>
        <v>44.390839694656492</v>
      </c>
      <c r="AU26" s="283"/>
      <c r="AV26" s="283">
        <f t="shared" si="1"/>
        <v>0</v>
      </c>
      <c r="AW26" s="283">
        <f t="shared" si="2"/>
        <v>1</v>
      </c>
      <c r="AX26" s="283">
        <f t="shared" si="3"/>
        <v>0</v>
      </c>
      <c r="AY26" s="283" cm="1">
        <f t="array" ref="AY26">COUNTIFS($C26:$AG26,"9",$C$4:$AG$4,"1")+SUM(COUNTIFS($C26:$AG26,{"8","9"},$C$4:$AG$4,"2"))+COUNTIFS($C26:$AG26,"8",$C$4:$AG$4,"3")</f>
        <v>0</v>
      </c>
      <c r="AZ26" s="283">
        <f t="shared" si="4"/>
        <v>1</v>
      </c>
      <c r="BA26" s="283">
        <f t="shared" si="5"/>
        <v>2</v>
      </c>
      <c r="BB26" s="283">
        <f>AV26*'Spreadsheet Key'!$A$27+AW26*'Spreadsheet Key'!$A$28+AX26*'Spreadsheet Key'!$A$29+AY26*'Spreadsheet Key'!$A$30+AZ26*'Spreadsheet Key'!$A$31</f>
        <v>32</v>
      </c>
      <c r="BC26" s="283"/>
      <c r="BD26" s="283">
        <f t="shared" ref="BD26" si="18">AT26-BB26</f>
        <v>12.390839694656492</v>
      </c>
      <c r="BE26" s="3210"/>
      <c r="BF26" s="3210"/>
      <c r="BG26" s="3210"/>
      <c r="BH26" s="3210"/>
    </row>
    <row r="27" spans="1:60">
      <c r="A27" s="3212"/>
      <c r="B27" s="3181"/>
      <c r="C27" s="3181"/>
      <c r="D27" s="3181"/>
      <c r="E27" s="3181"/>
      <c r="F27" s="3181"/>
      <c r="G27" s="3181"/>
      <c r="H27" s="3181"/>
      <c r="I27" s="3181"/>
      <c r="J27" s="3181"/>
      <c r="K27" s="3181"/>
      <c r="L27" s="3010" t="s">
        <v>1025</v>
      </c>
      <c r="M27" s="6249" t="s">
        <v>1231</v>
      </c>
      <c r="N27" s="6249"/>
      <c r="O27" s="3010" t="s">
        <v>1025</v>
      </c>
      <c r="P27" s="3181"/>
      <c r="Q27" s="3182" t="s">
        <v>720</v>
      </c>
      <c r="R27" s="3181"/>
      <c r="S27" s="3181"/>
      <c r="T27" s="3181"/>
      <c r="U27" s="3181"/>
      <c r="V27" s="3182" t="s">
        <v>722</v>
      </c>
      <c r="W27" s="3181"/>
      <c r="X27" s="3181"/>
      <c r="Y27" s="3181"/>
      <c r="Z27" s="3181"/>
      <c r="AA27" s="3181"/>
      <c r="AB27" s="3181"/>
      <c r="AC27" s="3181"/>
      <c r="AD27" s="3181"/>
      <c r="AE27" s="3181"/>
      <c r="AF27" s="3181"/>
      <c r="AG27" s="3126"/>
      <c r="AH27" s="3126"/>
      <c r="AI27" s="3230"/>
      <c r="AJ27" s="283" cm="1">
        <f t="array" ref="AJ27">SUM(COUNTIFS($C27:$AG27,{"0","4","5","6","7","8","9"}))</f>
        <v>0</v>
      </c>
      <c r="AK27" s="283" cm="1">
        <f t="array" ref="AK27">SUM(COUNTIFS($C27:$AG27,{"0","4","5","6","7","8","9"},$C$4:$AG$4,"0"))</f>
        <v>0</v>
      </c>
      <c r="AL27" s="283" cm="1">
        <f t="array" ref="AL27">SUM(COUNTIFS($C27:$AG27,{"0","4","5","6","7","8","9"},$C$4:$AG$4,"1"))</f>
        <v>0</v>
      </c>
      <c r="AM27" s="283" cm="1">
        <f t="array" ref="AM27">SUM(COUNTIFS($C27:$AG27,{"0","4","5","6","7","8","9"},$C$4:$AG$4,"2"))</f>
        <v>0</v>
      </c>
      <c r="AN27" s="283" cm="1">
        <f t="array" ref="AN27">SUM(COUNTIFS($C27:$AG27,{"0","4","5","6","7","8","9"},$C$4:$AG$4,"3"))</f>
        <v>0</v>
      </c>
      <c r="AO27" s="283" cm="1">
        <f t="array" ref="AO27">SUM(COUNTIFS($C27:$AG27,{"1","2","3"}))</f>
        <v>0</v>
      </c>
      <c r="AP27" s="283" cm="1">
        <f t="array" ref="AP27">SUM(COUNTIFS($C27:$AG27,{"4","5","6"}))</f>
        <v>0</v>
      </c>
      <c r="AQ27" s="283">
        <f>AK27*'Spreadsheet Key'!$A$23 + AL27*'Spreadsheet Key'!$A$24 + AM27*'Spreadsheet Key'!$A$25 + AN27*'Spreadsheet Key'!$A$26</f>
        <v>0</v>
      </c>
      <c r="AR27" s="3228">
        <f>(AJ27/('APR Statistics'!$B$28))*ABS(AI27-1)</f>
        <v>0</v>
      </c>
      <c r="AS27" s="3231">
        <f t="shared" si="17"/>
        <v>0</v>
      </c>
      <c r="AT27" s="3229">
        <f>AR27*'APR Statistics'!$C$11</f>
        <v>0</v>
      </c>
      <c r="AU27" s="283"/>
      <c r="AV27" s="283">
        <f t="shared" si="1"/>
        <v>0</v>
      </c>
      <c r="AW27" s="283">
        <f t="shared" si="2"/>
        <v>0</v>
      </c>
      <c r="AX27" s="283">
        <f t="shared" si="3"/>
        <v>0</v>
      </c>
      <c r="AY27" s="283" cm="1">
        <f t="array" ref="AY27">COUNTIFS($C27:$AG27,"9",$C$4:$AG$4,"1")+SUM(COUNTIFS($C27:$AG27,{"8","9"},$C$4:$AG$4,"2"))+COUNTIFS($C27:$AG27,"8",$C$4:$AG$4,"3")</f>
        <v>0</v>
      </c>
      <c r="AZ27" s="283">
        <f t="shared" si="4"/>
        <v>0</v>
      </c>
      <c r="BA27" s="283">
        <f t="shared" si="5"/>
        <v>0</v>
      </c>
      <c r="BB27" s="283">
        <f>AV27*'Spreadsheet Key'!$A$27+AW27*'Spreadsheet Key'!$A$28+AX27*'Spreadsheet Key'!$A$29+AY27*'Spreadsheet Key'!$A$30+AZ27*'Spreadsheet Key'!$A$31</f>
        <v>0</v>
      </c>
      <c r="BC27" s="283"/>
      <c r="BD27" s="283"/>
      <c r="BE27" s="283"/>
      <c r="BF27" s="283"/>
      <c r="BG27" s="283"/>
      <c r="BH27" s="283"/>
    </row>
    <row r="28" spans="1:60" s="3211" customFormat="1">
      <c r="A28" s="3187" t="s">
        <v>293</v>
      </c>
      <c r="B28" s="3187" t="s">
        <v>733</v>
      </c>
      <c r="C28" s="3199">
        <v>0</v>
      </c>
      <c r="D28" s="3199">
        <v>0</v>
      </c>
      <c r="E28" s="3199">
        <v>0</v>
      </c>
      <c r="F28" s="3199">
        <v>0</v>
      </c>
      <c r="G28" s="3199">
        <v>0</v>
      </c>
      <c r="H28" s="3199">
        <v>0</v>
      </c>
      <c r="I28" s="3199">
        <v>0</v>
      </c>
      <c r="J28" s="3199">
        <v>0</v>
      </c>
      <c r="K28" s="3199">
        <v>0</v>
      </c>
      <c r="L28" s="3199">
        <v>1</v>
      </c>
      <c r="M28" s="3199">
        <v>2</v>
      </c>
      <c r="N28" s="3199">
        <v>2</v>
      </c>
      <c r="O28" s="3199">
        <v>3</v>
      </c>
      <c r="P28" s="3199">
        <v>0</v>
      </c>
      <c r="Q28" s="3199">
        <v>8</v>
      </c>
      <c r="R28" s="3199">
        <v>0</v>
      </c>
      <c r="S28" s="3199">
        <v>0</v>
      </c>
      <c r="T28" s="3199">
        <v>0</v>
      </c>
      <c r="U28" s="3199">
        <v>0</v>
      </c>
      <c r="V28" s="3199">
        <v>9</v>
      </c>
      <c r="W28" s="3199">
        <v>0</v>
      </c>
      <c r="X28" s="3199">
        <v>0</v>
      </c>
      <c r="Y28" s="3199">
        <v>0</v>
      </c>
      <c r="Z28" s="3199">
        <v>0</v>
      </c>
      <c r="AA28" s="3199">
        <v>0</v>
      </c>
      <c r="AB28" s="3199">
        <v>0</v>
      </c>
      <c r="AC28" s="3199">
        <v>0</v>
      </c>
      <c r="AD28" s="3199">
        <v>0</v>
      </c>
      <c r="AE28" s="3199">
        <v>0</v>
      </c>
      <c r="AF28" s="3199">
        <v>0</v>
      </c>
      <c r="AG28" s="3209"/>
      <c r="AH28" s="3209"/>
      <c r="AI28" s="3230">
        <v>0</v>
      </c>
      <c r="AJ28" s="283" cm="1">
        <f t="array" ref="AJ28">SUM(COUNTIFS($C28:$AG28,{"0","4","5","6","7","8","9"}))</f>
        <v>26</v>
      </c>
      <c r="AK28" s="283" cm="1">
        <f t="array" ref="AK28">SUM(COUNTIFS($C28:$AG28,{"0","4","5","6","7","8","9"},$C$4:$AG$4,"0"))</f>
        <v>16</v>
      </c>
      <c r="AL28" s="283" cm="1">
        <f t="array" ref="AL28">SUM(COUNTIFS($C28:$AG28,{"0","4","5","6","7","8","9"},$C$4:$AG$4,"1"))</f>
        <v>3</v>
      </c>
      <c r="AM28" s="283" cm="1">
        <f t="array" ref="AM28">SUM(COUNTIFS($C28:$AG28,{"0","4","5","6","7","8","9"},$C$4:$AG$4,"2"))</f>
        <v>4</v>
      </c>
      <c r="AN28" s="283" cm="1">
        <f t="array" ref="AN28">SUM(COUNTIFS($C28:$AG28,{"0","4","5","6","7","8","9"},$C$4:$AG$4,"3"))</f>
        <v>3</v>
      </c>
      <c r="AO28" s="283" cm="1">
        <f t="array" ref="AO28">SUM(COUNTIFS($C28:$AG28,{"1","2","3"}))</f>
        <v>4</v>
      </c>
      <c r="AP28" s="283" cm="1">
        <f t="array" ref="AP28">SUM(COUNTIFS($C28:$AG28,{"4","5","6"}))</f>
        <v>0</v>
      </c>
      <c r="AQ28" s="283">
        <f>AK28*'Spreadsheet Key'!$A$23 + AL28*'Spreadsheet Key'!$A$24 + AM28*'Spreadsheet Key'!$A$25 + AN28*'Spreadsheet Key'!$A$26</f>
        <v>970</v>
      </c>
      <c r="AR28" s="3228">
        <f>(AJ28/('APR Statistics'!$B$28))*ABS(AI28-1)</f>
        <v>4.9618320610687022E-2</v>
      </c>
      <c r="AS28" s="3231">
        <f t="shared" si="17"/>
        <v>0</v>
      </c>
      <c r="AT28" s="3229">
        <f>AR28*'APR Statistics'!$C$11</f>
        <v>48.090076335877868</v>
      </c>
      <c r="AU28" s="283"/>
      <c r="AV28" s="283">
        <f t="shared" si="1"/>
        <v>1</v>
      </c>
      <c r="AW28" s="283">
        <f t="shared" si="2"/>
        <v>0</v>
      </c>
      <c r="AX28" s="283">
        <f t="shared" si="3"/>
        <v>0</v>
      </c>
      <c r="AY28" s="283" cm="1">
        <f t="array" ref="AY28">COUNTIFS($C28:$AG28,"9",$C$4:$AG$4,"1")+SUM(COUNTIFS($C28:$AG28,{"8","9"},$C$4:$AG$4,"2"))+COUNTIFS($C28:$AG28,"8",$C$4:$AG$4,"3")</f>
        <v>0</v>
      </c>
      <c r="AZ28" s="283">
        <f t="shared" si="4"/>
        <v>1</v>
      </c>
      <c r="BA28" s="283">
        <f t="shared" si="5"/>
        <v>2</v>
      </c>
      <c r="BB28" s="283">
        <f>AV28*'Spreadsheet Key'!$A$27+AW28*'Spreadsheet Key'!$A$28+AX28*'Spreadsheet Key'!$A$29+AY28*'Spreadsheet Key'!$A$30+AZ28*'Spreadsheet Key'!$A$31</f>
        <v>30</v>
      </c>
      <c r="BC28" s="283"/>
      <c r="BD28" s="283">
        <f t="shared" ref="BD28" si="19">AT28-BB28</f>
        <v>18.090076335877868</v>
      </c>
      <c r="BE28" s="3210"/>
      <c r="BF28" s="3210"/>
      <c r="BG28" s="3210"/>
      <c r="BH28" s="3210"/>
    </row>
    <row r="29" spans="1:60">
      <c r="A29" s="3212"/>
      <c r="B29" s="3212"/>
      <c r="C29" s="3182"/>
      <c r="D29" s="3182"/>
      <c r="E29" s="3181"/>
      <c r="F29" s="3218" t="s">
        <v>722</v>
      </c>
      <c r="G29" s="3182"/>
      <c r="H29" s="3189" t="s">
        <v>251</v>
      </c>
      <c r="I29" s="6278" t="s">
        <v>1266</v>
      </c>
      <c r="J29" s="6278"/>
      <c r="K29" s="6278"/>
      <c r="L29" s="6278"/>
      <c r="M29" s="6278"/>
      <c r="N29" s="6278"/>
      <c r="O29" s="6278"/>
      <c r="P29" s="3189" t="s">
        <v>251</v>
      </c>
      <c r="Q29" s="3181"/>
      <c r="R29" s="3181"/>
      <c r="S29" s="3181"/>
      <c r="T29" s="3181"/>
      <c r="U29" s="3181"/>
      <c r="V29" s="3181"/>
      <c r="W29" s="3182" t="s">
        <v>722</v>
      </c>
      <c r="X29" s="3181"/>
      <c r="Y29" s="3181"/>
      <c r="Z29" s="3181"/>
      <c r="AA29" s="3181"/>
      <c r="AB29" s="3181"/>
      <c r="AC29" s="3181"/>
      <c r="AD29" s="3181"/>
      <c r="AE29" s="3181"/>
      <c r="AF29" s="3181"/>
      <c r="AG29" s="3126"/>
      <c r="AH29" s="3126"/>
      <c r="AI29" s="3230"/>
      <c r="AJ29" s="283" cm="1">
        <f t="array" ref="AJ29">SUM(COUNTIFS($C29:$AG29,{"0","4","5","6","7","8","9"}))</f>
        <v>0</v>
      </c>
      <c r="AK29" s="283" cm="1">
        <f t="array" ref="AK29">SUM(COUNTIFS($C29:$AG29,{"0","4","5","6","7","8","9"},$C$4:$AG$4,"0"))</f>
        <v>0</v>
      </c>
      <c r="AL29" s="283" cm="1">
        <f t="array" ref="AL29">SUM(COUNTIFS($C29:$AG29,{"0","4","5","6","7","8","9"},$C$4:$AG$4,"1"))</f>
        <v>0</v>
      </c>
      <c r="AM29" s="283" cm="1">
        <f t="array" ref="AM29">SUM(COUNTIFS($C29:$AG29,{"0","4","5","6","7","8","9"},$C$4:$AG$4,"2"))</f>
        <v>0</v>
      </c>
      <c r="AN29" s="283" cm="1">
        <f t="array" ref="AN29">SUM(COUNTIFS($C29:$AG29,{"0","4","5","6","7","8","9"},$C$4:$AG$4,"3"))</f>
        <v>0</v>
      </c>
      <c r="AO29" s="283" cm="1">
        <f t="array" ref="AO29">SUM(COUNTIFS($C29:$AG29,{"1","2","3"}))</f>
        <v>0</v>
      </c>
      <c r="AP29" s="283" cm="1">
        <f t="array" ref="AP29">SUM(COUNTIFS($C29:$AG29,{"4","5","6"}))</f>
        <v>0</v>
      </c>
      <c r="AQ29" s="283">
        <f>AK29*'Spreadsheet Key'!$A$23 + AL29*'Spreadsheet Key'!$A$24 + AM29*'Spreadsheet Key'!$A$25 + AN29*'Spreadsheet Key'!$A$26</f>
        <v>0</v>
      </c>
      <c r="AR29" s="3228">
        <f>(AJ29/('APR Statistics'!$B$28))*ABS(AI29-1)</f>
        <v>0</v>
      </c>
      <c r="AS29" s="3231">
        <f t="shared" si="17"/>
        <v>0</v>
      </c>
      <c r="AT29" s="3229">
        <f>AR29*'APR Statistics'!$C$11</f>
        <v>0</v>
      </c>
      <c r="AU29" s="283"/>
      <c r="AV29" s="283">
        <f t="shared" si="1"/>
        <v>0</v>
      </c>
      <c r="AW29" s="283">
        <f t="shared" si="2"/>
        <v>0</v>
      </c>
      <c r="AX29" s="283">
        <f t="shared" si="3"/>
        <v>0</v>
      </c>
      <c r="AY29" s="283" cm="1">
        <f t="array" ref="AY29">COUNTIFS($C29:$AG29,"9",$C$4:$AG$4,"1")+SUM(COUNTIFS($C29:$AG29,{"8","9"},$C$4:$AG$4,"2"))+COUNTIFS($C29:$AG29,"8",$C$4:$AG$4,"3")</f>
        <v>0</v>
      </c>
      <c r="AZ29" s="283">
        <f t="shared" si="4"/>
        <v>0</v>
      </c>
      <c r="BA29" s="283">
        <f t="shared" si="5"/>
        <v>0</v>
      </c>
      <c r="BB29" s="283">
        <f>AV29*'Spreadsheet Key'!$A$27+AW29*'Spreadsheet Key'!$A$28+AX29*'Spreadsheet Key'!$A$29+AY29*'Spreadsheet Key'!$A$30+AZ29*'Spreadsheet Key'!$A$31</f>
        <v>0</v>
      </c>
      <c r="BC29" s="283"/>
      <c r="BD29" s="283"/>
      <c r="BE29" s="283"/>
      <c r="BF29" s="283"/>
      <c r="BG29" s="283"/>
      <c r="BH29" s="283"/>
    </row>
    <row r="30" spans="1:60" s="3211" customFormat="1">
      <c r="A30" s="3187" t="s">
        <v>692</v>
      </c>
      <c r="B30" s="3187" t="s">
        <v>693</v>
      </c>
      <c r="C30" s="3206">
        <v>0</v>
      </c>
      <c r="D30" s="3206">
        <v>0</v>
      </c>
      <c r="E30" s="3206">
        <v>0</v>
      </c>
      <c r="F30" s="3206">
        <v>9</v>
      </c>
      <c r="G30" s="3206">
        <v>0</v>
      </c>
      <c r="H30" s="3199">
        <v>1</v>
      </c>
      <c r="I30" s="3199">
        <v>2</v>
      </c>
      <c r="J30" s="3199">
        <v>2</v>
      </c>
      <c r="K30" s="3199">
        <v>2</v>
      </c>
      <c r="L30" s="3199">
        <v>2</v>
      </c>
      <c r="M30" s="3199">
        <v>2</v>
      </c>
      <c r="N30" s="3199">
        <v>2</v>
      </c>
      <c r="O30" s="3199">
        <v>2</v>
      </c>
      <c r="P30" s="3199">
        <v>3</v>
      </c>
      <c r="Q30" s="3206">
        <v>0</v>
      </c>
      <c r="R30" s="3206">
        <v>0</v>
      </c>
      <c r="S30" s="3206">
        <v>0</v>
      </c>
      <c r="T30" s="3206">
        <v>0</v>
      </c>
      <c r="U30" s="3206">
        <v>0</v>
      </c>
      <c r="V30" s="3206">
        <v>0</v>
      </c>
      <c r="W30" s="3206">
        <v>9</v>
      </c>
      <c r="X30" s="3206">
        <v>0</v>
      </c>
      <c r="Y30" s="3206">
        <v>0</v>
      </c>
      <c r="Z30" s="3206">
        <v>0</v>
      </c>
      <c r="AA30" s="3206">
        <v>0</v>
      </c>
      <c r="AB30" s="3206">
        <v>0</v>
      </c>
      <c r="AC30" s="3206">
        <v>0</v>
      </c>
      <c r="AD30" s="3206">
        <v>0</v>
      </c>
      <c r="AE30" s="3206">
        <v>0</v>
      </c>
      <c r="AF30" s="3206">
        <v>0</v>
      </c>
      <c r="AG30" s="3209"/>
      <c r="AH30" s="3209"/>
      <c r="AI30" s="3230">
        <v>0</v>
      </c>
      <c r="AJ30" s="283" cm="1">
        <f t="array" ref="AJ30">SUM(COUNTIFS($C30:$AG30,{"0","4","5","6","7","8","9"}))</f>
        <v>21</v>
      </c>
      <c r="AK30" s="283" cm="1">
        <f t="array" ref="AK30">SUM(COUNTIFS($C30:$AG30,{"0","4","5","6","7","8","9"},$C$4:$AG$4,"0"))</f>
        <v>12</v>
      </c>
      <c r="AL30" s="283" cm="1">
        <f t="array" ref="AL30">SUM(COUNTIFS($C30:$AG30,{"0","4","5","6","7","8","9"},$C$4:$AG$4,"1"))</f>
        <v>3</v>
      </c>
      <c r="AM30" s="283" cm="1">
        <f t="array" ref="AM30">SUM(COUNTIFS($C30:$AG30,{"0","4","5","6","7","8","9"},$C$4:$AG$4,"2"))</f>
        <v>4</v>
      </c>
      <c r="AN30" s="283" cm="1">
        <f t="array" ref="AN30">SUM(COUNTIFS($C30:$AG30,{"0","4","5","6","7","8","9"},$C$4:$AG$4,"3"))</f>
        <v>2</v>
      </c>
      <c r="AO30" s="283" cm="1">
        <f t="array" ref="AO30">SUM(COUNTIFS($C30:$AG30,{"1","2","3"}))</f>
        <v>9</v>
      </c>
      <c r="AP30" s="283" cm="1">
        <f t="array" ref="AP30">SUM(COUNTIFS($C30:$AG30,{"4","5","6"}))</f>
        <v>0</v>
      </c>
      <c r="AQ30" s="283">
        <f>AK30*'Spreadsheet Key'!$A$23 + AL30*'Spreadsheet Key'!$A$24 + AM30*'Spreadsheet Key'!$A$25 + AN30*'Spreadsheet Key'!$A$26</f>
        <v>826</v>
      </c>
      <c r="AR30" s="3228">
        <f>(AJ30/('APR Statistics'!$B$28))*ABS(AI30-1)</f>
        <v>4.0076335877862593E-2</v>
      </c>
      <c r="AS30" s="3231">
        <f t="shared" si="17"/>
        <v>0</v>
      </c>
      <c r="AT30" s="3229">
        <f>AR30*'APR Statistics'!$C$11</f>
        <v>38.841984732824429</v>
      </c>
      <c r="AU30" s="283"/>
      <c r="AV30" s="283">
        <f t="shared" si="1"/>
        <v>0</v>
      </c>
      <c r="AW30" s="283">
        <f t="shared" si="2"/>
        <v>1</v>
      </c>
      <c r="AX30" s="283">
        <f t="shared" si="3"/>
        <v>0</v>
      </c>
      <c r="AY30" s="283" cm="1">
        <f t="array" ref="AY30">COUNTIFS($C30:$AG30,"9",$C$4:$AG$4,"1")+SUM(COUNTIFS($C30:$AG30,{"8","9"},$C$4:$AG$4,"2"))+COUNTIFS($C30:$AG30,"8",$C$4:$AG$4,"3")</f>
        <v>1</v>
      </c>
      <c r="AZ30" s="283">
        <f t="shared" si="4"/>
        <v>0</v>
      </c>
      <c r="BA30" s="283">
        <f t="shared" si="5"/>
        <v>2</v>
      </c>
      <c r="BB30" s="283">
        <f>AV30*'Spreadsheet Key'!$A$27+AW30*'Spreadsheet Key'!$A$28+AX30*'Spreadsheet Key'!$A$29+AY30*'Spreadsheet Key'!$A$30+AZ30*'Spreadsheet Key'!$A$31</f>
        <v>48</v>
      </c>
      <c r="BC30" s="283"/>
      <c r="BD30" s="283">
        <f t="shared" ref="BD30" si="20">AT30-BB30</f>
        <v>-9.1580152671755712</v>
      </c>
      <c r="BE30" s="3210"/>
      <c r="BF30" s="3210"/>
      <c r="BG30" s="3210"/>
      <c r="BH30" s="3210"/>
    </row>
    <row r="31" spans="1:60">
      <c r="A31" s="3212"/>
      <c r="B31" s="3212"/>
      <c r="C31" s="3182" t="s">
        <v>720</v>
      </c>
      <c r="D31" s="3181"/>
      <c r="E31" s="3181"/>
      <c r="F31" s="3181"/>
      <c r="G31" s="3181"/>
      <c r="H31" s="3181"/>
      <c r="I31" s="3181"/>
      <c r="J31" s="3181"/>
      <c r="K31" s="3181"/>
      <c r="L31" s="3181"/>
      <c r="M31" s="3181"/>
      <c r="N31" s="3181"/>
      <c r="O31" s="3181"/>
      <c r="P31" s="3181"/>
      <c r="Q31" s="3181"/>
      <c r="R31" s="3181"/>
      <c r="S31" s="3181"/>
      <c r="T31" s="3181"/>
      <c r="U31" s="3181"/>
      <c r="V31" s="3181"/>
      <c r="W31" s="3181"/>
      <c r="X31" s="3181"/>
      <c r="Y31" s="3181"/>
      <c r="Z31" s="3181"/>
      <c r="AA31" s="3182"/>
      <c r="AB31" s="3181"/>
      <c r="AC31" s="3182" t="s">
        <v>722</v>
      </c>
      <c r="AD31" s="3181"/>
      <c r="AE31" s="3181"/>
      <c r="AF31" s="3181"/>
      <c r="AG31" s="3126"/>
      <c r="AH31" s="3126"/>
      <c r="AI31" s="3230"/>
      <c r="AJ31" s="283" cm="1">
        <f t="array" ref="AJ31">SUM(COUNTIFS($C31:$AG31,{"0","4","5","6","7","8","9"}))</f>
        <v>0</v>
      </c>
      <c r="AK31" s="283" cm="1">
        <f t="array" ref="AK31">SUM(COUNTIFS($C31:$AG31,{"0","4","5","6","7","8","9"},$C$4:$AG$4,"0"))</f>
        <v>0</v>
      </c>
      <c r="AL31" s="283" cm="1">
        <f t="array" ref="AL31">SUM(COUNTIFS($C31:$AG31,{"0","4","5","6","7","8","9"},$C$4:$AG$4,"1"))</f>
        <v>0</v>
      </c>
      <c r="AM31" s="283" cm="1">
        <f t="array" ref="AM31">SUM(COUNTIFS($C31:$AG31,{"0","4","5","6","7","8","9"},$C$4:$AG$4,"2"))</f>
        <v>0</v>
      </c>
      <c r="AN31" s="283" cm="1">
        <f t="array" ref="AN31">SUM(COUNTIFS($C31:$AG31,{"0","4","5","6","7","8","9"},$C$4:$AG$4,"3"))</f>
        <v>0</v>
      </c>
      <c r="AO31" s="283" cm="1">
        <f t="array" ref="AO31">SUM(COUNTIFS($C31:$AG31,{"1","2","3"}))</f>
        <v>0</v>
      </c>
      <c r="AP31" s="283" cm="1">
        <f t="array" ref="AP31">SUM(COUNTIFS($C31:$AG31,{"4","5","6"}))</f>
        <v>0</v>
      </c>
      <c r="AQ31" s="283">
        <f>AK31*'Spreadsheet Key'!$A$23 + AL31*'Spreadsheet Key'!$A$24 + AM31*'Spreadsheet Key'!$A$25 + AN31*'Spreadsheet Key'!$A$26</f>
        <v>0</v>
      </c>
      <c r="AR31" s="3228">
        <f>(AJ31/('APR Statistics'!$B$28))*ABS(AI31-1)</f>
        <v>0</v>
      </c>
      <c r="AS31" s="3231">
        <f t="shared" si="17"/>
        <v>0</v>
      </c>
      <c r="AT31" s="3229">
        <f>AR31*'APR Statistics'!$C$11</f>
        <v>0</v>
      </c>
      <c r="AU31" s="283"/>
      <c r="AV31" s="283">
        <f t="shared" si="1"/>
        <v>0</v>
      </c>
      <c r="AW31" s="283">
        <f t="shared" si="2"/>
        <v>0</v>
      </c>
      <c r="AX31" s="283">
        <f t="shared" si="3"/>
        <v>0</v>
      </c>
      <c r="AY31" s="283" cm="1">
        <f t="array" ref="AY31">COUNTIFS($C31:$AG31,"9",$C$4:$AG$4,"1")+SUM(COUNTIFS($C31:$AG31,{"8","9"},$C$4:$AG$4,"2"))+COUNTIFS($C31:$AG31,"8",$C$4:$AG$4,"3")</f>
        <v>0</v>
      </c>
      <c r="AZ31" s="283">
        <f t="shared" si="4"/>
        <v>0</v>
      </c>
      <c r="BA31" s="283">
        <f t="shared" si="5"/>
        <v>0</v>
      </c>
      <c r="BB31" s="283">
        <f>AV31*'Spreadsheet Key'!$A$27+AW31*'Spreadsheet Key'!$A$28+AX31*'Spreadsheet Key'!$A$29+AY31*'Spreadsheet Key'!$A$30+AZ31*'Spreadsheet Key'!$A$31</f>
        <v>0</v>
      </c>
      <c r="BC31" s="283"/>
      <c r="BD31" s="283"/>
      <c r="BE31" s="283"/>
      <c r="BF31" s="283"/>
      <c r="BG31" s="283"/>
      <c r="BH31" s="283"/>
    </row>
    <row r="32" spans="1:60" s="3211" customFormat="1">
      <c r="A32" s="3187" t="s">
        <v>127</v>
      </c>
      <c r="B32" s="3187" t="s">
        <v>657</v>
      </c>
      <c r="C32" s="3206">
        <v>8</v>
      </c>
      <c r="D32" s="3206">
        <v>0</v>
      </c>
      <c r="E32" s="3206">
        <v>0</v>
      </c>
      <c r="F32" s="3206">
        <v>0</v>
      </c>
      <c r="G32" s="3206">
        <v>0</v>
      </c>
      <c r="H32" s="3206">
        <v>0</v>
      </c>
      <c r="I32" s="3206">
        <v>0</v>
      </c>
      <c r="J32" s="3206">
        <v>0</v>
      </c>
      <c r="K32" s="3206">
        <v>0</v>
      </c>
      <c r="L32" s="3206">
        <v>0</v>
      </c>
      <c r="M32" s="3206">
        <v>0</v>
      </c>
      <c r="N32" s="3206">
        <v>0</v>
      </c>
      <c r="O32" s="3206">
        <v>0</v>
      </c>
      <c r="P32" s="3206">
        <v>0</v>
      </c>
      <c r="Q32" s="3206">
        <v>0</v>
      </c>
      <c r="R32" s="3206">
        <v>0</v>
      </c>
      <c r="S32" s="3206">
        <v>0</v>
      </c>
      <c r="T32" s="3206">
        <v>0</v>
      </c>
      <c r="U32" s="3206">
        <v>0</v>
      </c>
      <c r="V32" s="3206">
        <v>0</v>
      </c>
      <c r="W32" s="3206">
        <v>0</v>
      </c>
      <c r="X32" s="3206">
        <v>0</v>
      </c>
      <c r="Y32" s="3206">
        <v>0</v>
      </c>
      <c r="Z32" s="3206">
        <v>0</v>
      </c>
      <c r="AA32" s="3206">
        <v>0</v>
      </c>
      <c r="AB32" s="3206">
        <v>0</v>
      </c>
      <c r="AC32" s="3206">
        <v>9</v>
      </c>
      <c r="AD32" s="3206">
        <v>0</v>
      </c>
      <c r="AE32" s="3206">
        <v>0</v>
      </c>
      <c r="AF32" s="3206">
        <v>0</v>
      </c>
      <c r="AG32" s="3209"/>
      <c r="AH32" s="3209"/>
      <c r="AI32" s="3230">
        <v>0</v>
      </c>
      <c r="AJ32" s="283" cm="1">
        <f t="array" ref="AJ32">SUM(COUNTIFS($C32:$AG32,{"0","4","5","6","7","8","9"}))</f>
        <v>30</v>
      </c>
      <c r="AK32" s="283" cm="1">
        <f t="array" ref="AK32">SUM(COUNTIFS($C32:$AG32,{"0","4","5","6","7","8","9"},$C$4:$AG$4,"0"))</f>
        <v>17</v>
      </c>
      <c r="AL32" s="283" cm="1">
        <f t="array" ref="AL32">SUM(COUNTIFS($C32:$AG32,{"0","4","5","6","7","8","9"},$C$4:$AG$4,"1"))</f>
        <v>4</v>
      </c>
      <c r="AM32" s="283" cm="1">
        <f t="array" ref="AM32">SUM(COUNTIFS($C32:$AG32,{"0","4","5","6","7","8","9"},$C$4:$AG$4,"2"))</f>
        <v>5</v>
      </c>
      <c r="AN32" s="283" cm="1">
        <f t="array" ref="AN32">SUM(COUNTIFS($C32:$AG32,{"0","4","5","6","7","8","9"},$C$4:$AG$4,"3"))</f>
        <v>4</v>
      </c>
      <c r="AO32" s="283" cm="1">
        <f t="array" ref="AO32">SUM(COUNTIFS($C32:$AG32,{"1","2","3"}))</f>
        <v>0</v>
      </c>
      <c r="AP32" s="283" cm="1">
        <f t="array" ref="AP32">SUM(COUNTIFS($C32:$AG32,{"4","5","6"}))</f>
        <v>0</v>
      </c>
      <c r="AQ32" s="283">
        <f>AK32*'Spreadsheet Key'!$A$23 + AL32*'Spreadsheet Key'!$A$24 + AM32*'Spreadsheet Key'!$A$25 + AN32*'Spreadsheet Key'!$A$26</f>
        <v>1174</v>
      </c>
      <c r="AR32" s="3228">
        <f>(AJ32/('APR Statistics'!$B$28))*ABS(AI32-1)</f>
        <v>5.7251908396946563E-2</v>
      </c>
      <c r="AS32" s="3231">
        <f t="shared" si="17"/>
        <v>0</v>
      </c>
      <c r="AT32" s="3229">
        <f>AR32*'APR Statistics'!$C$11</f>
        <v>55.488549618320612</v>
      </c>
      <c r="AU32" s="283"/>
      <c r="AV32" s="283">
        <f t="shared" si="1"/>
        <v>1</v>
      </c>
      <c r="AW32" s="283">
        <f t="shared" si="2"/>
        <v>0</v>
      </c>
      <c r="AX32" s="283">
        <f t="shared" si="3"/>
        <v>0</v>
      </c>
      <c r="AY32" s="283" cm="1">
        <f t="array" ref="AY32">COUNTIFS($C32:$AG32,"9",$C$4:$AG$4,"1")+SUM(COUNTIFS($C32:$AG32,{"8","9"},$C$4:$AG$4,"2"))+COUNTIFS($C32:$AG32,"8",$C$4:$AG$4,"3")</f>
        <v>0</v>
      </c>
      <c r="AZ32" s="283">
        <f t="shared" si="4"/>
        <v>1</v>
      </c>
      <c r="BA32" s="283">
        <f t="shared" si="5"/>
        <v>2</v>
      </c>
      <c r="BB32" s="283">
        <f>AV32*'Spreadsheet Key'!$A$27+AW32*'Spreadsheet Key'!$A$28+AX32*'Spreadsheet Key'!$A$29+AY32*'Spreadsheet Key'!$A$30+AZ32*'Spreadsheet Key'!$A$31</f>
        <v>30</v>
      </c>
      <c r="BC32" s="283"/>
      <c r="BD32" s="283">
        <f t="shared" ref="BD32" si="21">AT32-BB32</f>
        <v>25.488549618320612</v>
      </c>
      <c r="BE32" s="3210"/>
      <c r="BF32" s="3210"/>
      <c r="BG32" s="3210"/>
      <c r="BH32" s="3210"/>
    </row>
    <row r="33" spans="1:60">
      <c r="A33" s="3212"/>
      <c r="B33" s="3212"/>
      <c r="C33" s="3181"/>
      <c r="D33" s="3181"/>
      <c r="E33" s="3181"/>
      <c r="F33" s="3181"/>
      <c r="G33" s="3181"/>
      <c r="H33" s="3189" t="s">
        <v>251</v>
      </c>
      <c r="I33" s="6278" t="s">
        <v>1266</v>
      </c>
      <c r="J33" s="6278"/>
      <c r="K33" s="6278"/>
      <c r="L33" s="6278"/>
      <c r="M33" s="6278"/>
      <c r="N33" s="6278"/>
      <c r="O33" s="6278"/>
      <c r="P33" s="3189" t="s">
        <v>251</v>
      </c>
      <c r="Q33" s="3181"/>
      <c r="R33" s="3181"/>
      <c r="S33" s="3182" t="s">
        <v>720</v>
      </c>
      <c r="T33" s="3181"/>
      <c r="U33" s="3182" t="s">
        <v>722</v>
      </c>
      <c r="V33" s="3181"/>
      <c r="W33" s="3181"/>
      <c r="X33" s="3181"/>
      <c r="Y33" s="3181"/>
      <c r="Z33" s="5587" t="s">
        <v>1267</v>
      </c>
      <c r="AA33" s="5588"/>
      <c r="AB33" s="5588"/>
      <c r="AC33" s="5588"/>
      <c r="AD33" s="5588"/>
      <c r="AE33" s="5588"/>
      <c r="AF33" s="6188"/>
      <c r="AG33" s="3126"/>
      <c r="AH33" s="3126"/>
      <c r="AI33" s="3230"/>
      <c r="AJ33" s="283" cm="1">
        <f t="array" ref="AJ33">SUM(COUNTIFS($C33:$AG33,{"0","4","5","6","7","8","9"}))</f>
        <v>0</v>
      </c>
      <c r="AK33" s="283" cm="1">
        <f t="array" ref="AK33">SUM(COUNTIFS($C33:$AG33,{"0","4","5","6","7","8","9"},$C$4:$AG$4,"0"))</f>
        <v>0</v>
      </c>
      <c r="AL33" s="283" cm="1">
        <f t="array" ref="AL33">SUM(COUNTIFS($C33:$AG33,{"0","4","5","6","7","8","9"},$C$4:$AG$4,"1"))</f>
        <v>0</v>
      </c>
      <c r="AM33" s="283" cm="1">
        <f t="array" ref="AM33">SUM(COUNTIFS($C33:$AG33,{"0","4","5","6","7","8","9"},$C$4:$AG$4,"2"))</f>
        <v>0</v>
      </c>
      <c r="AN33" s="283" cm="1">
        <f t="array" ref="AN33">SUM(COUNTIFS($C33:$AG33,{"0","4","5","6","7","8","9"},$C$4:$AG$4,"3"))</f>
        <v>0</v>
      </c>
      <c r="AO33" s="283" cm="1">
        <f t="array" ref="AO33">SUM(COUNTIFS($C33:$AG33,{"1","2","3"}))</f>
        <v>0</v>
      </c>
      <c r="AP33" s="283" cm="1">
        <f t="array" ref="AP33">SUM(COUNTIFS($C33:$AG33,{"4","5","6"}))</f>
        <v>0</v>
      </c>
      <c r="AQ33" s="283">
        <f>AK33*'Spreadsheet Key'!$A$23 + AL33*'Spreadsheet Key'!$A$24 + AM33*'Spreadsheet Key'!$A$25 + AN33*'Spreadsheet Key'!$A$26</f>
        <v>0</v>
      </c>
      <c r="AR33" s="3228">
        <f>(AJ33/('APR Statistics'!$B$28))*ABS(AI33-1)</f>
        <v>0</v>
      </c>
      <c r="AS33" s="3231">
        <f t="shared" si="17"/>
        <v>0</v>
      </c>
      <c r="AT33" s="3229">
        <f>AR33*'APR Statistics'!$C$11</f>
        <v>0</v>
      </c>
      <c r="AU33" s="283"/>
      <c r="AV33" s="283">
        <f t="shared" si="1"/>
        <v>0</v>
      </c>
      <c r="AW33" s="283">
        <f t="shared" si="2"/>
        <v>0</v>
      </c>
      <c r="AX33" s="283">
        <f t="shared" si="3"/>
        <v>0</v>
      </c>
      <c r="AY33" s="283" cm="1">
        <f t="array" ref="AY33">COUNTIFS($C33:$AG33,"9",$C$4:$AG$4,"1")+SUM(COUNTIFS($C33:$AG33,{"8","9"},$C$4:$AG$4,"2"))+COUNTIFS($C33:$AG33,"8",$C$4:$AG$4,"3")</f>
        <v>0</v>
      </c>
      <c r="AZ33" s="283">
        <f t="shared" si="4"/>
        <v>0</v>
      </c>
      <c r="BA33" s="283">
        <f t="shared" si="5"/>
        <v>0</v>
      </c>
      <c r="BB33" s="283">
        <f>AV33*'Spreadsheet Key'!$A$27+AW33*'Spreadsheet Key'!$A$28+AX33*'Spreadsheet Key'!$A$29+AY33*'Spreadsheet Key'!$A$30+AZ33*'Spreadsheet Key'!$A$31</f>
        <v>0</v>
      </c>
      <c r="BC33" s="283"/>
      <c r="BD33" s="283"/>
      <c r="BE33" s="3139"/>
      <c r="BF33" s="3139"/>
      <c r="BG33" s="3139"/>
      <c r="BH33" s="3139"/>
    </row>
    <row r="34" spans="1:60" s="3211" customFormat="1">
      <c r="A34" s="3187" t="s">
        <v>155</v>
      </c>
      <c r="B34" s="3187" t="s">
        <v>135</v>
      </c>
      <c r="C34" s="3199">
        <v>0</v>
      </c>
      <c r="D34" s="3199">
        <v>0</v>
      </c>
      <c r="E34" s="3199">
        <v>0</v>
      </c>
      <c r="F34" s="3199">
        <v>0</v>
      </c>
      <c r="G34" s="3199">
        <v>0</v>
      </c>
      <c r="H34" s="3199">
        <v>1</v>
      </c>
      <c r="I34" s="3199">
        <v>2</v>
      </c>
      <c r="J34" s="3199">
        <v>2</v>
      </c>
      <c r="K34" s="3199">
        <v>2</v>
      </c>
      <c r="L34" s="3199">
        <v>2</v>
      </c>
      <c r="M34" s="3199">
        <v>2</v>
      </c>
      <c r="N34" s="3199">
        <v>2</v>
      </c>
      <c r="O34" s="3199">
        <v>2</v>
      </c>
      <c r="P34" s="3199">
        <v>3</v>
      </c>
      <c r="Q34" s="3199">
        <v>0</v>
      </c>
      <c r="R34" s="3199">
        <v>0</v>
      </c>
      <c r="S34" s="3199">
        <v>8</v>
      </c>
      <c r="T34" s="3199">
        <v>0</v>
      </c>
      <c r="U34" s="3206">
        <v>9</v>
      </c>
      <c r="V34" s="3199">
        <v>0</v>
      </c>
      <c r="W34" s="3199">
        <v>0</v>
      </c>
      <c r="X34" s="3199">
        <v>0</v>
      </c>
      <c r="Y34" s="3199">
        <v>0</v>
      </c>
      <c r="Z34" s="3199">
        <v>1</v>
      </c>
      <c r="AA34" s="3199">
        <v>2</v>
      </c>
      <c r="AB34" s="3199">
        <v>2</v>
      </c>
      <c r="AC34" s="3199">
        <v>2</v>
      </c>
      <c r="AD34" s="3199">
        <v>2</v>
      </c>
      <c r="AE34" s="3199">
        <v>2</v>
      </c>
      <c r="AF34" s="3199">
        <v>2</v>
      </c>
      <c r="AG34" s="3209"/>
      <c r="AH34" s="3209"/>
      <c r="AI34" s="3230">
        <v>0</v>
      </c>
      <c r="AJ34" s="283" cm="1">
        <f t="array" ref="AJ34">SUM(COUNTIFS($C34:$AG34,{"0","4","5","6","7","8","9"}))</f>
        <v>14</v>
      </c>
      <c r="AK34" s="283" cm="1">
        <f t="array" ref="AK34">SUM(COUNTIFS($C34:$AG34,{"0","4","5","6","7","8","9"},$C$4:$AG$4,"0"))</f>
        <v>8</v>
      </c>
      <c r="AL34" s="283" cm="1">
        <f t="array" ref="AL34">SUM(COUNTIFS($C34:$AG34,{"0","4","5","6","7","8","9"},$C$4:$AG$4,"1"))</f>
        <v>2</v>
      </c>
      <c r="AM34" s="283" cm="1">
        <f t="array" ref="AM34">SUM(COUNTIFS($C34:$AG34,{"0","4","5","6","7","8","9"},$C$4:$AG$4,"2"))</f>
        <v>3</v>
      </c>
      <c r="AN34" s="283" cm="1">
        <f t="array" ref="AN34">SUM(COUNTIFS($C34:$AG34,{"0","4","5","6","7","8","9"},$C$4:$AG$4,"3"))</f>
        <v>1</v>
      </c>
      <c r="AO34" s="283" cm="1">
        <f t="array" ref="AO34">SUM(COUNTIFS($C34:$AG34,{"1","2","3"}))</f>
        <v>16</v>
      </c>
      <c r="AP34" s="283" cm="1">
        <f t="array" ref="AP34">SUM(COUNTIFS($C34:$AG34,{"4","5","6"}))</f>
        <v>0</v>
      </c>
      <c r="AQ34" s="283">
        <f>AK34*'Spreadsheet Key'!$A$23 + AL34*'Spreadsheet Key'!$A$24 + AM34*'Spreadsheet Key'!$A$25 + AN34*'Spreadsheet Key'!$A$26</f>
        <v>556</v>
      </c>
      <c r="AR34" s="3228">
        <f>(AJ34/('APR Statistics'!$B$28))*ABS(AI34-1)</f>
        <v>2.6717557251908396E-2</v>
      </c>
      <c r="AS34" s="3231">
        <f t="shared" si="17"/>
        <v>0</v>
      </c>
      <c r="AT34" s="3229">
        <f>AR34*'APR Statistics'!$C$11</f>
        <v>25.894656488549618</v>
      </c>
      <c r="AU34" s="283"/>
      <c r="AV34" s="283">
        <f t="shared" si="1"/>
        <v>0</v>
      </c>
      <c r="AW34" s="283">
        <f t="shared" si="2"/>
        <v>0</v>
      </c>
      <c r="AX34" s="283">
        <f t="shared" si="3"/>
        <v>1</v>
      </c>
      <c r="AY34" s="283" cm="1">
        <f t="array" ref="AY34">COUNTIFS($C34:$AG34,"9",$C$4:$AG$4,"1")+SUM(COUNTIFS($C34:$AG34,{"8","9"},$C$4:$AG$4,"2"))+COUNTIFS($C34:$AG34,"8",$C$4:$AG$4,"3")</f>
        <v>1</v>
      </c>
      <c r="AZ34" s="283">
        <f t="shared" si="4"/>
        <v>0</v>
      </c>
      <c r="BA34" s="283">
        <f t="shared" si="5"/>
        <v>2</v>
      </c>
      <c r="BB34" s="283">
        <f>AV34*'Spreadsheet Key'!$A$27+AW34*'Spreadsheet Key'!$A$28+AX34*'Spreadsheet Key'!$A$29+AY34*'Spreadsheet Key'!$A$30+AZ34*'Spreadsheet Key'!$A$31</f>
        <v>54</v>
      </c>
      <c r="BC34" s="283"/>
      <c r="BD34" s="283">
        <f t="shared" ref="BD34" si="22">AT34-BB34</f>
        <v>-28.105343511450382</v>
      </c>
      <c r="BE34" s="3213"/>
      <c r="BF34" s="3213"/>
      <c r="BG34" s="3213"/>
      <c r="BH34" s="3213"/>
    </row>
    <row r="35" spans="1:60">
      <c r="A35" s="3212"/>
      <c r="B35" s="3212"/>
      <c r="C35" s="3181"/>
      <c r="D35" s="3181"/>
      <c r="E35" s="3181"/>
      <c r="F35" s="3182"/>
      <c r="G35" s="3218" t="s">
        <v>722</v>
      </c>
      <c r="H35" s="3181"/>
      <c r="I35" s="3181"/>
      <c r="J35" s="3181"/>
      <c r="K35" s="3181"/>
      <c r="L35" s="3181"/>
      <c r="M35" s="3181"/>
      <c r="N35" s="3181"/>
      <c r="O35" s="3181"/>
      <c r="P35" s="3181"/>
      <c r="Q35" s="3181"/>
      <c r="R35" s="3181"/>
      <c r="S35" s="3181"/>
      <c r="T35" s="3181"/>
      <c r="U35" s="3181"/>
      <c r="V35" s="3181"/>
      <c r="W35" s="3181"/>
      <c r="X35" s="3181"/>
      <c r="Y35" s="3181"/>
      <c r="Z35" s="3181"/>
      <c r="AA35" s="3218" t="s">
        <v>722</v>
      </c>
      <c r="AB35" s="3181"/>
      <c r="AC35" s="3182"/>
      <c r="AD35" s="3181"/>
      <c r="AE35" s="3181"/>
      <c r="AF35" s="3181"/>
      <c r="AG35" s="3126"/>
      <c r="AH35" s="3126"/>
      <c r="AI35" s="3230"/>
      <c r="AJ35" s="283" cm="1">
        <f t="array" ref="AJ35">SUM(COUNTIFS($C35:$AG35,{"0","4","5","6","7","8","9"}))</f>
        <v>0</v>
      </c>
      <c r="AK35" s="283" cm="1">
        <f t="array" ref="AK35">SUM(COUNTIFS($C35:$AG35,{"0","4","5","6","7","8","9"},$C$4:$AG$4,"0"))</f>
        <v>0</v>
      </c>
      <c r="AL35" s="283" cm="1">
        <f t="array" ref="AL35">SUM(COUNTIFS($C35:$AG35,{"0","4","5","6","7","8","9"},$C$4:$AG$4,"1"))</f>
        <v>0</v>
      </c>
      <c r="AM35" s="283" cm="1">
        <f t="array" ref="AM35">SUM(COUNTIFS($C35:$AG35,{"0","4","5","6","7","8","9"},$C$4:$AG$4,"2"))</f>
        <v>0</v>
      </c>
      <c r="AN35" s="283" cm="1">
        <f t="array" ref="AN35">SUM(COUNTIFS($C35:$AG35,{"0","4","5","6","7","8","9"},$C$4:$AG$4,"3"))</f>
        <v>0</v>
      </c>
      <c r="AO35" s="283" cm="1">
        <f t="array" ref="AO35">SUM(COUNTIFS($C35:$AG35,{"1","2","3"}))</f>
        <v>0</v>
      </c>
      <c r="AP35" s="283" cm="1">
        <f t="array" ref="AP35">SUM(COUNTIFS($C35:$AG35,{"4","5","6"}))</f>
        <v>0</v>
      </c>
      <c r="AQ35" s="283">
        <f>AK35*'Spreadsheet Key'!$A$23 + AL35*'Spreadsheet Key'!$A$24 + AM35*'Spreadsheet Key'!$A$25 + AN35*'Spreadsheet Key'!$A$26</f>
        <v>0</v>
      </c>
      <c r="AR35" s="3228">
        <f>(AJ35/('APR Statistics'!$B$28))*ABS(AI35-1)</f>
        <v>0</v>
      </c>
      <c r="AS35" s="3231">
        <f t="shared" si="17"/>
        <v>0</v>
      </c>
      <c r="AT35" s="3229">
        <f>AR35*'APR Statistics'!$C$11</f>
        <v>0</v>
      </c>
      <c r="AU35" s="283"/>
      <c r="AV35" s="283">
        <f t="shared" si="1"/>
        <v>0</v>
      </c>
      <c r="AW35" s="283">
        <f t="shared" si="2"/>
        <v>0</v>
      </c>
      <c r="AX35" s="283">
        <f t="shared" si="3"/>
        <v>0</v>
      </c>
      <c r="AY35" s="283" cm="1">
        <f t="array" ref="AY35">COUNTIFS($C35:$AG35,"9",$C$4:$AG$4,"1")+SUM(COUNTIFS($C35:$AG35,{"8","9"},$C$4:$AG$4,"2"))+COUNTIFS($C35:$AG35,"8",$C$4:$AG$4,"3")</f>
        <v>0</v>
      </c>
      <c r="AZ35" s="283">
        <f t="shared" si="4"/>
        <v>0</v>
      </c>
      <c r="BA35" s="283">
        <f t="shared" si="5"/>
        <v>0</v>
      </c>
      <c r="BB35" s="283">
        <f>AV35*'Spreadsheet Key'!$A$27+AW35*'Spreadsheet Key'!$A$28+AX35*'Spreadsheet Key'!$A$29+AY35*'Spreadsheet Key'!$A$30+AZ35*'Spreadsheet Key'!$A$31</f>
        <v>0</v>
      </c>
      <c r="BC35" s="283"/>
      <c r="BD35" s="283"/>
      <c r="BE35" s="3139"/>
      <c r="BF35" s="3139"/>
      <c r="BG35" s="3139"/>
      <c r="BH35" s="3139"/>
    </row>
    <row r="36" spans="1:60" s="3211" customFormat="1">
      <c r="A36" s="3187" t="s">
        <v>1056</v>
      </c>
      <c r="B36" s="3187" t="s">
        <v>334</v>
      </c>
      <c r="C36" s="3206">
        <v>0</v>
      </c>
      <c r="D36" s="3206">
        <v>0</v>
      </c>
      <c r="E36" s="3206">
        <v>0</v>
      </c>
      <c r="F36" s="3206">
        <v>0</v>
      </c>
      <c r="G36" s="3206">
        <v>9</v>
      </c>
      <c r="H36" s="3206">
        <v>0</v>
      </c>
      <c r="I36" s="3206">
        <v>0</v>
      </c>
      <c r="J36" s="3206">
        <v>0</v>
      </c>
      <c r="K36" s="3206">
        <v>0</v>
      </c>
      <c r="L36" s="3206">
        <v>0</v>
      </c>
      <c r="M36" s="3206">
        <v>0</v>
      </c>
      <c r="N36" s="3206">
        <v>0</v>
      </c>
      <c r="O36" s="3206">
        <v>0</v>
      </c>
      <c r="P36" s="3206">
        <v>0</v>
      </c>
      <c r="Q36" s="3206">
        <v>0</v>
      </c>
      <c r="R36" s="3206">
        <v>0</v>
      </c>
      <c r="S36" s="3206">
        <v>0</v>
      </c>
      <c r="T36" s="3206">
        <v>0</v>
      </c>
      <c r="U36" s="3206">
        <v>0</v>
      </c>
      <c r="V36" s="3206">
        <v>0</v>
      </c>
      <c r="W36" s="3206">
        <v>0</v>
      </c>
      <c r="X36" s="3206">
        <v>0</v>
      </c>
      <c r="Y36" s="3206">
        <v>0</v>
      </c>
      <c r="Z36" s="3206">
        <v>0</v>
      </c>
      <c r="AA36" s="3206">
        <v>9</v>
      </c>
      <c r="AB36" s="3206">
        <v>0</v>
      </c>
      <c r="AC36" s="3206">
        <v>0</v>
      </c>
      <c r="AD36" s="3206">
        <v>0</v>
      </c>
      <c r="AE36" s="3206">
        <v>0</v>
      </c>
      <c r="AF36" s="3206">
        <v>0</v>
      </c>
      <c r="AG36" s="3209"/>
      <c r="AH36" s="3209"/>
      <c r="AI36" s="3230">
        <v>0</v>
      </c>
      <c r="AJ36" s="283" cm="1">
        <f t="array" ref="AJ36">SUM(COUNTIFS($C36:$AG36,{"0","4","5","6","7","8","9"}))</f>
        <v>30</v>
      </c>
      <c r="AK36" s="283" cm="1">
        <f t="array" ref="AK36">SUM(COUNTIFS($C36:$AG36,{"0","4","5","6","7","8","9"},$C$4:$AG$4,"0"))</f>
        <v>17</v>
      </c>
      <c r="AL36" s="283" cm="1">
        <f t="array" ref="AL36">SUM(COUNTIFS($C36:$AG36,{"0","4","5","6","7","8","9"},$C$4:$AG$4,"1"))</f>
        <v>4</v>
      </c>
      <c r="AM36" s="283" cm="1">
        <f t="array" ref="AM36">SUM(COUNTIFS($C36:$AG36,{"0","4","5","6","7","8","9"},$C$4:$AG$4,"2"))</f>
        <v>5</v>
      </c>
      <c r="AN36" s="283" cm="1">
        <f t="array" ref="AN36">SUM(COUNTIFS($C36:$AG36,{"0","4","5","6","7","8","9"},$C$4:$AG$4,"3"))</f>
        <v>4</v>
      </c>
      <c r="AO36" s="283" cm="1">
        <f t="array" ref="AO36">SUM(COUNTIFS($C36:$AG36,{"1","2","3"}))</f>
        <v>0</v>
      </c>
      <c r="AP36" s="283" cm="1">
        <f t="array" ref="AP36">SUM(COUNTIFS($C36:$AG36,{"4","5","6"}))</f>
        <v>0</v>
      </c>
      <c r="AQ36" s="283">
        <f>AK36*'Spreadsheet Key'!$A$23 + AL36*'Spreadsheet Key'!$A$24 + AM36*'Spreadsheet Key'!$A$25 + AN36*'Spreadsheet Key'!$A$26</f>
        <v>1174</v>
      </c>
      <c r="AR36" s="3228">
        <f>(AJ36/('APR Statistics'!$B$28))*ABS(AI36-1)</f>
        <v>5.7251908396946563E-2</v>
      </c>
      <c r="AS36" s="3231">
        <f t="shared" si="17"/>
        <v>0</v>
      </c>
      <c r="AT36" s="3229">
        <f>AR36*'APR Statistics'!$C$11</f>
        <v>55.488549618320612</v>
      </c>
      <c r="AU36" s="283"/>
      <c r="AV36" s="283">
        <f t="shared" si="1"/>
        <v>0</v>
      </c>
      <c r="AW36" s="283">
        <f t="shared" si="2"/>
        <v>0</v>
      </c>
      <c r="AX36" s="283">
        <f t="shared" si="3"/>
        <v>0</v>
      </c>
      <c r="AY36" s="283" cm="1">
        <f t="array" ref="AY36">COUNTIFS($C36:$AG36,"9",$C$4:$AG$4,"1")+SUM(COUNTIFS($C36:$AG36,{"8","9"},$C$4:$AG$4,"2"))+COUNTIFS($C36:$AG36,"8",$C$4:$AG$4,"3")</f>
        <v>2</v>
      </c>
      <c r="AZ36" s="283">
        <f t="shared" si="4"/>
        <v>0</v>
      </c>
      <c r="BA36" s="283">
        <f t="shared" si="5"/>
        <v>2</v>
      </c>
      <c r="BB36" s="283">
        <f>AV36*'Spreadsheet Key'!$A$27+AW36*'Spreadsheet Key'!$A$28+AX36*'Spreadsheet Key'!$A$29+AY36*'Spreadsheet Key'!$A$30+AZ36*'Spreadsheet Key'!$A$31</f>
        <v>72</v>
      </c>
      <c r="BC36" s="283"/>
      <c r="BD36" s="283">
        <f t="shared" ref="BD36:BD38" si="23">AT36-BB36</f>
        <v>-16.511450381679388</v>
      </c>
      <c r="BE36" s="3213"/>
      <c r="BF36" s="3213"/>
      <c r="BG36" s="3213"/>
      <c r="BH36" s="3213"/>
    </row>
    <row r="37" spans="1:60">
      <c r="A37" s="3212"/>
      <c r="B37" s="3212"/>
      <c r="C37" s="3181"/>
      <c r="D37" s="3196"/>
      <c r="E37" s="3182" t="s">
        <v>720</v>
      </c>
      <c r="F37" s="3181"/>
      <c r="G37" s="6276" t="s">
        <v>530</v>
      </c>
      <c r="H37" s="6276"/>
      <c r="I37" s="6276"/>
      <c r="J37" s="6276"/>
      <c r="K37" s="6276"/>
      <c r="L37" s="6276"/>
      <c r="M37" s="5587" t="s">
        <v>1274</v>
      </c>
      <c r="N37" s="5588"/>
      <c r="O37" s="5589"/>
      <c r="P37" s="3181"/>
      <c r="Q37" s="3181"/>
      <c r="R37" s="3181"/>
      <c r="S37" s="3181"/>
      <c r="T37" s="3181"/>
      <c r="U37" s="3181"/>
      <c r="V37" s="3181"/>
      <c r="W37" s="3181"/>
      <c r="X37" s="3182" t="s">
        <v>722</v>
      </c>
      <c r="Y37" s="3181"/>
      <c r="Z37" s="3181"/>
      <c r="AA37" s="3181"/>
      <c r="AB37" s="3181"/>
      <c r="AC37" s="3181"/>
      <c r="AD37" s="3181"/>
      <c r="AE37" s="3181"/>
      <c r="AF37" s="3190"/>
      <c r="AG37" s="3126"/>
      <c r="AH37" s="3126"/>
      <c r="AI37" s="3230"/>
      <c r="AJ37" s="283" cm="1">
        <f t="array" ref="AJ37">SUM(COUNTIFS($C37:$AG37,{"0","4","5","6","7","8","9"}))</f>
        <v>0</v>
      </c>
      <c r="AK37" s="283" cm="1">
        <f t="array" ref="AK37">SUM(COUNTIFS($C37:$AG37,{"0","4","5","6","7","8","9"},$C$4:$AG$4,"0"))</f>
        <v>0</v>
      </c>
      <c r="AL37" s="283" cm="1">
        <f t="array" ref="AL37">SUM(COUNTIFS($C37:$AG37,{"0","4","5","6","7","8","9"},$C$4:$AG$4,"1"))</f>
        <v>0</v>
      </c>
      <c r="AM37" s="283" cm="1">
        <f t="array" ref="AM37">SUM(COUNTIFS($C37:$AG37,{"0","4","5","6","7","8","9"},$C$4:$AG$4,"2"))</f>
        <v>0</v>
      </c>
      <c r="AN37" s="283" cm="1">
        <f t="array" ref="AN37">SUM(COUNTIFS($C37:$AG37,{"0","4","5","6","7","8","9"},$C$4:$AG$4,"3"))</f>
        <v>0</v>
      </c>
      <c r="AO37" s="283" cm="1">
        <f t="array" ref="AO37">SUM(COUNTIFS($C37:$AG37,{"1","2","3"}))</f>
        <v>0</v>
      </c>
      <c r="AP37" s="283" cm="1">
        <f t="array" ref="AP37">SUM(COUNTIFS($C37:$AG37,{"4","5","6"}))</f>
        <v>0</v>
      </c>
      <c r="AQ37" s="283">
        <f>AK37*'Spreadsheet Key'!$A$23 + AL37*'Spreadsheet Key'!$A$24 + AM37*'Spreadsheet Key'!$A$25 + AN37*'Spreadsheet Key'!$A$26</f>
        <v>0</v>
      </c>
      <c r="AR37" s="3228">
        <f>(AJ37/('APR Statistics'!$B$28))*ABS(AI37-1)</f>
        <v>0</v>
      </c>
      <c r="AS37" s="3231">
        <f t="shared" si="17"/>
        <v>0</v>
      </c>
      <c r="AT37" s="3229">
        <f>AR37*'APR Statistics'!$C$11</f>
        <v>0</v>
      </c>
      <c r="AU37" s="283"/>
      <c r="AV37" s="283">
        <f t="shared" si="1"/>
        <v>0</v>
      </c>
      <c r="AW37" s="283">
        <f t="shared" si="2"/>
        <v>0</v>
      </c>
      <c r="AX37" s="283">
        <f t="shared" si="3"/>
        <v>0</v>
      </c>
      <c r="AY37" s="283" cm="1">
        <f t="array" ref="AY37">COUNTIFS($C37:$AG37,"9",$C$4:$AG$4,"1")+SUM(COUNTIFS($C37:$AG37,{"8","9"},$C$4:$AG$4,"2"))+COUNTIFS($C37:$AG37,"8",$C$4:$AG$4,"3")</f>
        <v>0</v>
      </c>
      <c r="AZ37" s="283">
        <f t="shared" si="4"/>
        <v>0</v>
      </c>
      <c r="BA37" s="283">
        <f t="shared" si="5"/>
        <v>0</v>
      </c>
      <c r="BB37" s="283">
        <f>AV37*'Spreadsheet Key'!$A$27+AW37*'Spreadsheet Key'!$A$28+AX37*'Spreadsheet Key'!$A$29+AY37*'Spreadsheet Key'!$A$30+AZ37*'Spreadsheet Key'!$A$31</f>
        <v>0</v>
      </c>
      <c r="BC37" s="283"/>
      <c r="BD37" s="283"/>
      <c r="BE37" s="283"/>
      <c r="BF37" s="283"/>
      <c r="BG37" s="283"/>
      <c r="BH37" s="283"/>
    </row>
    <row r="38" spans="1:60" s="3211" customFormat="1">
      <c r="A38" s="3187" t="s">
        <v>129</v>
      </c>
      <c r="B38" s="3187" t="s">
        <v>474</v>
      </c>
      <c r="C38" s="3199">
        <v>0</v>
      </c>
      <c r="D38" s="3199">
        <v>0</v>
      </c>
      <c r="E38" s="3199">
        <v>8</v>
      </c>
      <c r="F38" s="3199">
        <v>0</v>
      </c>
      <c r="G38" s="3199">
        <v>1</v>
      </c>
      <c r="H38" s="3199">
        <v>2</v>
      </c>
      <c r="I38" s="3199">
        <v>2</v>
      </c>
      <c r="J38" s="3199">
        <v>2</v>
      </c>
      <c r="K38" s="3199">
        <v>2</v>
      </c>
      <c r="L38" s="3199">
        <v>2</v>
      </c>
      <c r="M38" s="3219">
        <v>2</v>
      </c>
      <c r="N38" s="3219">
        <v>2</v>
      </c>
      <c r="O38" s="3219">
        <v>3</v>
      </c>
      <c r="P38" s="3199">
        <v>0</v>
      </c>
      <c r="Q38" s="3199">
        <v>0</v>
      </c>
      <c r="R38" s="3199">
        <v>0</v>
      </c>
      <c r="S38" s="3199">
        <v>0</v>
      </c>
      <c r="T38" s="3199">
        <v>0</v>
      </c>
      <c r="U38" s="3199">
        <v>0</v>
      </c>
      <c r="V38" s="3199">
        <v>0</v>
      </c>
      <c r="W38" s="3199">
        <v>0</v>
      </c>
      <c r="X38" s="3199">
        <v>9</v>
      </c>
      <c r="Y38" s="3199">
        <v>0</v>
      </c>
      <c r="Z38" s="3199">
        <v>0</v>
      </c>
      <c r="AA38" s="3199">
        <v>0</v>
      </c>
      <c r="AB38" s="3199">
        <v>0</v>
      </c>
      <c r="AC38" s="3199">
        <v>0</v>
      </c>
      <c r="AD38" s="3199">
        <v>0</v>
      </c>
      <c r="AE38" s="3199">
        <v>0</v>
      </c>
      <c r="AF38" s="3199">
        <v>0</v>
      </c>
      <c r="AG38" s="3209"/>
      <c r="AH38" s="3209"/>
      <c r="AI38" s="3230">
        <v>0</v>
      </c>
      <c r="AJ38" s="283" cm="1">
        <f t="array" ref="AJ38">SUM(COUNTIFS($C38:$AG38,{"0","4","5","6","7","8","9"}))</f>
        <v>21</v>
      </c>
      <c r="AK38" s="283" cm="1">
        <f t="array" ref="AK38">SUM(COUNTIFS($C38:$AG38,{"0","4","5","6","7","8","9"},$C$4:$AG$4,"0"))</f>
        <v>13</v>
      </c>
      <c r="AL38" s="283" cm="1">
        <f t="array" ref="AL38">SUM(COUNTIFS($C38:$AG38,{"0","4","5","6","7","8","9"},$C$4:$AG$4,"1"))</f>
        <v>3</v>
      </c>
      <c r="AM38" s="283" cm="1">
        <f t="array" ref="AM38">SUM(COUNTIFS($C38:$AG38,{"0","4","5","6","7","8","9"},$C$4:$AG$4,"2"))</f>
        <v>3</v>
      </c>
      <c r="AN38" s="283" cm="1">
        <f t="array" ref="AN38">SUM(COUNTIFS($C38:$AG38,{"0","4","5","6","7","8","9"},$C$4:$AG$4,"3"))</f>
        <v>2</v>
      </c>
      <c r="AO38" s="283" cm="1">
        <f t="array" ref="AO38">SUM(COUNTIFS($C38:$AG38,{"1","2","3"}))</f>
        <v>9</v>
      </c>
      <c r="AP38" s="283" cm="1">
        <f t="array" ref="AP38">SUM(COUNTIFS($C38:$AG38,{"4","5","6"}))</f>
        <v>0</v>
      </c>
      <c r="AQ38" s="283">
        <f>AK38*'Spreadsheet Key'!$A$23 + AL38*'Spreadsheet Key'!$A$24 + AM38*'Spreadsheet Key'!$A$25 + AN38*'Spreadsheet Key'!$A$26</f>
        <v>776</v>
      </c>
      <c r="AR38" s="3228">
        <f>(AJ38/('APR Statistics'!$B$28))*ABS(AI38-1)</f>
        <v>4.0076335877862593E-2</v>
      </c>
      <c r="AS38" s="3231">
        <f t="shared" si="17"/>
        <v>0</v>
      </c>
      <c r="AT38" s="3229">
        <f>AR38*'APR Statistics'!$C$11</f>
        <v>38.841984732824429</v>
      </c>
      <c r="AU38" s="283"/>
      <c r="AV38" s="283">
        <f t="shared" si="1"/>
        <v>1</v>
      </c>
      <c r="AW38" s="283">
        <f t="shared" si="2"/>
        <v>1</v>
      </c>
      <c r="AX38" s="283">
        <f t="shared" si="3"/>
        <v>0</v>
      </c>
      <c r="AY38" s="283" cm="1">
        <f t="array" ref="AY38">COUNTIFS($C38:$AG38,"9",$C$4:$AG$4,"1")+SUM(COUNTIFS($C38:$AG38,{"8","9"},$C$4:$AG$4,"2"))+COUNTIFS($C38:$AG38,"8",$C$4:$AG$4,"3")</f>
        <v>0</v>
      </c>
      <c r="AZ38" s="283">
        <f t="shared" si="4"/>
        <v>0</v>
      </c>
      <c r="BA38" s="283">
        <f t="shared" si="5"/>
        <v>2</v>
      </c>
      <c r="BB38" s="283">
        <f>AV38*'Spreadsheet Key'!$A$27+AW38*'Spreadsheet Key'!$A$28+AX38*'Spreadsheet Key'!$A$29+AY38*'Spreadsheet Key'!$A$30+AZ38*'Spreadsheet Key'!$A$31</f>
        <v>22</v>
      </c>
      <c r="BC38" s="283"/>
      <c r="BD38" s="283">
        <f t="shared" ref="BD38:BD40" si="24">AT38-BB38</f>
        <v>16.841984732824429</v>
      </c>
      <c r="BE38" s="3210"/>
      <c r="BF38" s="3210"/>
      <c r="BG38" s="3210"/>
      <c r="BH38" s="3210"/>
    </row>
    <row r="39" spans="1:60">
      <c r="A39" s="3212"/>
      <c r="B39" s="3212"/>
      <c r="C39" s="6279" t="s">
        <v>1268</v>
      </c>
      <c r="D39" s="6279"/>
      <c r="E39" s="6279"/>
      <c r="F39" s="6279"/>
      <c r="G39" s="3183" t="s">
        <v>1025</v>
      </c>
      <c r="H39" s="3181"/>
      <c r="I39" s="3181"/>
      <c r="J39" s="3182"/>
      <c r="K39" s="3182" t="s">
        <v>720</v>
      </c>
      <c r="L39" s="3181"/>
      <c r="M39" s="3181"/>
      <c r="N39" s="3181"/>
      <c r="O39" s="3181"/>
      <c r="P39" s="3182" t="s">
        <v>720</v>
      </c>
      <c r="Q39" s="6268" t="s">
        <v>1263</v>
      </c>
      <c r="R39" s="6268"/>
      <c r="S39" s="3181"/>
      <c r="T39" s="3181"/>
      <c r="U39" s="3181"/>
      <c r="V39" s="3181"/>
      <c r="W39" s="3181"/>
      <c r="X39" s="3182" t="s">
        <v>720</v>
      </c>
      <c r="Y39" s="3181"/>
      <c r="Z39" s="3181"/>
      <c r="AA39" s="3182"/>
      <c r="AB39" s="3181"/>
      <c r="AC39" s="3181"/>
      <c r="AD39" s="3181"/>
      <c r="AE39" s="3181"/>
      <c r="AF39" s="3183" t="s">
        <v>1025</v>
      </c>
      <c r="AG39" s="3126"/>
      <c r="AH39" s="3126"/>
      <c r="AI39" s="3230"/>
      <c r="AJ39" s="283" cm="1">
        <f t="array" ref="AJ39">SUM(COUNTIFS($C39:$AG39,{"0","4","5","6","7","8","9"}))</f>
        <v>0</v>
      </c>
      <c r="AK39" s="283" cm="1">
        <f t="array" ref="AK39">SUM(COUNTIFS($C39:$AG39,{"0","4","5","6","7","8","9"},$C$4:$AG$4,"0"))</f>
        <v>0</v>
      </c>
      <c r="AL39" s="283" cm="1">
        <f t="array" ref="AL39">SUM(COUNTIFS($C39:$AG39,{"0","4","5","6","7","8","9"},$C$4:$AG$4,"1"))</f>
        <v>0</v>
      </c>
      <c r="AM39" s="283" cm="1">
        <f t="array" ref="AM39">SUM(COUNTIFS($C39:$AG39,{"0","4","5","6","7","8","9"},$C$4:$AG$4,"2"))</f>
        <v>0</v>
      </c>
      <c r="AN39" s="283" cm="1">
        <f t="array" ref="AN39">SUM(COUNTIFS($C39:$AG39,{"0","4","5","6","7","8","9"},$C$4:$AG$4,"3"))</f>
        <v>0</v>
      </c>
      <c r="AO39" s="283" cm="1">
        <f t="array" ref="AO39">SUM(COUNTIFS($C39:$AG39,{"1","2","3"}))</f>
        <v>0</v>
      </c>
      <c r="AP39" s="283" cm="1">
        <f t="array" ref="AP39">SUM(COUNTIFS($C39:$AG39,{"4","5","6"}))</f>
        <v>0</v>
      </c>
      <c r="AQ39" s="283">
        <f>AK39*'Spreadsheet Key'!$A$23 + AL39*'Spreadsheet Key'!$A$24 + AM39*'Spreadsheet Key'!$A$25 + AN39*'Spreadsheet Key'!$A$26</f>
        <v>0</v>
      </c>
      <c r="AR39" s="3228">
        <f>(AJ39/('APR Statistics'!$B$28))*ABS(AI39-1)</f>
        <v>0</v>
      </c>
      <c r="AS39" s="3231">
        <f t="shared" si="17"/>
        <v>0</v>
      </c>
      <c r="AT39" s="3229">
        <f>AR39*'APR Statistics'!$C$11</f>
        <v>0</v>
      </c>
      <c r="AU39" s="283"/>
      <c r="AV39" s="283">
        <f t="shared" si="1"/>
        <v>0</v>
      </c>
      <c r="AW39" s="283">
        <f t="shared" si="2"/>
        <v>0</v>
      </c>
      <c r="AX39" s="283">
        <f t="shared" si="3"/>
        <v>0</v>
      </c>
      <c r="AY39" s="283" cm="1">
        <f t="array" ref="AY39">COUNTIFS($C39:$AG39,"9",$C$4:$AG$4,"1")+SUM(COUNTIFS($C39:$AG39,{"8","9"},$C$4:$AG$4,"2"))+COUNTIFS($C39:$AG39,"8",$C$4:$AG$4,"3")</f>
        <v>0</v>
      </c>
      <c r="AZ39" s="283">
        <f t="shared" si="4"/>
        <v>0</v>
      </c>
      <c r="BA39" s="283">
        <f t="shared" si="5"/>
        <v>0</v>
      </c>
      <c r="BB39" s="283">
        <f>AV39*'Spreadsheet Key'!$A$27+AW39*'Spreadsheet Key'!$A$28+AX39*'Spreadsheet Key'!$A$29+AY39*'Spreadsheet Key'!$A$30+AZ39*'Spreadsheet Key'!$A$31</f>
        <v>0</v>
      </c>
      <c r="BC39" s="283"/>
      <c r="BD39" s="283"/>
      <c r="BE39" s="283"/>
      <c r="BF39" s="283"/>
      <c r="BG39" s="283"/>
      <c r="BH39" s="283"/>
    </row>
    <row r="40" spans="1:60" s="3211" customFormat="1">
      <c r="A40" s="3180" t="s">
        <v>283</v>
      </c>
      <c r="B40" s="3180" t="s">
        <v>1036</v>
      </c>
      <c r="C40" s="3199">
        <v>2</v>
      </c>
      <c r="D40" s="3199">
        <v>2</v>
      </c>
      <c r="E40" s="3199">
        <v>2</v>
      </c>
      <c r="F40" s="3199">
        <v>2</v>
      </c>
      <c r="G40" s="3199">
        <v>3</v>
      </c>
      <c r="H40" s="3199">
        <v>0</v>
      </c>
      <c r="I40" s="3199">
        <v>0</v>
      </c>
      <c r="J40" s="3199">
        <v>0</v>
      </c>
      <c r="K40" s="3199">
        <v>8</v>
      </c>
      <c r="L40" s="3199">
        <v>0</v>
      </c>
      <c r="M40" s="3199">
        <v>0</v>
      </c>
      <c r="N40" s="3199">
        <v>0</v>
      </c>
      <c r="O40" s="3199">
        <v>0</v>
      </c>
      <c r="P40" s="3199">
        <v>8</v>
      </c>
      <c r="Q40" s="3199">
        <v>7</v>
      </c>
      <c r="R40" s="3199">
        <v>7</v>
      </c>
      <c r="S40" s="3199">
        <v>0</v>
      </c>
      <c r="T40" s="3199">
        <v>0</v>
      </c>
      <c r="U40" s="3199">
        <v>0</v>
      </c>
      <c r="V40" s="3199">
        <v>0</v>
      </c>
      <c r="W40" s="3199">
        <v>0</v>
      </c>
      <c r="X40" s="3199">
        <v>8</v>
      </c>
      <c r="Y40" s="3199">
        <v>0</v>
      </c>
      <c r="Z40" s="3199">
        <v>0</v>
      </c>
      <c r="AA40" s="3199">
        <v>0</v>
      </c>
      <c r="AB40" s="3199">
        <v>0</v>
      </c>
      <c r="AC40" s="3199">
        <v>0</v>
      </c>
      <c r="AD40" s="3199">
        <v>0</v>
      </c>
      <c r="AE40" s="3199">
        <v>0</v>
      </c>
      <c r="AF40" s="3199">
        <v>1</v>
      </c>
      <c r="AG40" s="3209"/>
      <c r="AH40" s="3209"/>
      <c r="AI40" s="3230">
        <v>1</v>
      </c>
      <c r="AJ40" s="283" cm="1">
        <f t="array" ref="AJ40">SUM(COUNTIFS($C40:$AG40,{"0","4","5","6","7","8","9"}))</f>
        <v>24</v>
      </c>
      <c r="AK40" s="283" cm="1">
        <f t="array" ref="AK40">SUM(COUNTIFS($C40:$AG40,{"0","4","5","6","7","8","9"},$C$4:$AG$4,"0"))</f>
        <v>13</v>
      </c>
      <c r="AL40" s="283" cm="1">
        <f t="array" ref="AL40">SUM(COUNTIFS($C40:$AG40,{"0","4","5","6","7","8","9"},$C$4:$AG$4,"1"))</f>
        <v>3</v>
      </c>
      <c r="AM40" s="283" cm="1">
        <f t="array" ref="AM40">SUM(COUNTIFS($C40:$AG40,{"0","4","5","6","7","8","9"},$C$4:$AG$4,"2"))</f>
        <v>4</v>
      </c>
      <c r="AN40" s="283" cm="1">
        <f t="array" ref="AN40">SUM(COUNTIFS($C40:$AG40,{"0","4","5","6","7","8","9"},$C$4:$AG$4,"3"))</f>
        <v>4</v>
      </c>
      <c r="AO40" s="283" cm="1">
        <f t="array" ref="AO40">SUM(COUNTIFS($C40:$AG40,{"1","2","3"}))</f>
        <v>6</v>
      </c>
      <c r="AP40" s="283" cm="1">
        <f t="array" ref="AP40">SUM(COUNTIFS($C40:$AG40,{"4","5","6"}))</f>
        <v>0</v>
      </c>
      <c r="AQ40" s="283">
        <f>AK40*'Spreadsheet Key'!$A$23 + AL40*'Spreadsheet Key'!$A$24 + AM40*'Spreadsheet Key'!$A$25 + AN40*'Spreadsheet Key'!$A$26</f>
        <v>960</v>
      </c>
      <c r="AR40" s="3228">
        <f>(AJ40/('APR Statistics'!$B$28))*ABS(AI40-1)</f>
        <v>0</v>
      </c>
      <c r="AS40" s="3231">
        <f t="shared" si="17"/>
        <v>22.400000000000002</v>
      </c>
      <c r="AT40" s="3229">
        <f>(AJ40/'APR Statistics'!$B$6)*'Spreadsheet Key'!$A$32</f>
        <v>22.400000000000002</v>
      </c>
      <c r="AU40" s="283"/>
      <c r="AV40" s="283">
        <f t="shared" si="1"/>
        <v>3</v>
      </c>
      <c r="AW40" s="283">
        <f t="shared" si="2"/>
        <v>0</v>
      </c>
      <c r="AX40" s="283">
        <f t="shared" si="3"/>
        <v>0</v>
      </c>
      <c r="AY40" s="283" cm="1">
        <f t="array" ref="AY40">COUNTIFS($C40:$AG40,"9",$C$4:$AG$4,"1")+SUM(COUNTIFS($C40:$AG40,{"8","9"},$C$4:$AG$4,"2"))+COUNTIFS($C40:$AG40,"8",$C$4:$AG$4,"3")</f>
        <v>0</v>
      </c>
      <c r="AZ40" s="283">
        <f t="shared" si="4"/>
        <v>0</v>
      </c>
      <c r="BA40" s="283">
        <f t="shared" si="5"/>
        <v>3</v>
      </c>
      <c r="BB40" s="283">
        <f>AV40*'Spreadsheet Key'!$A$27+AW40*'Spreadsheet Key'!$A$28+AX40*'Spreadsheet Key'!$A$29+AY40*'Spreadsheet Key'!$A$30+AZ40*'Spreadsheet Key'!$A$31</f>
        <v>30</v>
      </c>
      <c r="BC40" s="283"/>
      <c r="BD40" s="283">
        <f t="shared" ref="BD40" si="25">AT40-BB40</f>
        <v>-7.5999999999999979</v>
      </c>
      <c r="BE40" s="3210"/>
      <c r="BF40" s="3210"/>
      <c r="BG40" s="3210"/>
      <c r="BH40" s="3210"/>
    </row>
    <row r="41" spans="1:60">
      <c r="A41" s="3208"/>
      <c r="B41" s="3208"/>
      <c r="C41" s="6276" t="s">
        <v>1269</v>
      </c>
      <c r="D41" s="6276"/>
      <c r="E41" s="6276"/>
      <c r="F41" s="6276"/>
      <c r="G41" s="3183" t="s">
        <v>1025</v>
      </c>
      <c r="H41" s="3181"/>
      <c r="I41" s="3181"/>
      <c r="J41" s="3182" t="s">
        <v>720</v>
      </c>
      <c r="K41" s="3181"/>
      <c r="L41" s="3181"/>
      <c r="M41" s="3181"/>
      <c r="N41" s="3182"/>
      <c r="O41" s="3182"/>
      <c r="P41" s="3181"/>
      <c r="Q41" s="6268" t="s">
        <v>1263</v>
      </c>
      <c r="R41" s="6268"/>
      <c r="S41" s="3181"/>
      <c r="T41" s="3181"/>
      <c r="U41" s="3183" t="s">
        <v>1025</v>
      </c>
      <c r="V41" s="6280" t="s">
        <v>1270</v>
      </c>
      <c r="W41" s="6280"/>
      <c r="X41" s="6280"/>
      <c r="Y41" s="6280"/>
      <c r="Z41" s="6280"/>
      <c r="AA41" s="6280"/>
      <c r="AB41" s="6280"/>
      <c r="AC41" s="6280"/>
      <c r="AD41" s="6280"/>
      <c r="AE41" s="3191"/>
      <c r="AF41" s="3191"/>
      <c r="AG41" s="3126"/>
      <c r="AH41" s="3126"/>
      <c r="AI41" s="3230"/>
      <c r="AJ41" s="283" cm="1">
        <f t="array" ref="AJ41">SUM(COUNTIFS($C41:$AG41,{"0","4","5","6","7","8","9"}))</f>
        <v>0</v>
      </c>
      <c r="AK41" s="283" cm="1">
        <f t="array" ref="AK41">SUM(COUNTIFS($C41:$AG41,{"0","4","5","6","7","8","9"},$C$4:$AG$4,"0"))</f>
        <v>0</v>
      </c>
      <c r="AL41" s="283" cm="1">
        <f t="array" ref="AL41">SUM(COUNTIFS($C41:$AG41,{"0","4","5","6","7","8","9"},$C$4:$AG$4,"1"))</f>
        <v>0</v>
      </c>
      <c r="AM41" s="283" cm="1">
        <f t="array" ref="AM41">SUM(COUNTIFS($C41:$AG41,{"0","4","5","6","7","8","9"},$C$4:$AG$4,"2"))</f>
        <v>0</v>
      </c>
      <c r="AN41" s="283" cm="1">
        <f t="array" ref="AN41">SUM(COUNTIFS($C41:$AG41,{"0","4","5","6","7","8","9"},$C$4:$AG$4,"3"))</f>
        <v>0</v>
      </c>
      <c r="AO41" s="283" cm="1">
        <f t="array" ref="AO41">SUM(COUNTIFS($C41:$AG41,{"1","2","3"}))</f>
        <v>0</v>
      </c>
      <c r="AP41" s="283" cm="1">
        <f t="array" ref="AP41">SUM(COUNTIFS($C41:$AG41,{"4","5","6"}))</f>
        <v>0</v>
      </c>
      <c r="AQ41" s="283">
        <f>AK41*'Spreadsheet Key'!$A$23 + AL41*'Spreadsheet Key'!$A$24 + AM41*'Spreadsheet Key'!$A$25 + AN41*'Spreadsheet Key'!$A$26</f>
        <v>0</v>
      </c>
      <c r="AR41" s="3228">
        <f>(AJ41/('APR Statistics'!$B$28))*ABS(AI41-1)</f>
        <v>0</v>
      </c>
      <c r="AS41" s="3231">
        <f t="shared" si="17"/>
        <v>0</v>
      </c>
      <c r="AT41" s="3229">
        <f>AR41*'APR Statistics'!$C$6</f>
        <v>0</v>
      </c>
      <c r="AU41" s="283"/>
      <c r="AV41" s="283">
        <f t="shared" si="1"/>
        <v>0</v>
      </c>
      <c r="AW41" s="283">
        <f t="shared" si="2"/>
        <v>0</v>
      </c>
      <c r="AX41" s="283">
        <f t="shared" si="3"/>
        <v>0</v>
      </c>
      <c r="AY41" s="283" cm="1">
        <f t="array" ref="AY41">COUNTIFS($C41:$AG41,"9",$C$4:$AG$4,"1")+SUM(COUNTIFS($C41:$AG41,{"8","9"},$C$4:$AG$4,"2"))+COUNTIFS($C41:$AG41,"8",$C$4:$AG$4,"3")</f>
        <v>0</v>
      </c>
      <c r="AZ41" s="283">
        <f t="shared" si="4"/>
        <v>0</v>
      </c>
      <c r="BA41" s="283">
        <f t="shared" si="5"/>
        <v>0</v>
      </c>
      <c r="BB41" s="283">
        <f>AV41*'Spreadsheet Key'!$A$27+AW41*'Spreadsheet Key'!$A$28+AX41*'Spreadsheet Key'!$A$29+AY41*'Spreadsheet Key'!$A$30+AZ41*'Spreadsheet Key'!$A$31</f>
        <v>0</v>
      </c>
      <c r="BC41" s="283"/>
      <c r="BD41" s="283"/>
      <c r="BE41" s="283"/>
      <c r="BF41" s="283"/>
      <c r="BG41" s="283"/>
      <c r="BH41" s="283"/>
    </row>
    <row r="42" spans="1:60" s="3211" customFormat="1">
      <c r="A42" s="3180" t="s">
        <v>95</v>
      </c>
      <c r="B42" s="3180" t="s">
        <v>1058</v>
      </c>
      <c r="C42" s="3199">
        <v>2</v>
      </c>
      <c r="D42" s="3199">
        <v>2</v>
      </c>
      <c r="E42" s="3199">
        <v>2</v>
      </c>
      <c r="F42" s="3199">
        <v>2</v>
      </c>
      <c r="G42" s="3199">
        <v>3</v>
      </c>
      <c r="H42" s="3199">
        <v>0</v>
      </c>
      <c r="I42" s="3199">
        <v>0</v>
      </c>
      <c r="J42" s="3199">
        <v>8</v>
      </c>
      <c r="K42" s="3199">
        <v>0</v>
      </c>
      <c r="L42" s="3199">
        <v>0</v>
      </c>
      <c r="M42" s="3199">
        <v>0</v>
      </c>
      <c r="N42" s="3199">
        <v>0</v>
      </c>
      <c r="O42" s="3199">
        <v>0</v>
      </c>
      <c r="P42" s="3199">
        <v>0</v>
      </c>
      <c r="Q42" s="3199">
        <v>7</v>
      </c>
      <c r="R42" s="3199">
        <v>7</v>
      </c>
      <c r="S42" s="3199">
        <v>0</v>
      </c>
      <c r="T42" s="3199">
        <v>0</v>
      </c>
      <c r="U42" s="3199">
        <v>1</v>
      </c>
      <c r="V42" s="3199">
        <v>2</v>
      </c>
      <c r="W42" s="3199">
        <v>2</v>
      </c>
      <c r="X42" s="3199">
        <v>2</v>
      </c>
      <c r="Y42" s="3199">
        <v>2</v>
      </c>
      <c r="Z42" s="3199">
        <v>2</v>
      </c>
      <c r="AA42" s="3199">
        <v>2</v>
      </c>
      <c r="AB42" s="3199">
        <v>2</v>
      </c>
      <c r="AC42" s="3199">
        <v>2</v>
      </c>
      <c r="AD42" s="3199">
        <v>2</v>
      </c>
      <c r="AE42" s="3199">
        <v>2</v>
      </c>
      <c r="AF42" s="3199">
        <v>2</v>
      </c>
      <c r="AG42" s="3209"/>
      <c r="AH42" s="3209"/>
      <c r="AI42" s="3230">
        <v>0</v>
      </c>
      <c r="AJ42" s="283" cm="1">
        <f t="array" ref="AJ42">SUM(COUNTIFS($C42:$AG42,{"0","4","5","6","7","8","9"}))</f>
        <v>13</v>
      </c>
      <c r="AK42" s="283" cm="1">
        <f t="array" ref="AK42">SUM(COUNTIFS($C42:$AG42,{"0","4","5","6","7","8","9"},$C$4:$AG$4,"0"))</f>
        <v>7</v>
      </c>
      <c r="AL42" s="283" cm="1">
        <f t="array" ref="AL42">SUM(COUNTIFS($C42:$AG42,{"0","4","5","6","7","8","9"},$C$4:$AG$4,"1"))</f>
        <v>2</v>
      </c>
      <c r="AM42" s="283" cm="1">
        <f t="array" ref="AM42">SUM(COUNTIFS($C42:$AG42,{"0","4","5","6","7","8","9"},$C$4:$AG$4,"2"))</f>
        <v>2</v>
      </c>
      <c r="AN42" s="283" cm="1">
        <f t="array" ref="AN42">SUM(COUNTIFS($C42:$AG42,{"0","4","5","6","7","8","9"},$C$4:$AG$4,"3"))</f>
        <v>2</v>
      </c>
      <c r="AO42" s="283" cm="1">
        <f t="array" ref="AO42">SUM(COUNTIFS($C42:$AG42,{"1","2","3"}))</f>
        <v>17</v>
      </c>
      <c r="AP42" s="283" cm="1">
        <f t="array" ref="AP42">SUM(COUNTIFS($C42:$AG42,{"4","5","6"}))</f>
        <v>0</v>
      </c>
      <c r="AQ42" s="283">
        <f>AK42*'Spreadsheet Key'!$A$23 + AL42*'Spreadsheet Key'!$A$24 + AM42*'Spreadsheet Key'!$A$25 + AN42*'Spreadsheet Key'!$A$26</f>
        <v>518</v>
      </c>
      <c r="AR42" s="3228">
        <f>(AJ42/('APR Statistics'!$B$28))*ABS(AI42-1)</f>
        <v>2.4809160305343511E-2</v>
      </c>
      <c r="AS42" s="3231">
        <f t="shared" si="17"/>
        <v>0</v>
      </c>
      <c r="AT42" s="3229">
        <f>AR42*'APR Statistics'!$C$11</f>
        <v>24.045038167938934</v>
      </c>
      <c r="AU42" s="283"/>
      <c r="AV42" s="283">
        <f t="shared" si="1"/>
        <v>1</v>
      </c>
      <c r="AW42" s="283">
        <f t="shared" si="2"/>
        <v>0</v>
      </c>
      <c r="AX42" s="283">
        <f t="shared" si="3"/>
        <v>0</v>
      </c>
      <c r="AY42" s="283" cm="1">
        <f t="array" ref="AY42">COUNTIFS($C42:$AG42,"9",$C$4:$AG$4,"1")+SUM(COUNTIFS($C42:$AG42,{"8","9"},$C$4:$AG$4,"2"))+COUNTIFS($C42:$AG42,"8",$C$4:$AG$4,"3")</f>
        <v>0</v>
      </c>
      <c r="AZ42" s="283">
        <f t="shared" si="4"/>
        <v>0</v>
      </c>
      <c r="BA42" s="283">
        <f t="shared" si="5"/>
        <v>1</v>
      </c>
      <c r="BB42" s="283">
        <f>AV42*'Spreadsheet Key'!$A$27+AW42*'Spreadsheet Key'!$A$28+AX42*'Spreadsheet Key'!$A$29+AY42*'Spreadsheet Key'!$A$30+AZ42*'Spreadsheet Key'!$A$31</f>
        <v>10</v>
      </c>
      <c r="BC42" s="283"/>
      <c r="BD42" s="283">
        <f t="shared" ref="BD42" si="26">AT42-BB42</f>
        <v>14.045038167938934</v>
      </c>
      <c r="BE42" s="3210"/>
      <c r="BF42" s="3210"/>
      <c r="BG42" s="3210"/>
      <c r="BH42" s="3210"/>
    </row>
    <row r="43" spans="1:60">
      <c r="A43" s="3208"/>
      <c r="B43" s="3208"/>
      <c r="C43" s="3181"/>
      <c r="D43" s="3181"/>
      <c r="E43" s="3184"/>
      <c r="F43" s="3181"/>
      <c r="G43" s="3181"/>
      <c r="H43" s="3182" t="s">
        <v>722</v>
      </c>
      <c r="I43" s="3181"/>
      <c r="J43" s="3181"/>
      <c r="K43" s="3181"/>
      <c r="L43" s="3181"/>
      <c r="M43" s="3181"/>
      <c r="N43" s="3181"/>
      <c r="O43" s="3181"/>
      <c r="P43" s="3181"/>
      <c r="Q43" s="6268" t="s">
        <v>1263</v>
      </c>
      <c r="R43" s="6268"/>
      <c r="S43" s="3192"/>
      <c r="T43" s="3182" t="s">
        <v>720</v>
      </c>
      <c r="U43" s="3181"/>
      <c r="V43" s="3181"/>
      <c r="W43" s="6276" t="s">
        <v>438</v>
      </c>
      <c r="X43" s="6277"/>
      <c r="Y43" s="6277"/>
      <c r="Z43" s="6277"/>
      <c r="AA43" s="6277"/>
      <c r="AB43" s="6277"/>
      <c r="AC43" s="6277"/>
      <c r="AD43" s="6277"/>
      <c r="AE43" s="6277"/>
      <c r="AF43" s="6277"/>
      <c r="AG43" s="3126"/>
      <c r="AH43" s="3126"/>
      <c r="AI43" s="3230"/>
      <c r="AJ43" s="283" cm="1">
        <f t="array" ref="AJ43">SUM(COUNTIFS($C43:$AG43,{"0","4","5","6","7","8","9"}))</f>
        <v>0</v>
      </c>
      <c r="AK43" s="283" cm="1">
        <f t="array" ref="AK43">SUM(COUNTIFS($C43:$AG43,{"0","4","5","6","7","8","9"},$C$4:$AG$4,"0"))</f>
        <v>0</v>
      </c>
      <c r="AL43" s="283" cm="1">
        <f t="array" ref="AL43">SUM(COUNTIFS($C43:$AG43,{"0","4","5","6","7","8","9"},$C$4:$AG$4,"1"))</f>
        <v>0</v>
      </c>
      <c r="AM43" s="283" cm="1">
        <f t="array" ref="AM43">SUM(COUNTIFS($C43:$AG43,{"0","4","5","6","7","8","9"},$C$4:$AG$4,"2"))</f>
        <v>0</v>
      </c>
      <c r="AN43" s="283" cm="1">
        <f t="array" ref="AN43">SUM(COUNTIFS($C43:$AG43,{"0","4","5","6","7","8","9"},$C$4:$AG$4,"3"))</f>
        <v>0</v>
      </c>
      <c r="AO43" s="283" cm="1">
        <f t="array" ref="AO43">SUM(COUNTIFS($C43:$AG43,{"1","2","3"}))</f>
        <v>0</v>
      </c>
      <c r="AP43" s="283" cm="1">
        <f t="array" ref="AP43">SUM(COUNTIFS($C43:$AG43,{"4","5","6"}))</f>
        <v>0</v>
      </c>
      <c r="AQ43" s="283">
        <f>AK43*'Spreadsheet Key'!$A$23 + AL43*'Spreadsheet Key'!$A$24 + AM43*'Spreadsheet Key'!$A$25 + AN43*'Spreadsheet Key'!$A$26</f>
        <v>0</v>
      </c>
      <c r="AR43" s="3228">
        <f>(AJ43/('APR Statistics'!$B$28))*ABS(AI43-1)</f>
        <v>0</v>
      </c>
      <c r="AS43" s="3231">
        <f t="shared" si="17"/>
        <v>0</v>
      </c>
      <c r="AT43" s="3229">
        <f>AR43*'APR Statistics'!$C$11</f>
        <v>0</v>
      </c>
      <c r="AU43" s="283"/>
      <c r="AV43" s="283">
        <f t="shared" si="1"/>
        <v>0</v>
      </c>
      <c r="AW43" s="283">
        <f t="shared" si="2"/>
        <v>0</v>
      </c>
      <c r="AX43" s="283">
        <f t="shared" si="3"/>
        <v>0</v>
      </c>
      <c r="AY43" s="283" cm="1">
        <f t="array" ref="AY43">COUNTIFS($C43:$AG43,"9",$C$4:$AG$4,"1")+SUM(COUNTIFS($C43:$AG43,{"8","9"},$C$4:$AG$4,"2"))+COUNTIFS($C43:$AG43,"8",$C$4:$AG$4,"3")</f>
        <v>0</v>
      </c>
      <c r="AZ43" s="283">
        <f t="shared" si="4"/>
        <v>0</v>
      </c>
      <c r="BA43" s="283">
        <f t="shared" si="5"/>
        <v>0</v>
      </c>
      <c r="BB43" s="283">
        <f>AV43*'Spreadsheet Key'!$A$27+AW43*'Spreadsheet Key'!$A$28+AX43*'Spreadsheet Key'!$A$29+AY43*'Spreadsheet Key'!$A$30+AZ43*'Spreadsheet Key'!$A$31</f>
        <v>0</v>
      </c>
      <c r="BC43" s="283"/>
      <c r="BD43" s="283"/>
      <c r="BE43" s="283"/>
      <c r="BF43" s="283"/>
      <c r="BG43" s="283"/>
      <c r="BH43" s="283"/>
    </row>
    <row r="44" spans="1:60" s="3211" customFormat="1">
      <c r="A44" s="3180" t="s">
        <v>95</v>
      </c>
      <c r="B44" s="3180" t="s">
        <v>620</v>
      </c>
      <c r="C44" s="3199">
        <v>0</v>
      </c>
      <c r="D44" s="3199">
        <v>0</v>
      </c>
      <c r="E44" s="3203">
        <v>0</v>
      </c>
      <c r="F44" s="3199">
        <v>0</v>
      </c>
      <c r="G44" s="3199">
        <v>0</v>
      </c>
      <c r="H44" s="3199">
        <v>9</v>
      </c>
      <c r="I44" s="3199">
        <v>0</v>
      </c>
      <c r="J44" s="3199">
        <v>0</v>
      </c>
      <c r="K44" s="3199">
        <v>0</v>
      </c>
      <c r="L44" s="3199">
        <v>0</v>
      </c>
      <c r="M44" s="3199">
        <v>0</v>
      </c>
      <c r="N44" s="3199">
        <v>0</v>
      </c>
      <c r="O44" s="3199">
        <v>0</v>
      </c>
      <c r="P44" s="3199">
        <v>0</v>
      </c>
      <c r="Q44" s="3199">
        <v>7</v>
      </c>
      <c r="R44" s="3199">
        <v>7</v>
      </c>
      <c r="S44" s="3199">
        <v>0</v>
      </c>
      <c r="T44" s="3199">
        <v>8</v>
      </c>
      <c r="U44" s="3199">
        <v>0</v>
      </c>
      <c r="V44" s="3199">
        <v>0</v>
      </c>
      <c r="W44" s="3199">
        <v>1</v>
      </c>
      <c r="X44" s="3199">
        <v>2</v>
      </c>
      <c r="Y44" s="3199">
        <v>2</v>
      </c>
      <c r="Z44" s="3199">
        <v>2</v>
      </c>
      <c r="AA44" s="3199">
        <v>2</v>
      </c>
      <c r="AB44" s="3199">
        <v>2</v>
      </c>
      <c r="AC44" s="3199">
        <v>2</v>
      </c>
      <c r="AD44" s="3199">
        <v>2</v>
      </c>
      <c r="AE44" s="3199">
        <v>2</v>
      </c>
      <c r="AF44" s="3199">
        <v>2</v>
      </c>
      <c r="AG44" s="3209"/>
      <c r="AH44" s="3209"/>
      <c r="AI44" s="3230">
        <v>0</v>
      </c>
      <c r="AJ44" s="283" cm="1">
        <f t="array" ref="AJ44">SUM(COUNTIFS($C44:$AG44,{"0","4","5","6","7","8","9"}))</f>
        <v>20</v>
      </c>
      <c r="AK44" s="283" cm="1">
        <f t="array" ref="AK44">SUM(COUNTIFS($C44:$AG44,{"0","4","5","6","7","8","9"},$C$4:$AG$4,"0"))</f>
        <v>10</v>
      </c>
      <c r="AL44" s="283" cm="1">
        <f t="array" ref="AL44">SUM(COUNTIFS($C44:$AG44,{"0","4","5","6","7","8","9"},$C$4:$AG$4,"1"))</f>
        <v>3</v>
      </c>
      <c r="AM44" s="283" cm="1">
        <f t="array" ref="AM44">SUM(COUNTIFS($C44:$AG44,{"0","4","5","6","7","8","9"},$C$4:$AG$4,"2"))</f>
        <v>4</v>
      </c>
      <c r="AN44" s="283" cm="1">
        <f t="array" ref="AN44">SUM(COUNTIFS($C44:$AG44,{"0","4","5","6","7","8","9"},$C$4:$AG$4,"3"))</f>
        <v>3</v>
      </c>
      <c r="AO44" s="283" cm="1">
        <f t="array" ref="AO44">SUM(COUNTIFS($C44:$AG44,{"1","2","3"}))</f>
        <v>10</v>
      </c>
      <c r="AP44" s="283" cm="1">
        <f t="array" ref="AP44">SUM(COUNTIFS($C44:$AG44,{"4","5","6"}))</f>
        <v>0</v>
      </c>
      <c r="AQ44" s="283">
        <f>AK44*'Spreadsheet Key'!$A$23 + AL44*'Spreadsheet Key'!$A$24 + AM44*'Spreadsheet Key'!$A$25 + AN44*'Spreadsheet Key'!$A$26</f>
        <v>838</v>
      </c>
      <c r="AR44" s="3228">
        <f>(AJ44/('APR Statistics'!$B$28))*ABS(AI44-1)</f>
        <v>3.8167938931297711E-2</v>
      </c>
      <c r="AS44" s="3231">
        <f t="shared" si="17"/>
        <v>0</v>
      </c>
      <c r="AT44" s="3229">
        <f>AR44*'APR Statistics'!$C$11</f>
        <v>36.992366412213741</v>
      </c>
      <c r="AU44" s="283"/>
      <c r="AV44" s="283">
        <f t="shared" si="1"/>
        <v>0</v>
      </c>
      <c r="AW44" s="283">
        <f t="shared" si="2"/>
        <v>0</v>
      </c>
      <c r="AX44" s="283">
        <f t="shared" si="3"/>
        <v>0</v>
      </c>
      <c r="AY44" s="283" cm="1">
        <f t="array" ref="AY44">COUNTIFS($C44:$AG44,"9",$C$4:$AG$4,"1")+SUM(COUNTIFS($C44:$AG44,{"8","9"},$C$4:$AG$4,"2"))+COUNTIFS($C44:$AG44,"8",$C$4:$AG$4,"3")</f>
        <v>1</v>
      </c>
      <c r="AZ44" s="283">
        <f t="shared" si="4"/>
        <v>1</v>
      </c>
      <c r="BA44" s="283">
        <f t="shared" si="5"/>
        <v>2</v>
      </c>
      <c r="BB44" s="283">
        <f>AV44*'Spreadsheet Key'!$A$27+AW44*'Spreadsheet Key'!$A$28+AX44*'Spreadsheet Key'!$A$29+AY44*'Spreadsheet Key'!$A$30+AZ44*'Spreadsheet Key'!$A$31</f>
        <v>56</v>
      </c>
      <c r="BC44" s="283"/>
      <c r="BD44" s="283">
        <f t="shared" ref="BD44" si="27">AT44-BB44</f>
        <v>-19.007633587786259</v>
      </c>
      <c r="BE44" s="3210"/>
      <c r="BF44" s="3210"/>
      <c r="BG44" s="3210"/>
      <c r="BH44" s="3210"/>
    </row>
    <row r="45" spans="1:60">
      <c r="A45" s="3208"/>
      <c r="B45" s="3208"/>
      <c r="C45" s="6276" t="s">
        <v>1250</v>
      </c>
      <c r="D45" s="6276"/>
      <c r="E45" s="6276"/>
      <c r="F45" s="6276"/>
      <c r="G45" s="6276"/>
      <c r="H45" s="6276"/>
      <c r="I45" s="6276"/>
      <c r="J45" s="6276"/>
      <c r="K45" s="6276"/>
      <c r="L45" s="6276"/>
      <c r="M45" s="6276"/>
      <c r="N45" s="6276"/>
      <c r="O45" s="3181"/>
      <c r="P45" s="3181"/>
      <c r="Q45" s="3181"/>
      <c r="R45" s="3181"/>
      <c r="S45" s="3181"/>
      <c r="T45" s="3181"/>
      <c r="U45" s="3181"/>
      <c r="V45" s="3181"/>
      <c r="W45" s="3181"/>
      <c r="X45" s="3181"/>
      <c r="Y45" s="3182" t="s">
        <v>722</v>
      </c>
      <c r="Z45" s="3181"/>
      <c r="AA45" s="3181"/>
      <c r="AB45" s="3181"/>
      <c r="AC45" s="3182" t="s">
        <v>720</v>
      </c>
      <c r="AD45" s="3181"/>
      <c r="AE45" s="3181"/>
      <c r="AF45" s="3183" t="s">
        <v>1025</v>
      </c>
      <c r="AG45" s="3126"/>
      <c r="AH45" s="3126"/>
      <c r="AI45" s="3230"/>
      <c r="AJ45" s="283" cm="1">
        <f t="array" ref="AJ45">SUM(COUNTIFS($C45:$AG45,{"0","4","5","6","7","8","9"}))</f>
        <v>0</v>
      </c>
      <c r="AK45" s="283" cm="1">
        <f t="array" ref="AK45">SUM(COUNTIFS($C45:$AG45,{"0","4","5","6","7","8","9"},$C$4:$AG$4,"0"))</f>
        <v>0</v>
      </c>
      <c r="AL45" s="283" cm="1">
        <f t="array" ref="AL45">SUM(COUNTIFS($C45:$AG45,{"0","4","5","6","7","8","9"},$C$4:$AG$4,"1"))</f>
        <v>0</v>
      </c>
      <c r="AM45" s="283" cm="1">
        <f t="array" ref="AM45">SUM(COUNTIFS($C45:$AG45,{"0","4","5","6","7","8","9"},$C$4:$AG$4,"2"))</f>
        <v>0</v>
      </c>
      <c r="AN45" s="283" cm="1">
        <f t="array" ref="AN45">SUM(COUNTIFS($C45:$AG45,{"0","4","5","6","7","8","9"},$C$4:$AG$4,"3"))</f>
        <v>0</v>
      </c>
      <c r="AO45" s="283" cm="1">
        <f t="array" ref="AO45">SUM(COUNTIFS($C45:$AG45,{"1","2","3"}))</f>
        <v>0</v>
      </c>
      <c r="AP45" s="283" cm="1">
        <f t="array" ref="AP45">SUM(COUNTIFS($C45:$AG45,{"4","5","6"}))</f>
        <v>0</v>
      </c>
      <c r="AQ45" s="283">
        <f>AK45*'Spreadsheet Key'!$A$23 + AL45*'Spreadsheet Key'!$A$24 + AM45*'Spreadsheet Key'!$A$25 + AN45*'Spreadsheet Key'!$A$26</f>
        <v>0</v>
      </c>
      <c r="AR45" s="3228">
        <f>(AJ45/('APR Statistics'!$B$28))*ABS(AI45-1)</f>
        <v>0</v>
      </c>
      <c r="AS45" s="3231">
        <f t="shared" si="17"/>
        <v>0</v>
      </c>
      <c r="AT45" s="3229">
        <f>AR45*'APR Statistics'!$C$11</f>
        <v>0</v>
      </c>
      <c r="AU45" s="283"/>
      <c r="AV45" s="283">
        <f t="shared" si="1"/>
        <v>0</v>
      </c>
      <c r="AW45" s="283">
        <f t="shared" si="2"/>
        <v>0</v>
      </c>
      <c r="AX45" s="283">
        <f t="shared" si="3"/>
        <v>0</v>
      </c>
      <c r="AY45" s="283" cm="1">
        <f t="array" ref="AY45">COUNTIFS($C45:$AG45,"9",$C$4:$AG$4,"1")+SUM(COUNTIFS($C45:$AG45,{"8","9"},$C$4:$AG$4,"2"))+COUNTIFS($C45:$AG45,"8",$C$4:$AG$4,"3")</f>
        <v>0</v>
      </c>
      <c r="AZ45" s="283">
        <f t="shared" si="4"/>
        <v>0</v>
      </c>
      <c r="BA45" s="283">
        <f t="shared" si="5"/>
        <v>0</v>
      </c>
      <c r="BB45" s="283">
        <f>AV45*'Spreadsheet Key'!$A$27+AW45*'Spreadsheet Key'!$A$28+AX45*'Spreadsheet Key'!$A$29+AY45*'Spreadsheet Key'!$A$30+AZ45*'Spreadsheet Key'!$A$31</f>
        <v>0</v>
      </c>
      <c r="BC45" s="283"/>
      <c r="BD45" s="283"/>
      <c r="BE45" s="283"/>
      <c r="BF45" s="283"/>
      <c r="BG45" s="283"/>
      <c r="BH45" s="283"/>
    </row>
    <row r="46" spans="1:60" s="3211" customFormat="1" ht="15.75">
      <c r="A46" s="3180" t="s">
        <v>95</v>
      </c>
      <c r="B46" s="3180" t="s">
        <v>1037</v>
      </c>
      <c r="C46" s="3199">
        <v>2</v>
      </c>
      <c r="D46" s="3199">
        <v>2</v>
      </c>
      <c r="E46" s="3199">
        <v>2</v>
      </c>
      <c r="F46" s="3199">
        <v>2</v>
      </c>
      <c r="G46" s="3199">
        <v>2</v>
      </c>
      <c r="H46" s="3199">
        <v>2</v>
      </c>
      <c r="I46" s="3199">
        <v>2</v>
      </c>
      <c r="J46" s="3199">
        <v>2</v>
      </c>
      <c r="K46" s="3199">
        <v>2</v>
      </c>
      <c r="L46" s="3199">
        <v>2</v>
      </c>
      <c r="M46" s="3199">
        <v>2</v>
      </c>
      <c r="N46" s="3199">
        <v>3</v>
      </c>
      <c r="O46" s="3199">
        <v>0</v>
      </c>
      <c r="P46" s="3204">
        <v>0</v>
      </c>
      <c r="Q46" s="3204">
        <v>0</v>
      </c>
      <c r="R46" s="3199">
        <v>0</v>
      </c>
      <c r="S46" s="3199">
        <v>0</v>
      </c>
      <c r="T46" s="3199">
        <v>0</v>
      </c>
      <c r="U46" s="3199">
        <v>0</v>
      </c>
      <c r="V46" s="3199">
        <v>0</v>
      </c>
      <c r="W46" s="3199">
        <v>0</v>
      </c>
      <c r="X46" s="3199">
        <v>0</v>
      </c>
      <c r="Y46" s="3199">
        <v>9</v>
      </c>
      <c r="Z46" s="3199">
        <v>0</v>
      </c>
      <c r="AA46" s="3199">
        <v>0</v>
      </c>
      <c r="AB46" s="3199">
        <v>0</v>
      </c>
      <c r="AC46" s="3199">
        <v>8</v>
      </c>
      <c r="AD46" s="3199">
        <v>0</v>
      </c>
      <c r="AE46" s="3199">
        <v>0</v>
      </c>
      <c r="AF46" s="3199">
        <v>1</v>
      </c>
      <c r="AG46" s="3209"/>
      <c r="AH46" s="3209"/>
      <c r="AI46" s="3230">
        <v>0</v>
      </c>
      <c r="AJ46" s="283" cm="1">
        <f t="array" ref="AJ46">SUM(COUNTIFS($C46:$AG46,{"0","4","5","6","7","8","9"}))</f>
        <v>17</v>
      </c>
      <c r="AK46" s="283" cm="1">
        <f t="array" ref="AK46">SUM(COUNTIFS($C46:$AG46,{"0","4","5","6","7","8","9"},$C$4:$AG$4,"0"))</f>
        <v>9</v>
      </c>
      <c r="AL46" s="283" cm="1">
        <f t="array" ref="AL46">SUM(COUNTIFS($C46:$AG46,{"0","4","5","6","7","8","9"},$C$4:$AG$4,"1"))</f>
        <v>2</v>
      </c>
      <c r="AM46" s="283" cm="1">
        <f t="array" ref="AM46">SUM(COUNTIFS($C46:$AG46,{"0","4","5","6","7","8","9"},$C$4:$AG$4,"2"))</f>
        <v>3</v>
      </c>
      <c r="AN46" s="283" cm="1">
        <f t="array" ref="AN46">SUM(COUNTIFS($C46:$AG46,{"0","4","5","6","7","8","9"},$C$4:$AG$4,"3"))</f>
        <v>3</v>
      </c>
      <c r="AO46" s="283" cm="1">
        <f t="array" ref="AO46">SUM(COUNTIFS($C46:$AG46,{"1","2","3"}))</f>
        <v>13</v>
      </c>
      <c r="AP46" s="283" cm="1">
        <f t="array" ref="AP46">SUM(COUNTIFS($C46:$AG46,{"4","5","6"}))</f>
        <v>0</v>
      </c>
      <c r="AQ46" s="283">
        <f>AK46*'Spreadsheet Key'!$A$23 + AL46*'Spreadsheet Key'!$A$24 + AM46*'Spreadsheet Key'!$A$25 + AN46*'Spreadsheet Key'!$A$26</f>
        <v>690</v>
      </c>
      <c r="AR46" s="3228">
        <f>(AJ46/('APR Statistics'!$B$28))*ABS(AI46-1)</f>
        <v>3.2442748091603052E-2</v>
      </c>
      <c r="AS46" s="3231">
        <f t="shared" si="17"/>
        <v>0</v>
      </c>
      <c r="AT46" s="3229">
        <f>AR46*'APR Statistics'!$C$11</f>
        <v>31.443511450381678</v>
      </c>
      <c r="AU46" s="283"/>
      <c r="AV46" s="283">
        <f t="shared" si="1"/>
        <v>0</v>
      </c>
      <c r="AW46" s="283">
        <f t="shared" si="2"/>
        <v>1</v>
      </c>
      <c r="AX46" s="283">
        <f t="shared" si="3"/>
        <v>0</v>
      </c>
      <c r="AY46" s="283" cm="1">
        <f t="array" ref="AY46">COUNTIFS($C46:$AG46,"9",$C$4:$AG$4,"1")+SUM(COUNTIFS($C46:$AG46,{"8","9"},$C$4:$AG$4,"2"))+COUNTIFS($C46:$AG46,"8",$C$4:$AG$4,"3")</f>
        <v>1</v>
      </c>
      <c r="AZ46" s="283">
        <f t="shared" si="4"/>
        <v>0</v>
      </c>
      <c r="BA46" s="283">
        <f t="shared" si="5"/>
        <v>2</v>
      </c>
      <c r="BB46" s="283">
        <f>AV46*'Spreadsheet Key'!$A$27+AW46*'Spreadsheet Key'!$A$28+AX46*'Spreadsheet Key'!$A$29+AY46*'Spreadsheet Key'!$A$30+AZ46*'Spreadsheet Key'!$A$31</f>
        <v>48</v>
      </c>
      <c r="BC46" s="283"/>
      <c r="BD46" s="283">
        <f t="shared" ref="BD46" si="28">AT46-BB46</f>
        <v>-16.556488549618322</v>
      </c>
      <c r="BE46" s="3210"/>
      <c r="BF46" s="3210"/>
      <c r="BG46" s="3210"/>
      <c r="BH46" s="3210"/>
    </row>
    <row r="47" spans="1:60">
      <c r="A47" s="3208"/>
      <c r="B47" s="3208"/>
      <c r="C47" s="4333" t="s">
        <v>112</v>
      </c>
      <c r="D47" s="4411"/>
      <c r="E47" s="4411"/>
      <c r="F47" s="4411"/>
      <c r="G47" s="4411"/>
      <c r="H47" s="4411"/>
      <c r="I47" s="4411"/>
      <c r="J47" s="4411"/>
      <c r="K47" s="4411"/>
      <c r="L47" s="4334"/>
      <c r="M47" s="3181"/>
      <c r="N47" s="3181"/>
      <c r="O47" s="3181"/>
      <c r="P47" s="3181"/>
      <c r="Q47" s="6268" t="s">
        <v>1263</v>
      </c>
      <c r="R47" s="6268"/>
      <c r="S47" s="3182" t="s">
        <v>722</v>
      </c>
      <c r="T47" s="3181"/>
      <c r="U47" s="3181"/>
      <c r="V47" s="3181"/>
      <c r="W47" s="3181"/>
      <c r="X47" s="3181"/>
      <c r="Y47" s="3181"/>
      <c r="Z47" s="3181"/>
      <c r="AA47" s="3181"/>
      <c r="AB47" s="3181"/>
      <c r="AC47" s="3181"/>
      <c r="AD47" s="3181"/>
      <c r="AE47" s="3181"/>
      <c r="AF47" s="3182" t="s">
        <v>722</v>
      </c>
      <c r="AG47" s="3126"/>
      <c r="AH47" s="3126"/>
      <c r="AI47" s="3230"/>
      <c r="AJ47" s="283" cm="1">
        <f t="array" ref="AJ47">SUM(COUNTIFS($C47:$AG47,{"0","4","5","6","7","8","9"}))</f>
        <v>0</v>
      </c>
      <c r="AK47" s="283" cm="1">
        <f t="array" ref="AK47">SUM(COUNTIFS($C47:$AG47,{"0","4","5","6","7","8","9"},$C$4:$AG$4,"0"))</f>
        <v>0</v>
      </c>
      <c r="AL47" s="283" cm="1">
        <f t="array" ref="AL47">SUM(COUNTIFS($C47:$AG47,{"0","4","5","6","7","8","9"},$C$4:$AG$4,"1"))</f>
        <v>0</v>
      </c>
      <c r="AM47" s="283" cm="1">
        <f t="array" ref="AM47">SUM(COUNTIFS($C47:$AG47,{"0","4","5","6","7","8","9"},$C$4:$AG$4,"2"))</f>
        <v>0</v>
      </c>
      <c r="AN47" s="283" cm="1">
        <f t="array" ref="AN47">SUM(COUNTIFS($C47:$AG47,{"0","4","5","6","7","8","9"},$C$4:$AG$4,"3"))</f>
        <v>0</v>
      </c>
      <c r="AO47" s="283" cm="1">
        <f t="array" ref="AO47">SUM(COUNTIFS($C47:$AG47,{"1","2","3"}))</f>
        <v>0</v>
      </c>
      <c r="AP47" s="283" cm="1">
        <f t="array" ref="AP47">SUM(COUNTIFS($C47:$AG47,{"4","5","6"}))</f>
        <v>0</v>
      </c>
      <c r="AQ47" s="283">
        <f>AK47*'Spreadsheet Key'!$A$23 + AL47*'Spreadsheet Key'!$A$24 + AM47*'Spreadsheet Key'!$A$25 + AN47*'Spreadsheet Key'!$A$26</f>
        <v>0</v>
      </c>
      <c r="AR47" s="3228">
        <f>(AJ47/('APR Statistics'!$B$28))*ABS(AI47-1)</f>
        <v>0</v>
      </c>
      <c r="AS47" s="3231">
        <f t="shared" si="17"/>
        <v>0</v>
      </c>
      <c r="AT47" s="3229">
        <f>AR47*'APR Statistics'!$C$11</f>
        <v>0</v>
      </c>
      <c r="AU47" s="283"/>
      <c r="AV47" s="283">
        <f t="shared" si="1"/>
        <v>0</v>
      </c>
      <c r="AW47" s="283">
        <f t="shared" si="2"/>
        <v>0</v>
      </c>
      <c r="AX47" s="283">
        <f t="shared" si="3"/>
        <v>0</v>
      </c>
      <c r="AY47" s="283" cm="1">
        <f t="array" ref="AY47">COUNTIFS($C47:$AG47,"9",$C$4:$AG$4,"1")+SUM(COUNTIFS($C47:$AG47,{"8","9"},$C$4:$AG$4,"2"))+COUNTIFS($C47:$AG47,"8",$C$4:$AG$4,"3")</f>
        <v>0</v>
      </c>
      <c r="AZ47" s="283">
        <f t="shared" si="4"/>
        <v>0</v>
      </c>
      <c r="BA47" s="283">
        <f t="shared" si="5"/>
        <v>0</v>
      </c>
      <c r="BB47" s="283">
        <f>AV47*'Spreadsheet Key'!$A$27+AW47*'Spreadsheet Key'!$A$28+AX47*'Spreadsheet Key'!$A$29+AY47*'Spreadsheet Key'!$A$30+AZ47*'Spreadsheet Key'!$A$31</f>
        <v>0</v>
      </c>
      <c r="BC47" s="283"/>
      <c r="BD47" s="283"/>
      <c r="BE47" s="283"/>
      <c r="BF47" s="283"/>
      <c r="BG47" s="283"/>
      <c r="BH47" s="283"/>
    </row>
    <row r="48" spans="1:60" s="3211" customFormat="1">
      <c r="A48" s="3180" t="s">
        <v>739</v>
      </c>
      <c r="B48" s="3180" t="s">
        <v>740</v>
      </c>
      <c r="C48" s="3199">
        <v>2</v>
      </c>
      <c r="D48" s="3199">
        <v>2</v>
      </c>
      <c r="E48" s="3199">
        <v>2</v>
      </c>
      <c r="F48" s="3199">
        <v>2</v>
      </c>
      <c r="G48" s="3199">
        <v>2</v>
      </c>
      <c r="H48" s="3199">
        <v>2</v>
      </c>
      <c r="I48" s="3199">
        <v>2</v>
      </c>
      <c r="J48" s="3199">
        <v>2</v>
      </c>
      <c r="K48" s="3199">
        <v>2</v>
      </c>
      <c r="L48" s="3199">
        <v>3</v>
      </c>
      <c r="M48" s="3199">
        <v>0</v>
      </c>
      <c r="N48" s="3199">
        <v>0</v>
      </c>
      <c r="O48" s="3199">
        <v>0</v>
      </c>
      <c r="P48" s="3199">
        <v>0</v>
      </c>
      <c r="Q48" s="3199">
        <v>7</v>
      </c>
      <c r="R48" s="3199">
        <v>7</v>
      </c>
      <c r="S48" s="3199">
        <v>9</v>
      </c>
      <c r="T48" s="3199">
        <v>0</v>
      </c>
      <c r="U48" s="3199">
        <v>0</v>
      </c>
      <c r="V48" s="3199">
        <v>0</v>
      </c>
      <c r="W48" s="3199">
        <v>0</v>
      </c>
      <c r="X48" s="3199">
        <v>0</v>
      </c>
      <c r="Y48" s="3199">
        <v>0</v>
      </c>
      <c r="Z48" s="3199">
        <v>0</v>
      </c>
      <c r="AA48" s="3199">
        <v>0</v>
      </c>
      <c r="AB48" s="3199">
        <v>0</v>
      </c>
      <c r="AC48" s="3199">
        <v>0</v>
      </c>
      <c r="AD48" s="3199">
        <v>0</v>
      </c>
      <c r="AE48" s="3199">
        <v>0</v>
      </c>
      <c r="AF48" s="3199">
        <v>9</v>
      </c>
      <c r="AG48" s="3209"/>
      <c r="AH48" s="3209"/>
      <c r="AI48" s="3230">
        <v>0</v>
      </c>
      <c r="AJ48" s="283" cm="1">
        <f t="array" ref="AJ48">SUM(COUNTIFS($C48:$AG48,{"0","4","5","6","7","8","9"}))</f>
        <v>20</v>
      </c>
      <c r="AK48" s="283" cm="1">
        <f t="array" ref="AK48">SUM(COUNTIFS($C48:$AG48,{"0","4","5","6","7","8","9"},$C$4:$AG$4,"0"))</f>
        <v>10</v>
      </c>
      <c r="AL48" s="283" cm="1">
        <f t="array" ref="AL48">SUM(COUNTIFS($C48:$AG48,{"0","4","5","6","7","8","9"},$C$4:$AG$4,"1"))</f>
        <v>3</v>
      </c>
      <c r="AM48" s="283" cm="1">
        <f t="array" ref="AM48">SUM(COUNTIFS($C48:$AG48,{"0","4","5","6","7","8","9"},$C$4:$AG$4,"2"))</f>
        <v>4</v>
      </c>
      <c r="AN48" s="283" cm="1">
        <f t="array" ref="AN48">SUM(COUNTIFS($C48:$AG48,{"0","4","5","6","7","8","9"},$C$4:$AG$4,"3"))</f>
        <v>3</v>
      </c>
      <c r="AO48" s="283" cm="1">
        <f t="array" ref="AO48">SUM(COUNTIFS($C48:$AG48,{"1","2","3"}))</f>
        <v>10</v>
      </c>
      <c r="AP48" s="283" cm="1">
        <f t="array" ref="AP48">SUM(COUNTIFS($C48:$AG48,{"4","5","6"}))</f>
        <v>0</v>
      </c>
      <c r="AQ48" s="283">
        <f>AK48*'Spreadsheet Key'!$A$23 + AL48*'Spreadsheet Key'!$A$24 + AM48*'Spreadsheet Key'!$A$25 + AN48*'Spreadsheet Key'!$A$26</f>
        <v>838</v>
      </c>
      <c r="AR48" s="3228">
        <f>(AJ48/('APR Statistics'!$B$28))*ABS(AI48-1)</f>
        <v>3.8167938931297711E-2</v>
      </c>
      <c r="AS48" s="3231">
        <f t="shared" si="17"/>
        <v>0</v>
      </c>
      <c r="AT48" s="3229">
        <f>AR48*'APR Statistics'!$C$11</f>
        <v>36.992366412213741</v>
      </c>
      <c r="AU48" s="283"/>
      <c r="AV48" s="283">
        <f t="shared" si="1"/>
        <v>0</v>
      </c>
      <c r="AW48" s="283">
        <f t="shared" si="2"/>
        <v>1</v>
      </c>
      <c r="AX48" s="283">
        <f t="shared" si="3"/>
        <v>0</v>
      </c>
      <c r="AY48" s="283" cm="1">
        <f t="array" ref="AY48">COUNTIFS($C48:$AG48,"9",$C$4:$AG$4,"1")+SUM(COUNTIFS($C48:$AG48,{"8","9"},$C$4:$AG$4,"2"))+COUNTIFS($C48:$AG48,"8",$C$4:$AG$4,"3")</f>
        <v>1</v>
      </c>
      <c r="AZ48" s="283">
        <f t="shared" si="4"/>
        <v>0</v>
      </c>
      <c r="BA48" s="283">
        <f t="shared" si="5"/>
        <v>2</v>
      </c>
      <c r="BB48" s="283">
        <f>AV48*'Spreadsheet Key'!$A$27+AW48*'Spreadsheet Key'!$A$28+AX48*'Spreadsheet Key'!$A$29+AY48*'Spreadsheet Key'!$A$30+AZ48*'Spreadsheet Key'!$A$31</f>
        <v>48</v>
      </c>
      <c r="BC48" s="283"/>
      <c r="BD48" s="283">
        <f t="shared" ref="BD48" si="29">AT48-BB48</f>
        <v>-11.007633587786259</v>
      </c>
      <c r="BE48" s="3210"/>
      <c r="BF48" s="3210"/>
      <c r="BG48" s="3210"/>
      <c r="BH48" s="3210"/>
    </row>
    <row r="49" spans="1:60">
      <c r="A49" s="3208"/>
      <c r="B49" s="3208"/>
      <c r="C49" s="3181"/>
      <c r="D49" s="3181"/>
      <c r="E49" s="3181"/>
      <c r="F49" s="3181"/>
      <c r="G49" s="3181"/>
      <c r="H49" s="3181"/>
      <c r="I49" s="3181"/>
      <c r="J49" s="3181"/>
      <c r="K49" s="3181"/>
      <c r="L49" s="3010" t="s">
        <v>1025</v>
      </c>
      <c r="M49" s="6249" t="s">
        <v>1231</v>
      </c>
      <c r="N49" s="6249"/>
      <c r="O49" s="3010" t="s">
        <v>1025</v>
      </c>
      <c r="P49" s="3194"/>
      <c r="Q49" s="6268" t="s">
        <v>1263</v>
      </c>
      <c r="R49" s="6268"/>
      <c r="S49" s="3181"/>
      <c r="T49" s="3181"/>
      <c r="U49" s="3181"/>
      <c r="V49" s="3181"/>
      <c r="W49" s="3181"/>
      <c r="X49" s="3181"/>
      <c r="Y49" s="3181"/>
      <c r="Z49" s="3181"/>
      <c r="AA49" s="3181"/>
      <c r="AB49" s="3181"/>
      <c r="AC49" s="3181"/>
      <c r="AD49" s="3181"/>
      <c r="AE49" s="3181"/>
      <c r="AF49" s="3181"/>
      <c r="AG49" s="3126"/>
      <c r="AH49" s="3126"/>
      <c r="AI49" s="3230"/>
      <c r="AJ49" s="283" cm="1">
        <f t="array" ref="AJ49">SUM(COUNTIFS($C49:$AG49,{"0","4","5","6","7","8","9"}))</f>
        <v>0</v>
      </c>
      <c r="AK49" s="283" cm="1">
        <f t="array" ref="AK49">SUM(COUNTIFS($C49:$AG49,{"0","4","5","6","7","8","9"},$C$4:$AG$4,"0"))</f>
        <v>0</v>
      </c>
      <c r="AL49" s="283" cm="1">
        <f t="array" ref="AL49">SUM(COUNTIFS($C49:$AG49,{"0","4","5","6","7","8","9"},$C$4:$AG$4,"1"))</f>
        <v>0</v>
      </c>
      <c r="AM49" s="283" cm="1">
        <f t="array" ref="AM49">SUM(COUNTIFS($C49:$AG49,{"0","4","5","6","7","8","9"},$C$4:$AG$4,"2"))</f>
        <v>0</v>
      </c>
      <c r="AN49" s="283" cm="1">
        <f t="array" ref="AN49">SUM(COUNTIFS($C49:$AG49,{"0","4","5","6","7","8","9"},$C$4:$AG$4,"3"))</f>
        <v>0</v>
      </c>
      <c r="AO49" s="283" cm="1">
        <f t="array" ref="AO49">SUM(COUNTIFS($C49:$AG49,{"1","2","3"}))</f>
        <v>0</v>
      </c>
      <c r="AP49" s="283" cm="1">
        <f t="array" ref="AP49">SUM(COUNTIFS($C49:$AG49,{"4","5","6"}))</f>
        <v>0</v>
      </c>
      <c r="AQ49" s="283">
        <f>AK49*'Spreadsheet Key'!$A$23 + AL49*'Spreadsheet Key'!$A$24 + AM49*'Spreadsheet Key'!$A$25 + AN49*'Spreadsheet Key'!$A$26</f>
        <v>0</v>
      </c>
      <c r="AR49" s="3228">
        <f>(AJ49/('APR Statistics'!$B$28))*ABS(AI49-1)</f>
        <v>0</v>
      </c>
      <c r="AS49" s="3231">
        <f t="shared" si="17"/>
        <v>0</v>
      </c>
      <c r="AT49" s="3229">
        <f>AR49*'APR Statistics'!$C$11</f>
        <v>0</v>
      </c>
      <c r="AU49" s="283"/>
      <c r="AV49" s="283">
        <f t="shared" si="1"/>
        <v>0</v>
      </c>
      <c r="AW49" s="283">
        <f t="shared" si="2"/>
        <v>0</v>
      </c>
      <c r="AX49" s="283">
        <f t="shared" si="3"/>
        <v>0</v>
      </c>
      <c r="AY49" s="283" cm="1">
        <f t="array" ref="AY49">COUNTIFS($C49:$AG49,"9",$C$4:$AG$4,"1")+SUM(COUNTIFS($C49:$AG49,{"8","9"},$C$4:$AG$4,"2"))+COUNTIFS($C49:$AG49,"8",$C$4:$AG$4,"3")</f>
        <v>0</v>
      </c>
      <c r="AZ49" s="283">
        <f t="shared" si="4"/>
        <v>0</v>
      </c>
      <c r="BA49" s="283">
        <f t="shared" si="5"/>
        <v>0</v>
      </c>
      <c r="BB49" s="283">
        <f>AV49*'Spreadsheet Key'!$A$27+AW49*'Spreadsheet Key'!$A$28+AX49*'Spreadsheet Key'!$A$29+AY49*'Spreadsheet Key'!$A$30+AZ49*'Spreadsheet Key'!$A$31</f>
        <v>0</v>
      </c>
      <c r="BC49" s="283"/>
      <c r="BD49" s="283"/>
      <c r="BE49" s="283"/>
      <c r="BF49" s="283"/>
      <c r="BG49" s="283"/>
      <c r="BH49" s="283"/>
    </row>
    <row r="50" spans="1:60" s="3211" customFormat="1">
      <c r="A50" s="3180" t="s">
        <v>108</v>
      </c>
      <c r="B50" s="3180" t="s">
        <v>1106</v>
      </c>
      <c r="C50" s="3199">
        <v>2</v>
      </c>
      <c r="D50" s="3199">
        <v>2</v>
      </c>
      <c r="E50" s="3199">
        <v>2</v>
      </c>
      <c r="F50" s="3199">
        <v>2</v>
      </c>
      <c r="G50" s="3199">
        <v>2</v>
      </c>
      <c r="H50" s="3199">
        <v>2</v>
      </c>
      <c r="I50" s="3199">
        <v>2</v>
      </c>
      <c r="J50" s="3199">
        <v>2</v>
      </c>
      <c r="K50" s="3199">
        <v>2</v>
      </c>
      <c r="L50" s="3199">
        <v>2</v>
      </c>
      <c r="M50" s="3199">
        <v>2</v>
      </c>
      <c r="N50" s="3199">
        <v>2</v>
      </c>
      <c r="O50" s="3199">
        <v>2</v>
      </c>
      <c r="P50" s="3199">
        <v>2</v>
      </c>
      <c r="Q50" s="3199">
        <v>2</v>
      </c>
      <c r="R50" s="3199">
        <v>2</v>
      </c>
      <c r="S50" s="3199">
        <v>2</v>
      </c>
      <c r="T50" s="3199">
        <v>2</v>
      </c>
      <c r="U50" s="3199">
        <v>2</v>
      </c>
      <c r="V50" s="3199">
        <v>2</v>
      </c>
      <c r="W50" s="3199">
        <v>2</v>
      </c>
      <c r="X50" s="3199">
        <v>2</v>
      </c>
      <c r="Y50" s="3199">
        <v>2</v>
      </c>
      <c r="Z50" s="3199">
        <v>2</v>
      </c>
      <c r="AA50" s="3199">
        <v>2</v>
      </c>
      <c r="AB50" s="3199">
        <v>2</v>
      </c>
      <c r="AC50" s="3199">
        <v>2</v>
      </c>
      <c r="AD50" s="3199">
        <v>2</v>
      </c>
      <c r="AE50" s="3199">
        <v>2</v>
      </c>
      <c r="AF50" s="3199">
        <v>2</v>
      </c>
      <c r="AG50" s="3209"/>
      <c r="AH50" s="3209"/>
      <c r="AI50" s="3230">
        <v>0</v>
      </c>
      <c r="AJ50" s="283" cm="1">
        <f t="array" ref="AJ50">SUM(COUNTIFS($C50:$AG50,{"0","4","5","6","7","8","9"}))</f>
        <v>0</v>
      </c>
      <c r="AK50" s="283" cm="1">
        <f t="array" ref="AK50">SUM(COUNTIFS($C50:$AG50,{"0","4","5","6","7","8","9"},$C$4:$AG$4,"0"))</f>
        <v>0</v>
      </c>
      <c r="AL50" s="283" cm="1">
        <f t="array" ref="AL50">SUM(COUNTIFS($C50:$AG50,{"0","4","5","6","7","8","9"},$C$4:$AG$4,"1"))</f>
        <v>0</v>
      </c>
      <c r="AM50" s="283" cm="1">
        <f t="array" ref="AM50">SUM(COUNTIFS($C50:$AG50,{"0","4","5","6","7","8","9"},$C$4:$AG$4,"2"))</f>
        <v>0</v>
      </c>
      <c r="AN50" s="283" cm="1">
        <f t="array" ref="AN50">SUM(COUNTIFS($C50:$AG50,{"0","4","5","6","7","8","9"},$C$4:$AG$4,"3"))</f>
        <v>0</v>
      </c>
      <c r="AO50" s="283" cm="1">
        <f t="array" ref="AO50">SUM(COUNTIFS($C50:$AG50,{"1","2","3"}))</f>
        <v>30</v>
      </c>
      <c r="AP50" s="283" cm="1">
        <f t="array" ref="AP50">SUM(COUNTIFS($C50:$AG50,{"4","5","6"}))</f>
        <v>0</v>
      </c>
      <c r="AQ50" s="283">
        <f>AK50*'Spreadsheet Key'!$A$23 + AL50*'Spreadsheet Key'!$A$24 + AM50*'Spreadsheet Key'!$A$25 + AN50*'Spreadsheet Key'!$A$26</f>
        <v>0</v>
      </c>
      <c r="AR50" s="3228">
        <f>(AJ50/('APR Statistics'!$B$28))*ABS(AI50-1)</f>
        <v>0</v>
      </c>
      <c r="AS50" s="3231">
        <f t="shared" si="17"/>
        <v>0</v>
      </c>
      <c r="AT50" s="3229">
        <f>AR50*'APR Statistics'!$C$11</f>
        <v>0</v>
      </c>
      <c r="AU50" s="283"/>
      <c r="AV50" s="283">
        <f t="shared" si="1"/>
        <v>0</v>
      </c>
      <c r="AW50" s="283">
        <f t="shared" si="2"/>
        <v>0</v>
      </c>
      <c r="AX50" s="283">
        <f t="shared" si="3"/>
        <v>0</v>
      </c>
      <c r="AY50" s="283" cm="1">
        <f t="array" ref="AY50">COUNTIFS($C50:$AG50,"9",$C$4:$AG$4,"1")+SUM(COUNTIFS($C50:$AG50,{"8","9"},$C$4:$AG$4,"2"))+COUNTIFS($C50:$AG50,"8",$C$4:$AG$4,"3")</f>
        <v>0</v>
      </c>
      <c r="AZ50" s="283">
        <f t="shared" si="4"/>
        <v>0</v>
      </c>
      <c r="BA50" s="283">
        <f t="shared" si="5"/>
        <v>0</v>
      </c>
      <c r="BB50" s="283">
        <f>AV50*'Spreadsheet Key'!$A$27+AW50*'Spreadsheet Key'!$A$28+AX50*'Spreadsheet Key'!$A$29+AY50*'Spreadsheet Key'!$A$30+AZ50*'Spreadsheet Key'!$A$31</f>
        <v>0</v>
      </c>
      <c r="BC50" s="283"/>
      <c r="BD50" s="283">
        <f t="shared" ref="BD50" si="30">AT50-BB50</f>
        <v>0</v>
      </c>
      <c r="BE50" s="3210"/>
      <c r="BF50" s="3210"/>
      <c r="BG50" s="3210"/>
      <c r="BH50" s="3210"/>
    </row>
    <row r="51" spans="1:60">
      <c r="A51" s="3208"/>
      <c r="B51" s="3208"/>
      <c r="C51" s="3181"/>
      <c r="D51" s="3182" t="s">
        <v>720</v>
      </c>
      <c r="E51" s="3181"/>
      <c r="F51" s="3182"/>
      <c r="G51" s="3181"/>
      <c r="H51" s="3181"/>
      <c r="I51" s="3181"/>
      <c r="J51" s="3181"/>
      <c r="K51" s="3181"/>
      <c r="L51" s="3181"/>
      <c r="M51" s="3181"/>
      <c r="N51" s="3182"/>
      <c r="O51" s="3182" t="s">
        <v>720</v>
      </c>
      <c r="P51" s="3181"/>
      <c r="Q51" s="6268" t="s">
        <v>1263</v>
      </c>
      <c r="R51" s="6268"/>
      <c r="S51" s="3181"/>
      <c r="T51" s="3181"/>
      <c r="U51" s="3181"/>
      <c r="V51" s="3181"/>
      <c r="W51" s="3183" t="s">
        <v>1025</v>
      </c>
      <c r="X51" s="6269" t="s">
        <v>667</v>
      </c>
      <c r="Y51" s="6269"/>
      <c r="Z51" s="6269"/>
      <c r="AA51" s="3183" t="s">
        <v>1025</v>
      </c>
      <c r="AB51" s="3181"/>
      <c r="AC51" s="3181"/>
      <c r="AD51" s="3181"/>
      <c r="AE51" s="3181"/>
      <c r="AF51" s="3181"/>
      <c r="AG51" s="3126"/>
      <c r="AH51" s="3126"/>
      <c r="AI51" s="3230"/>
      <c r="AJ51" s="283" cm="1">
        <f t="array" ref="AJ51">SUM(COUNTIFS($C51:$AG51,{"0","4","5","6","7","8","9"}))</f>
        <v>0</v>
      </c>
      <c r="AK51" s="283" cm="1">
        <f t="array" ref="AK51">SUM(COUNTIFS($C51:$AG51,{"0","4","5","6","7","8","9"},$C$4:$AG$4,"0"))</f>
        <v>0</v>
      </c>
      <c r="AL51" s="283" cm="1">
        <f t="array" ref="AL51">SUM(COUNTIFS($C51:$AG51,{"0","4","5","6","7","8","9"},$C$4:$AG$4,"1"))</f>
        <v>0</v>
      </c>
      <c r="AM51" s="283" cm="1">
        <f t="array" ref="AM51">SUM(COUNTIFS($C51:$AG51,{"0","4","5","6","7","8","9"},$C$4:$AG$4,"2"))</f>
        <v>0</v>
      </c>
      <c r="AN51" s="283" cm="1">
        <f t="array" ref="AN51">SUM(COUNTIFS($C51:$AG51,{"0","4","5","6","7","8","9"},$C$4:$AG$4,"3"))</f>
        <v>0</v>
      </c>
      <c r="AO51" s="283" cm="1">
        <f t="array" ref="AO51">SUM(COUNTIFS($C51:$AG51,{"1","2","3"}))</f>
        <v>0</v>
      </c>
      <c r="AP51" s="283" cm="1">
        <f t="array" ref="AP51">SUM(COUNTIFS($C51:$AG51,{"4","5","6"}))</f>
        <v>0</v>
      </c>
      <c r="AQ51" s="283">
        <f>AK51*'Spreadsheet Key'!$A$23 + AL51*'Spreadsheet Key'!$A$24 + AM51*'Spreadsheet Key'!$A$25 + AN51*'Spreadsheet Key'!$A$26</f>
        <v>0</v>
      </c>
      <c r="AR51" s="3228">
        <f>(AJ51/('APR Statistics'!$B$28))*ABS(AI51-1)</f>
        <v>0</v>
      </c>
      <c r="AS51" s="3231">
        <f t="shared" si="17"/>
        <v>0</v>
      </c>
      <c r="AT51" s="3229">
        <f>AR51*'APR Statistics'!$C$11</f>
        <v>0</v>
      </c>
      <c r="AU51" s="283"/>
      <c r="AV51" s="283">
        <f t="shared" si="1"/>
        <v>0</v>
      </c>
      <c r="AW51" s="283">
        <f t="shared" si="2"/>
        <v>0</v>
      </c>
      <c r="AX51" s="283">
        <f t="shared" si="3"/>
        <v>0</v>
      </c>
      <c r="AY51" s="283" cm="1">
        <f t="array" ref="AY51">COUNTIFS($C51:$AG51,"9",$C$4:$AG$4,"1")+SUM(COUNTIFS($C51:$AG51,{"8","9"},$C$4:$AG$4,"2"))+COUNTIFS($C51:$AG51,"8",$C$4:$AG$4,"3")</f>
        <v>0</v>
      </c>
      <c r="AZ51" s="283">
        <f t="shared" si="4"/>
        <v>0</v>
      </c>
      <c r="BA51" s="283">
        <f t="shared" si="5"/>
        <v>0</v>
      </c>
      <c r="BB51" s="283">
        <f>AV51*'Spreadsheet Key'!$A$27+AW51*'Spreadsheet Key'!$A$28+AX51*'Spreadsheet Key'!$A$29+AY51*'Spreadsheet Key'!$A$30+AZ51*'Spreadsheet Key'!$A$31</f>
        <v>0</v>
      </c>
      <c r="BC51" s="283"/>
      <c r="BD51" s="283"/>
      <c r="BE51" s="283"/>
      <c r="BF51" s="283"/>
      <c r="BG51" s="283"/>
      <c r="BH51" s="283"/>
    </row>
    <row r="52" spans="1:60" s="3211" customFormat="1">
      <c r="A52" s="3180" t="s">
        <v>145</v>
      </c>
      <c r="B52" s="3180" t="s">
        <v>148</v>
      </c>
      <c r="C52" s="3199">
        <v>0</v>
      </c>
      <c r="D52" s="3199">
        <v>8</v>
      </c>
      <c r="E52" s="3199">
        <v>0</v>
      </c>
      <c r="F52" s="3199">
        <v>0</v>
      </c>
      <c r="G52" s="3199">
        <v>0</v>
      </c>
      <c r="H52" s="3199">
        <v>0</v>
      </c>
      <c r="I52" s="3199">
        <v>0</v>
      </c>
      <c r="J52" s="3199">
        <v>0</v>
      </c>
      <c r="K52" s="3199">
        <v>0</v>
      </c>
      <c r="L52" s="3199">
        <v>0</v>
      </c>
      <c r="M52" s="3199">
        <v>0</v>
      </c>
      <c r="N52" s="3199">
        <v>0</v>
      </c>
      <c r="O52" s="3199">
        <v>8</v>
      </c>
      <c r="P52" s="3199">
        <v>0</v>
      </c>
      <c r="Q52" s="3199">
        <v>7</v>
      </c>
      <c r="R52" s="3199">
        <v>7</v>
      </c>
      <c r="S52" s="3199">
        <v>0</v>
      </c>
      <c r="T52" s="3199">
        <v>0</v>
      </c>
      <c r="U52" s="3199">
        <v>0</v>
      </c>
      <c r="V52" s="3199">
        <v>0</v>
      </c>
      <c r="W52" s="3199">
        <v>1</v>
      </c>
      <c r="X52" s="3199">
        <v>2</v>
      </c>
      <c r="Y52" s="3199">
        <v>2</v>
      </c>
      <c r="Z52" s="3199">
        <v>2</v>
      </c>
      <c r="AA52" s="3199">
        <v>3</v>
      </c>
      <c r="AB52" s="3199">
        <v>0</v>
      </c>
      <c r="AC52" s="3199">
        <v>0</v>
      </c>
      <c r="AD52" s="3199">
        <v>0</v>
      </c>
      <c r="AE52" s="3199">
        <v>0</v>
      </c>
      <c r="AF52" s="3199">
        <v>0</v>
      </c>
      <c r="AG52" s="3209"/>
      <c r="AH52" s="3209"/>
      <c r="AI52" s="3230">
        <v>0</v>
      </c>
      <c r="AJ52" s="283" cm="1">
        <f t="array" ref="AJ52">SUM(COUNTIFS($C52:$AG52,{"0","4","5","6","7","8","9"}))</f>
        <v>25</v>
      </c>
      <c r="AK52" s="283" cm="1">
        <f t="array" ref="AK52">SUM(COUNTIFS($C52:$AG52,{"0","4","5","6","7","8","9"},$C$4:$AG$4,"0"))</f>
        <v>13</v>
      </c>
      <c r="AL52" s="283" cm="1">
        <f t="array" ref="AL52">SUM(COUNTIFS($C52:$AG52,{"0","4","5","6","7","8","9"},$C$4:$AG$4,"1"))</f>
        <v>3</v>
      </c>
      <c r="AM52" s="283" cm="1">
        <f t="array" ref="AM52">SUM(COUNTIFS($C52:$AG52,{"0","4","5","6","7","8","9"},$C$4:$AG$4,"2"))</f>
        <v>5</v>
      </c>
      <c r="AN52" s="283" cm="1">
        <f t="array" ref="AN52">SUM(COUNTIFS($C52:$AG52,{"0","4","5","6","7","8","9"},$C$4:$AG$4,"3"))</f>
        <v>4</v>
      </c>
      <c r="AO52" s="283" cm="1">
        <f t="array" ref="AO52">SUM(COUNTIFS($C52:$AG52,{"1","2","3"}))</f>
        <v>5</v>
      </c>
      <c r="AP52" s="283" cm="1">
        <f t="array" ref="AP52">SUM(COUNTIFS($C52:$AG52,{"4","5","6"}))</f>
        <v>0</v>
      </c>
      <c r="AQ52" s="283">
        <f>AK52*'Spreadsheet Key'!$A$23 + AL52*'Spreadsheet Key'!$A$24 + AM52*'Spreadsheet Key'!$A$25 + AN52*'Spreadsheet Key'!$A$26</f>
        <v>1032</v>
      </c>
      <c r="AR52" s="3228">
        <f>(AJ52/('APR Statistics'!$B$28))*ABS(AI52-1)</f>
        <v>4.7709923664122141E-2</v>
      </c>
      <c r="AS52" s="3231">
        <f t="shared" si="17"/>
        <v>0</v>
      </c>
      <c r="AT52" s="3229">
        <f>AR52*'APR Statistics'!$C$11</f>
        <v>46.24045801526718</v>
      </c>
      <c r="AU52" s="283"/>
      <c r="AV52" s="283">
        <f t="shared" si="1"/>
        <v>1</v>
      </c>
      <c r="AW52" s="283">
        <f t="shared" si="2"/>
        <v>0</v>
      </c>
      <c r="AX52" s="283">
        <f t="shared" si="3"/>
        <v>0</v>
      </c>
      <c r="AY52" s="283" cm="1">
        <f t="array" ref="AY52">COUNTIFS($C52:$AG52,"9",$C$4:$AG$4,"1")+SUM(COUNTIFS($C52:$AG52,{"8","9"},$C$4:$AG$4,"2"))+COUNTIFS($C52:$AG52,"8",$C$4:$AG$4,"3")</f>
        <v>1</v>
      </c>
      <c r="AZ52" s="283">
        <f t="shared" si="4"/>
        <v>0</v>
      </c>
      <c r="BA52" s="283">
        <f t="shared" si="5"/>
        <v>2</v>
      </c>
      <c r="BB52" s="283">
        <f>AV52*'Spreadsheet Key'!$A$27+AW52*'Spreadsheet Key'!$A$28+AX52*'Spreadsheet Key'!$A$29+AY52*'Spreadsheet Key'!$A$30+AZ52*'Spreadsheet Key'!$A$31</f>
        <v>46</v>
      </c>
      <c r="BC52" s="283"/>
      <c r="BD52" s="283">
        <f t="shared" ref="BD52" si="31">AT52-BB52</f>
        <v>0.2404580152671798</v>
      </c>
      <c r="BE52" s="3210"/>
      <c r="BF52" s="3210"/>
      <c r="BG52" s="3210"/>
      <c r="BH52" s="3210"/>
    </row>
    <row r="53" spans="1:60">
      <c r="A53" s="3208"/>
      <c r="B53" s="3208"/>
      <c r="C53" s="3181"/>
      <c r="D53" s="3181"/>
      <c r="E53" s="3181"/>
      <c r="F53" s="3181"/>
      <c r="G53" s="3181"/>
      <c r="H53" s="3181"/>
      <c r="I53" s="3181"/>
      <c r="J53" s="3181"/>
      <c r="K53" s="3181"/>
      <c r="L53" s="3181"/>
      <c r="M53" s="3190"/>
      <c r="N53" s="3181"/>
      <c r="O53" s="3181"/>
      <c r="P53" s="3182"/>
      <c r="Q53" s="3181"/>
      <c r="R53" s="3181"/>
      <c r="S53" s="3181"/>
      <c r="T53" s="3181"/>
      <c r="U53" s="3181"/>
      <c r="V53" s="3181"/>
      <c r="W53" s="3181"/>
      <c r="X53" s="3182"/>
      <c r="Y53" s="3181"/>
      <c r="Z53" s="3181"/>
      <c r="AA53" s="3181"/>
      <c r="AB53" s="3182"/>
      <c r="AC53" s="3181"/>
      <c r="AD53" s="3181"/>
      <c r="AE53" s="3190" t="s">
        <v>720</v>
      </c>
      <c r="AF53" s="3181"/>
      <c r="AG53" s="3126"/>
      <c r="AH53" s="3126"/>
      <c r="AI53" s="3230"/>
      <c r="AJ53" s="283" cm="1">
        <f t="array" ref="AJ53">SUM(COUNTIFS($C53:$AG53,{"0","4","5","6","7","8","9"}))</f>
        <v>0</v>
      </c>
      <c r="AK53" s="283" cm="1">
        <f t="array" ref="AK53">SUM(COUNTIFS($C53:$AG53,{"0","4","5","6","7","8","9"},$C$4:$AG$4,"0"))</f>
        <v>0</v>
      </c>
      <c r="AL53" s="283" cm="1">
        <f t="array" ref="AL53">SUM(COUNTIFS($C53:$AG53,{"0","4","5","6","7","8","9"},$C$4:$AG$4,"1"))</f>
        <v>0</v>
      </c>
      <c r="AM53" s="283" cm="1">
        <f t="array" ref="AM53">SUM(COUNTIFS($C53:$AG53,{"0","4","5","6","7","8","9"},$C$4:$AG$4,"2"))</f>
        <v>0</v>
      </c>
      <c r="AN53" s="283" cm="1">
        <f t="array" ref="AN53">SUM(COUNTIFS($C53:$AG53,{"0","4","5","6","7","8","9"},$C$4:$AG$4,"3"))</f>
        <v>0</v>
      </c>
      <c r="AO53" s="283" cm="1">
        <f t="array" ref="AO53">SUM(COUNTIFS($C53:$AG53,{"1","2","3"}))</f>
        <v>0</v>
      </c>
      <c r="AP53" s="283" cm="1">
        <f t="array" ref="AP53">SUM(COUNTIFS($C53:$AG53,{"4","5","6"}))</f>
        <v>0</v>
      </c>
      <c r="AQ53" s="283">
        <f>AK53*'Spreadsheet Key'!$A$23 + AL53*'Spreadsheet Key'!$A$24 + AM53*'Spreadsheet Key'!$A$25 + AN53*'Spreadsheet Key'!$A$26</f>
        <v>0</v>
      </c>
      <c r="AR53" s="3228">
        <f>(AJ53/('APR Statistics'!$B$28))*ABS(AI53-1)</f>
        <v>0</v>
      </c>
      <c r="AS53" s="3231">
        <f t="shared" si="17"/>
        <v>0</v>
      </c>
      <c r="AT53" s="3229">
        <f>AR53*'APR Statistics'!$C$11</f>
        <v>0</v>
      </c>
      <c r="AU53" s="283"/>
      <c r="AV53" s="283">
        <f t="shared" si="1"/>
        <v>0</v>
      </c>
      <c r="AW53" s="283">
        <f t="shared" si="2"/>
        <v>0</v>
      </c>
      <c r="AX53" s="283">
        <f t="shared" si="3"/>
        <v>0</v>
      </c>
      <c r="AY53" s="283" cm="1">
        <f t="array" ref="AY53">COUNTIFS($C53:$AG53,"9",$C$4:$AG$4,"1")+SUM(COUNTIFS($C53:$AG53,{"8","9"},$C$4:$AG$4,"2"))+COUNTIFS($C53:$AG53,"8",$C$4:$AG$4,"3")</f>
        <v>0</v>
      </c>
      <c r="AZ53" s="283">
        <f t="shared" si="4"/>
        <v>0</v>
      </c>
      <c r="BA53" s="283">
        <f t="shared" si="5"/>
        <v>0</v>
      </c>
      <c r="BB53" s="283">
        <f>AV53*'Spreadsheet Key'!$A$27+AW53*'Spreadsheet Key'!$A$28+AX53*'Spreadsheet Key'!$A$29+AY53*'Spreadsheet Key'!$A$30+AZ53*'Spreadsheet Key'!$A$31</f>
        <v>0</v>
      </c>
      <c r="BC53" s="283"/>
      <c r="BD53" s="283"/>
      <c r="BE53" s="283"/>
      <c r="BF53" s="283"/>
      <c r="BG53" s="283"/>
      <c r="BH53" s="283"/>
    </row>
    <row r="54" spans="1:60" s="3211" customFormat="1">
      <c r="A54" s="3180" t="s">
        <v>1272</v>
      </c>
      <c r="B54" s="3180" t="s">
        <v>618</v>
      </c>
      <c r="C54" s="3199">
        <v>0</v>
      </c>
      <c r="D54" s="3199">
        <v>0</v>
      </c>
      <c r="E54" s="3199">
        <v>0</v>
      </c>
      <c r="F54" s="3199">
        <v>0</v>
      </c>
      <c r="G54" s="3199">
        <v>0</v>
      </c>
      <c r="H54" s="3199">
        <v>0</v>
      </c>
      <c r="I54" s="3199">
        <v>0</v>
      </c>
      <c r="J54" s="3199">
        <v>0</v>
      </c>
      <c r="K54" s="3199">
        <v>0</v>
      </c>
      <c r="L54" s="3199">
        <v>0</v>
      </c>
      <c r="M54" s="3199">
        <v>0</v>
      </c>
      <c r="N54" s="3199">
        <v>0</v>
      </c>
      <c r="O54" s="3199">
        <v>0</v>
      </c>
      <c r="P54" s="3199">
        <v>0</v>
      </c>
      <c r="Q54" s="3199">
        <v>0</v>
      </c>
      <c r="R54" s="3199">
        <v>0</v>
      </c>
      <c r="S54" s="3199">
        <v>0</v>
      </c>
      <c r="T54" s="3199">
        <v>0</v>
      </c>
      <c r="U54" s="3199">
        <v>0</v>
      </c>
      <c r="V54" s="3199">
        <v>0</v>
      </c>
      <c r="W54" s="3199">
        <v>0</v>
      </c>
      <c r="X54" s="3199">
        <v>0</v>
      </c>
      <c r="Y54" s="3199">
        <v>0</v>
      </c>
      <c r="Z54" s="3199">
        <v>0</v>
      </c>
      <c r="AA54" s="3199">
        <v>0</v>
      </c>
      <c r="AB54" s="3199">
        <v>0</v>
      </c>
      <c r="AC54" s="3199">
        <v>0</v>
      </c>
      <c r="AD54" s="3199">
        <v>0</v>
      </c>
      <c r="AE54" s="3199">
        <v>8</v>
      </c>
      <c r="AF54" s="3199">
        <v>0</v>
      </c>
      <c r="AG54" s="3209"/>
      <c r="AH54" s="3209"/>
      <c r="AI54" s="3230">
        <v>0</v>
      </c>
      <c r="AJ54" s="283" cm="1">
        <f t="array" ref="AJ54">SUM(COUNTIFS($C54:$AG54,{"0","4","5","6","7","8","9"}))</f>
        <v>30</v>
      </c>
      <c r="AK54" s="283" cm="1">
        <f t="array" ref="AK54">SUM(COUNTIFS($C54:$AG54,{"0","4","5","6","7","8","9"},$C$4:$AG$4,"0"))</f>
        <v>17</v>
      </c>
      <c r="AL54" s="283" cm="1">
        <f t="array" ref="AL54">SUM(COUNTIFS($C54:$AG54,{"0","4","5","6","7","8","9"},$C$4:$AG$4,"1"))</f>
        <v>4</v>
      </c>
      <c r="AM54" s="283" cm="1">
        <f t="array" ref="AM54">SUM(COUNTIFS($C54:$AG54,{"0","4","5","6","7","8","9"},$C$4:$AG$4,"2"))</f>
        <v>5</v>
      </c>
      <c r="AN54" s="283" cm="1">
        <f t="array" ref="AN54">SUM(COUNTIFS($C54:$AG54,{"0","4","5","6","7","8","9"},$C$4:$AG$4,"3"))</f>
        <v>4</v>
      </c>
      <c r="AO54" s="283" cm="1">
        <f t="array" ref="AO54">SUM(COUNTIFS($C54:$AG54,{"1","2","3"}))</f>
        <v>0</v>
      </c>
      <c r="AP54" s="283" cm="1">
        <f t="array" ref="AP54">SUM(COUNTIFS($C54:$AG54,{"4","5","6"}))</f>
        <v>0</v>
      </c>
      <c r="AQ54" s="283">
        <f>AK54*'Spreadsheet Key'!$A$23 + AL54*'Spreadsheet Key'!$A$24 + AM54*'Spreadsheet Key'!$A$25 + AN54*'Spreadsheet Key'!$A$26</f>
        <v>1174</v>
      </c>
      <c r="AR54" s="3228">
        <f>(AJ54/('APR Statistics'!$B$28))*ABS(AI54-1)</f>
        <v>5.7251908396946563E-2</v>
      </c>
      <c r="AS54" s="3231">
        <f t="shared" si="17"/>
        <v>0</v>
      </c>
      <c r="AT54" s="3229">
        <f>AR54*'APR Statistics'!$C$11</f>
        <v>55.488549618320612</v>
      </c>
      <c r="AU54" s="283"/>
      <c r="AV54" s="283">
        <f t="shared" si="1"/>
        <v>1</v>
      </c>
      <c r="AW54" s="283">
        <f t="shared" si="2"/>
        <v>0</v>
      </c>
      <c r="AX54" s="283">
        <f t="shared" si="3"/>
        <v>0</v>
      </c>
      <c r="AY54" s="283" cm="1">
        <f t="array" ref="AY54">COUNTIFS($C54:$AG54,"9",$C$4:$AG$4,"1")+SUM(COUNTIFS($C54:$AG54,{"8","9"},$C$4:$AG$4,"2"))+COUNTIFS($C54:$AG54,"8",$C$4:$AG$4,"3")</f>
        <v>0</v>
      </c>
      <c r="AZ54" s="283">
        <f t="shared" si="4"/>
        <v>0</v>
      </c>
      <c r="BA54" s="283">
        <f t="shared" si="5"/>
        <v>1</v>
      </c>
      <c r="BB54" s="283">
        <f>AV54*'Spreadsheet Key'!$A$27+AW54*'Spreadsheet Key'!$A$28+AX54*'Spreadsheet Key'!$A$29+AY54*'Spreadsheet Key'!$A$30+AZ54*'Spreadsheet Key'!$A$31</f>
        <v>10</v>
      </c>
      <c r="BC54" s="283"/>
      <c r="BD54" s="283">
        <f t="shared" ref="BD54:BD66" si="32">AT54-BB54</f>
        <v>45.488549618320612</v>
      </c>
    </row>
    <row r="55" spans="1:60">
      <c r="A55" s="3208"/>
      <c r="B55" s="3208"/>
      <c r="C55" s="3182" t="s">
        <v>722</v>
      </c>
      <c r="D55" s="3181"/>
      <c r="E55" s="3181"/>
      <c r="F55" s="3181"/>
      <c r="G55" s="3181"/>
      <c r="H55" s="3181"/>
      <c r="I55" s="3181"/>
      <c r="J55" s="3181"/>
      <c r="K55" s="3181"/>
      <c r="L55" s="3010" t="s">
        <v>1025</v>
      </c>
      <c r="M55" s="6249" t="s">
        <v>1231</v>
      </c>
      <c r="N55" s="6249"/>
      <c r="O55" s="3010" t="s">
        <v>1025</v>
      </c>
      <c r="Q55" s="3181"/>
      <c r="R55" s="3181"/>
      <c r="S55" s="3181"/>
      <c r="T55" s="3181"/>
      <c r="U55" s="3181"/>
      <c r="V55" s="3181"/>
      <c r="W55" s="3181"/>
      <c r="X55" s="3181"/>
      <c r="Y55" s="3181"/>
      <c r="Z55" s="3182" t="s">
        <v>722</v>
      </c>
      <c r="AA55" s="3181"/>
      <c r="AB55" s="3181"/>
      <c r="AC55" s="3181"/>
      <c r="AD55" s="3181"/>
      <c r="AE55" s="3181"/>
      <c r="AF55" s="3181"/>
      <c r="AG55" s="3126"/>
      <c r="AH55" s="3126"/>
      <c r="AI55" s="3230"/>
      <c r="AJ55" s="283" cm="1">
        <f t="array" ref="AJ55">SUM(COUNTIFS($C55:$AG55,{"0","4","5","6","7","8","9"}))</f>
        <v>0</v>
      </c>
      <c r="AK55" s="283" cm="1">
        <f t="array" ref="AK55">SUM(COUNTIFS($C55:$AG55,{"0","4","5","6","7","8","9"},$C$4:$AG$4,"0"))</f>
        <v>0</v>
      </c>
      <c r="AL55" s="283" cm="1">
        <f t="array" ref="AL55">SUM(COUNTIFS($C55:$AG55,{"0","4","5","6","7","8","9"},$C$4:$AG$4,"1"))</f>
        <v>0</v>
      </c>
      <c r="AM55" s="283" cm="1">
        <f t="array" ref="AM55">SUM(COUNTIFS($C55:$AG55,{"0","4","5","6","7","8","9"},$C$4:$AG$4,"2"))</f>
        <v>0</v>
      </c>
      <c r="AN55" s="283" cm="1">
        <f t="array" ref="AN55">SUM(COUNTIFS($C55:$AG55,{"0","4","5","6","7","8","9"},$C$4:$AG$4,"3"))</f>
        <v>0</v>
      </c>
      <c r="AO55" s="283" cm="1">
        <f t="array" ref="AO55">SUM(COUNTIFS($C55:$AG55,{"1","2","3"}))</f>
        <v>0</v>
      </c>
      <c r="AP55" s="283" cm="1">
        <f t="array" ref="AP55">SUM(COUNTIFS($C55:$AG55,{"4","5","6"}))</f>
        <v>0</v>
      </c>
      <c r="AQ55" s="283">
        <f>AK55*'Spreadsheet Key'!$A$23 + AL55*'Spreadsheet Key'!$A$24 + AM55*'Spreadsheet Key'!$A$25 + AN55*'Spreadsheet Key'!$A$26</f>
        <v>0</v>
      </c>
      <c r="AR55" s="3228">
        <f>(AJ55/('APR Statistics'!$B$28))*ABS(AI55-1)</f>
        <v>0</v>
      </c>
      <c r="AS55" s="3231">
        <f t="shared" si="17"/>
        <v>0</v>
      </c>
      <c r="AT55" s="3229">
        <f>AR55*'APR Statistics'!$C$11</f>
        <v>0</v>
      </c>
      <c r="AU55" s="283"/>
      <c r="AV55" s="283">
        <f t="shared" si="1"/>
        <v>0</v>
      </c>
      <c r="AW55" s="283">
        <f t="shared" si="2"/>
        <v>0</v>
      </c>
      <c r="AX55" s="283">
        <f t="shared" si="3"/>
        <v>0</v>
      </c>
      <c r="AY55" s="283" cm="1">
        <f t="array" ref="AY55">COUNTIFS($C55:$AG55,"9",$C$4:$AG$4,"1")+SUM(COUNTIFS($C55:$AG55,{"8","9"},$C$4:$AG$4,"2"))+COUNTIFS($C55:$AG55,"8",$C$4:$AG$4,"3")</f>
        <v>0</v>
      </c>
      <c r="AZ55" s="283">
        <f t="shared" si="4"/>
        <v>0</v>
      </c>
      <c r="BA55" s="283">
        <f t="shared" si="5"/>
        <v>0</v>
      </c>
      <c r="BB55" s="283">
        <f>AV55*'Spreadsheet Key'!$A$27+AW55*'Spreadsheet Key'!$A$28+AX55*'Spreadsheet Key'!$A$29+AY55*'Spreadsheet Key'!$A$30+AZ55*'Spreadsheet Key'!$A$31</f>
        <v>0</v>
      </c>
      <c r="BC55" s="283"/>
      <c r="BD55" s="283"/>
    </row>
    <row r="56" spans="1:60" s="3211" customFormat="1">
      <c r="A56" s="3180" t="s">
        <v>149</v>
      </c>
      <c r="B56" s="3180" t="s">
        <v>151</v>
      </c>
      <c r="C56" s="3206">
        <v>9</v>
      </c>
      <c r="D56" s="3206">
        <v>0</v>
      </c>
      <c r="E56" s="3206">
        <v>0</v>
      </c>
      <c r="F56" s="3206">
        <v>0</v>
      </c>
      <c r="G56" s="3206">
        <v>0</v>
      </c>
      <c r="H56" s="3206">
        <v>0</v>
      </c>
      <c r="I56" s="3206">
        <v>0</v>
      </c>
      <c r="J56" s="3206">
        <v>0</v>
      </c>
      <c r="K56" s="3206">
        <v>0</v>
      </c>
      <c r="L56" s="3206">
        <v>1</v>
      </c>
      <c r="M56" s="3206">
        <v>2</v>
      </c>
      <c r="N56" s="3206">
        <v>2</v>
      </c>
      <c r="O56" s="3206">
        <v>3</v>
      </c>
      <c r="P56" s="3206">
        <v>0</v>
      </c>
      <c r="Q56" s="3206">
        <v>0</v>
      </c>
      <c r="R56" s="3206">
        <v>0</v>
      </c>
      <c r="S56" s="3206">
        <v>0</v>
      </c>
      <c r="T56" s="3206">
        <v>0</v>
      </c>
      <c r="U56" s="3206">
        <v>0</v>
      </c>
      <c r="V56" s="3206">
        <v>0</v>
      </c>
      <c r="W56" s="3206">
        <v>0</v>
      </c>
      <c r="X56" s="3206">
        <v>0</v>
      </c>
      <c r="Y56" s="3206">
        <v>0</v>
      </c>
      <c r="Z56" s="3206">
        <v>9</v>
      </c>
      <c r="AA56" s="3206">
        <v>0</v>
      </c>
      <c r="AB56" s="3206">
        <v>0</v>
      </c>
      <c r="AC56" s="3206">
        <v>0</v>
      </c>
      <c r="AD56" s="3206">
        <v>0</v>
      </c>
      <c r="AE56" s="3206">
        <v>0</v>
      </c>
      <c r="AF56" s="3206">
        <v>0</v>
      </c>
      <c r="AG56" s="3209"/>
      <c r="AH56" s="3209"/>
      <c r="AI56" s="3230">
        <v>0</v>
      </c>
      <c r="AJ56" s="283" cm="1">
        <f t="array" ref="AJ56">SUM(COUNTIFS($C56:$AG56,{"0","4","5","6","7","8","9"}))</f>
        <v>26</v>
      </c>
      <c r="AK56" s="283" cm="1">
        <f t="array" ref="AK56">SUM(COUNTIFS($C56:$AG56,{"0","4","5","6","7","8","9"},$C$4:$AG$4,"0"))</f>
        <v>16</v>
      </c>
      <c r="AL56" s="283" cm="1">
        <f t="array" ref="AL56">SUM(COUNTIFS($C56:$AG56,{"0","4","5","6","7","8","9"},$C$4:$AG$4,"1"))</f>
        <v>3</v>
      </c>
      <c r="AM56" s="283" cm="1">
        <f t="array" ref="AM56">SUM(COUNTIFS($C56:$AG56,{"0","4","5","6","7","8","9"},$C$4:$AG$4,"2"))</f>
        <v>4</v>
      </c>
      <c r="AN56" s="283" cm="1">
        <f t="array" ref="AN56">SUM(COUNTIFS($C56:$AG56,{"0","4","5","6","7","8","9"},$C$4:$AG$4,"3"))</f>
        <v>3</v>
      </c>
      <c r="AO56" s="283" cm="1">
        <f t="array" ref="AO56">SUM(COUNTIFS($C56:$AG56,{"1","2","3"}))</f>
        <v>4</v>
      </c>
      <c r="AP56" s="283" cm="1">
        <f t="array" ref="AP56">SUM(COUNTIFS($C56:$AG56,{"4","5","6"}))</f>
        <v>0</v>
      </c>
      <c r="AQ56" s="283">
        <f>AK56*'Spreadsheet Key'!$A$23 + AL56*'Spreadsheet Key'!$A$24 + AM56*'Spreadsheet Key'!$A$25 + AN56*'Spreadsheet Key'!$A$26</f>
        <v>970</v>
      </c>
      <c r="AR56" s="3228">
        <f>(AJ56/('APR Statistics'!$B$28))*ABS(AI56-1)</f>
        <v>4.9618320610687022E-2</v>
      </c>
      <c r="AS56" s="3231">
        <f t="shared" si="17"/>
        <v>0</v>
      </c>
      <c r="AT56" s="3229">
        <f>AR56*'APR Statistics'!$C$11</f>
        <v>48.090076335877868</v>
      </c>
      <c r="AU56" s="283"/>
      <c r="AV56" s="283">
        <f t="shared" si="1"/>
        <v>0</v>
      </c>
      <c r="AW56" s="283">
        <f t="shared" si="2"/>
        <v>2</v>
      </c>
      <c r="AX56" s="283">
        <f t="shared" si="3"/>
        <v>0</v>
      </c>
      <c r="AY56" s="283" cm="1">
        <f t="array" ref="AY56">COUNTIFS($C56:$AG56,"9",$C$4:$AG$4,"1")+SUM(COUNTIFS($C56:$AG56,{"8","9"},$C$4:$AG$4,"2"))+COUNTIFS($C56:$AG56,"8",$C$4:$AG$4,"3")</f>
        <v>0</v>
      </c>
      <c r="AZ56" s="283">
        <f t="shared" si="4"/>
        <v>0</v>
      </c>
      <c r="BA56" s="283">
        <f t="shared" si="5"/>
        <v>2</v>
      </c>
      <c r="BB56" s="283">
        <f>AV56*'Spreadsheet Key'!$A$27+AW56*'Spreadsheet Key'!$A$28+AX56*'Spreadsheet Key'!$A$29+AY56*'Spreadsheet Key'!$A$30+AZ56*'Spreadsheet Key'!$A$31</f>
        <v>24</v>
      </c>
      <c r="BC56" s="283"/>
      <c r="BD56" s="283">
        <f t="shared" ref="BD56:BD68" si="33">AT56-BB56</f>
        <v>24.090076335877868</v>
      </c>
    </row>
    <row r="57" spans="1:60" ht="15.75">
      <c r="A57" s="3208"/>
      <c r="B57" s="3208"/>
      <c r="C57" s="6267" t="s">
        <v>1260</v>
      </c>
      <c r="D57" s="6267"/>
      <c r="E57" s="3183" t="s">
        <v>1025</v>
      </c>
      <c r="F57" s="3184"/>
      <c r="G57" s="3181"/>
      <c r="H57" s="3184"/>
      <c r="I57" s="3182" t="s">
        <v>720</v>
      </c>
      <c r="J57" s="3181"/>
      <c r="K57" s="3181"/>
      <c r="L57" s="3181"/>
      <c r="M57" s="3181"/>
      <c r="N57" s="3181"/>
      <c r="O57" s="3181"/>
      <c r="P57" s="3181"/>
      <c r="Q57" s="3181"/>
      <c r="R57" s="3181"/>
      <c r="S57" s="3181"/>
      <c r="T57" s="3181"/>
      <c r="U57" s="3181"/>
      <c r="V57" s="3181"/>
      <c r="W57" s="3183" t="s">
        <v>1025</v>
      </c>
      <c r="X57" s="6269" t="s">
        <v>667</v>
      </c>
      <c r="Y57" s="6269"/>
      <c r="Z57" s="6269"/>
      <c r="AA57" s="3183" t="s">
        <v>1025</v>
      </c>
      <c r="AB57" s="3181"/>
      <c r="AC57" s="3181"/>
      <c r="AD57" s="3010" t="s">
        <v>1025</v>
      </c>
      <c r="AE57" s="4850" t="s">
        <v>1271</v>
      </c>
      <c r="AF57" s="5950"/>
      <c r="AG57" s="3126"/>
      <c r="AH57" s="3126"/>
      <c r="AI57" s="3230"/>
      <c r="AJ57" s="283" cm="1">
        <f t="array" ref="AJ57">SUM(COUNTIFS($C57:$AG57,{"0","4","5","6","7","8","9"}))</f>
        <v>0</v>
      </c>
      <c r="AK57" s="283" cm="1">
        <f t="array" ref="AK57">SUM(COUNTIFS($C57:$AG57,{"0","4","5","6","7","8","9"},$C$4:$AG$4,"0"))</f>
        <v>0</v>
      </c>
      <c r="AL57" s="283" cm="1">
        <f t="array" ref="AL57">SUM(COUNTIFS($C57:$AG57,{"0","4","5","6","7","8","9"},$C$4:$AG$4,"1"))</f>
        <v>0</v>
      </c>
      <c r="AM57" s="283" cm="1">
        <f t="array" ref="AM57">SUM(COUNTIFS($C57:$AG57,{"0","4","5","6","7","8","9"},$C$4:$AG$4,"2"))</f>
        <v>0</v>
      </c>
      <c r="AN57" s="283" cm="1">
        <f t="array" ref="AN57">SUM(COUNTIFS($C57:$AG57,{"0","4","5","6","7","8","9"},$C$4:$AG$4,"3"))</f>
        <v>0</v>
      </c>
      <c r="AO57" s="283" cm="1">
        <f t="array" ref="AO57">SUM(COUNTIFS($C57:$AG57,{"1","2","3"}))</f>
        <v>0</v>
      </c>
      <c r="AP57" s="283" cm="1">
        <f t="array" ref="AP57">SUM(COUNTIFS($C57:$AG57,{"4","5","6"}))</f>
        <v>0</v>
      </c>
      <c r="AQ57" s="283">
        <f>AK57*'Spreadsheet Key'!$A$23 + AL57*'Spreadsheet Key'!$A$24 + AM57*'Spreadsheet Key'!$A$25 + AN57*'Spreadsheet Key'!$A$26</f>
        <v>0</v>
      </c>
      <c r="AR57" s="3228">
        <f>(AJ57/('APR Statistics'!$B$28))*ABS(AI57-1)</f>
        <v>0</v>
      </c>
      <c r="AS57" s="3231">
        <f t="shared" si="17"/>
        <v>0</v>
      </c>
      <c r="AT57" s="3229">
        <f>AR57*'APR Statistics'!$C$11</f>
        <v>0</v>
      </c>
      <c r="AU57" s="283"/>
      <c r="AV57" s="283">
        <f t="shared" si="1"/>
        <v>0</v>
      </c>
      <c r="AW57" s="283">
        <f t="shared" si="2"/>
        <v>0</v>
      </c>
      <c r="AX57" s="283">
        <f t="shared" si="3"/>
        <v>0</v>
      </c>
      <c r="AY57" s="283" cm="1">
        <f t="array" ref="AY57">COUNTIFS($C57:$AG57,"9",$C$4:$AG$4,"1")+SUM(COUNTIFS($C57:$AG57,{"8","9"},$C$4:$AG$4,"2"))+COUNTIFS($C57:$AG57,"8",$C$4:$AG$4,"3")</f>
        <v>0</v>
      </c>
      <c r="AZ57" s="283">
        <f t="shared" si="4"/>
        <v>0</v>
      </c>
      <c r="BA57" s="283">
        <f t="shared" si="5"/>
        <v>0</v>
      </c>
      <c r="BB57" s="283">
        <f>AV57*'Spreadsheet Key'!$A$27+AW57*'Spreadsheet Key'!$A$28+AX57*'Spreadsheet Key'!$A$29+AY57*'Spreadsheet Key'!$A$30+AZ57*'Spreadsheet Key'!$A$31</f>
        <v>0</v>
      </c>
      <c r="BC57" s="283"/>
      <c r="BD57" s="283"/>
    </row>
    <row r="58" spans="1:60" s="3211" customFormat="1" ht="15.75">
      <c r="A58" s="3180" t="s">
        <v>283</v>
      </c>
      <c r="B58" s="3180" t="s">
        <v>1005</v>
      </c>
      <c r="C58" s="3205">
        <v>2</v>
      </c>
      <c r="D58" s="3205">
        <v>2</v>
      </c>
      <c r="E58" s="3199">
        <v>3</v>
      </c>
      <c r="F58" s="3203">
        <v>0</v>
      </c>
      <c r="G58" s="3199">
        <v>0</v>
      </c>
      <c r="H58" s="3203">
        <v>0</v>
      </c>
      <c r="I58" s="3199">
        <v>8</v>
      </c>
      <c r="J58" s="3199">
        <v>0</v>
      </c>
      <c r="K58" s="3199">
        <v>0</v>
      </c>
      <c r="L58" s="3199">
        <v>0</v>
      </c>
      <c r="M58" s="3199">
        <v>0</v>
      </c>
      <c r="N58" s="3199">
        <v>0</v>
      </c>
      <c r="O58" s="3199">
        <v>0</v>
      </c>
      <c r="P58" s="3204">
        <v>0</v>
      </c>
      <c r="Q58" s="3204">
        <v>0</v>
      </c>
      <c r="R58" s="3199">
        <v>0</v>
      </c>
      <c r="S58" s="3199">
        <v>0</v>
      </c>
      <c r="T58" s="3199">
        <v>0</v>
      </c>
      <c r="U58" s="3199">
        <v>0</v>
      </c>
      <c r="V58" s="3199">
        <v>0</v>
      </c>
      <c r="W58" s="3199">
        <v>1</v>
      </c>
      <c r="X58" s="3199">
        <v>2</v>
      </c>
      <c r="Y58" s="3199">
        <v>2</v>
      </c>
      <c r="Z58" s="3199">
        <v>2</v>
      </c>
      <c r="AA58" s="3199">
        <v>3</v>
      </c>
      <c r="AB58" s="3199">
        <v>0</v>
      </c>
      <c r="AC58" s="3199">
        <v>0</v>
      </c>
      <c r="AD58" s="3199">
        <v>1</v>
      </c>
      <c r="AE58" s="3199">
        <v>2</v>
      </c>
      <c r="AF58" s="3199">
        <v>2</v>
      </c>
      <c r="AG58" s="3209"/>
      <c r="AH58" s="3209"/>
      <c r="AI58" s="3230">
        <v>1</v>
      </c>
      <c r="AJ58" s="283" cm="1">
        <f t="array" ref="AJ58">SUM(COUNTIFS($C58:$AG58,{"0","4","5","6","7","8","9"}))</f>
        <v>19</v>
      </c>
      <c r="AK58" s="283" cm="1">
        <f t="array" ref="AK58">SUM(COUNTIFS($C58:$AG58,{"0","4","5","6","7","8","9"},$C$4:$AG$4,"0"))</f>
        <v>7</v>
      </c>
      <c r="AL58" s="283" cm="1">
        <f t="array" ref="AL58">SUM(COUNTIFS($C58:$AG58,{"0","4","5","6","7","8","9"},$C$4:$AG$4,"1"))</f>
        <v>3</v>
      </c>
      <c r="AM58" s="283" cm="1">
        <f t="array" ref="AM58">SUM(COUNTIFS($C58:$AG58,{"0","4","5","6","7","8","9"},$C$4:$AG$4,"2"))</f>
        <v>5</v>
      </c>
      <c r="AN58" s="283" cm="1">
        <f t="array" ref="AN58">SUM(COUNTIFS($C58:$AG58,{"0","4","5","6","7","8","9"},$C$4:$AG$4,"3"))</f>
        <v>4</v>
      </c>
      <c r="AO58" s="283" cm="1">
        <f t="array" ref="AO58">SUM(COUNTIFS($C58:$AG58,{"1","2","3"}))</f>
        <v>11</v>
      </c>
      <c r="AP58" s="283" cm="1">
        <f t="array" ref="AP58">SUM(COUNTIFS($C58:$AG58,{"4","5","6"}))</f>
        <v>0</v>
      </c>
      <c r="AQ58" s="283">
        <f>AK58*'Spreadsheet Key'!$A$23 + AL58*'Spreadsheet Key'!$A$24 + AM58*'Spreadsheet Key'!$A$25 + AN58*'Spreadsheet Key'!$A$26</f>
        <v>900</v>
      </c>
      <c r="AR58" s="3228">
        <f>(AJ58/('APR Statistics'!$B$28))*ABS(AI58-1)</f>
        <v>0</v>
      </c>
      <c r="AS58" s="3231">
        <f>AT58*AI58</f>
        <v>17.733333333333334</v>
      </c>
      <c r="AT58" s="3229">
        <f>(AJ58/'APR Statistics'!$B$6)*'Spreadsheet Key'!$A$32</f>
        <v>17.733333333333334</v>
      </c>
      <c r="AU58" s="283"/>
      <c r="AV58" s="283">
        <f t="shared" si="1"/>
        <v>1</v>
      </c>
      <c r="AW58" s="283">
        <f t="shared" si="2"/>
        <v>0</v>
      </c>
      <c r="AX58" s="283">
        <f t="shared" si="3"/>
        <v>0</v>
      </c>
      <c r="AY58" s="283" cm="1">
        <f t="array" ref="AY58">COUNTIFS($C58:$AG58,"9",$C$4:$AG$4,"1")+SUM(COUNTIFS($C58:$AG58,{"8","9"},$C$4:$AG$4,"2"))+COUNTIFS($C58:$AG58,"8",$C$4:$AG$4,"3")</f>
        <v>0</v>
      </c>
      <c r="AZ58" s="283">
        <f t="shared" si="4"/>
        <v>0</v>
      </c>
      <c r="BA58" s="283">
        <f t="shared" si="5"/>
        <v>1</v>
      </c>
      <c r="BB58" s="283">
        <f>AV58*'Spreadsheet Key'!$A$27+AW58*'Spreadsheet Key'!$A$28+AX58*'Spreadsheet Key'!$A$29+AY58*'Spreadsheet Key'!$A$30+AZ58*'Spreadsheet Key'!$A$31</f>
        <v>10</v>
      </c>
      <c r="BC58" s="283"/>
      <c r="BD58" s="283">
        <f t="shared" ref="BD58:BD72" si="34">AT58-BB58</f>
        <v>7.7333333333333343</v>
      </c>
    </row>
    <row r="59" spans="1:60">
      <c r="A59" s="3208"/>
      <c r="B59" s="3208"/>
      <c r="C59" s="3181"/>
      <c r="D59" s="3182"/>
      <c r="E59" s="3182" t="s">
        <v>722</v>
      </c>
      <c r="F59" s="3181"/>
      <c r="G59" s="3181"/>
      <c r="H59" s="3181"/>
      <c r="I59" s="3181"/>
      <c r="J59" s="3181"/>
      <c r="K59" s="3181"/>
      <c r="L59" s="3181"/>
      <c r="M59" s="3181"/>
      <c r="N59" s="3181"/>
      <c r="O59" s="3181"/>
      <c r="P59" s="3181"/>
      <c r="Q59" s="3182"/>
      <c r="R59" s="3181"/>
      <c r="S59" s="3181"/>
      <c r="T59" s="3181"/>
      <c r="U59" s="3181"/>
      <c r="V59" s="3181"/>
      <c r="W59" s="3181"/>
      <c r="X59" s="3181"/>
      <c r="Y59" s="3181"/>
      <c r="Z59" s="3181"/>
      <c r="AA59" s="3181"/>
      <c r="AB59" s="3182" t="s">
        <v>722</v>
      </c>
      <c r="AC59" s="3181"/>
      <c r="AD59" s="3181"/>
      <c r="AE59" s="3181"/>
      <c r="AF59" s="3181"/>
      <c r="AG59" s="3126"/>
      <c r="AH59" s="3126"/>
      <c r="AI59" s="3230"/>
      <c r="AJ59" s="283" cm="1">
        <f t="array" ref="AJ59">SUM(COUNTIFS($C59:$AG59,{"0","4","5","6","7","8","9"}))</f>
        <v>0</v>
      </c>
      <c r="AK59" s="283" cm="1">
        <f t="array" ref="AK59">SUM(COUNTIFS($C59:$AG59,{"0","4","5","6","7","8","9"},$C$4:$AG$4,"0"))</f>
        <v>0</v>
      </c>
      <c r="AL59" s="283" cm="1">
        <f t="array" ref="AL59">SUM(COUNTIFS($C59:$AG59,{"0","4","5","6","7","8","9"},$C$4:$AG$4,"1"))</f>
        <v>0</v>
      </c>
      <c r="AM59" s="283" cm="1">
        <f t="array" ref="AM59">SUM(COUNTIFS($C59:$AG59,{"0","4","5","6","7","8","9"},$C$4:$AG$4,"2"))</f>
        <v>0</v>
      </c>
      <c r="AN59" s="283" cm="1">
        <f t="array" ref="AN59">SUM(COUNTIFS($C59:$AG59,{"0","4","5","6","7","8","9"},$C$4:$AG$4,"3"))</f>
        <v>0</v>
      </c>
      <c r="AO59" s="283" cm="1">
        <f t="array" ref="AO59">SUM(COUNTIFS($C59:$AG59,{"1","2","3"}))</f>
        <v>0</v>
      </c>
      <c r="AP59" s="283" cm="1">
        <f t="array" ref="AP59">SUM(COUNTIFS($C59:$AG59,{"4","5","6"}))</f>
        <v>0</v>
      </c>
      <c r="AQ59" s="283">
        <f>AK59*'Spreadsheet Key'!$A$23 + AL59*'Spreadsheet Key'!$A$24 + AM59*'Spreadsheet Key'!$A$25 + AN59*'Spreadsheet Key'!$A$26</f>
        <v>0</v>
      </c>
      <c r="AR59" s="3228">
        <f>(AJ59/('APR Statistics'!$B$28))*ABS(AI59-1)</f>
        <v>0</v>
      </c>
      <c r="AS59" s="3231">
        <f t="shared" ref="AS59:AS118" si="35">AT59*AI59</f>
        <v>0</v>
      </c>
      <c r="AT59" s="3229">
        <f>AR59*'APR Statistics'!$C$6</f>
        <v>0</v>
      </c>
      <c r="AU59" s="283"/>
      <c r="AV59" s="283">
        <f t="shared" si="1"/>
        <v>0</v>
      </c>
      <c r="AW59" s="283">
        <f t="shared" si="2"/>
        <v>0</v>
      </c>
      <c r="AX59" s="283">
        <f t="shared" si="3"/>
        <v>0</v>
      </c>
      <c r="AY59" s="283" cm="1">
        <f t="array" ref="AY59">COUNTIFS($C59:$AG59,"9",$C$4:$AG$4,"1")+SUM(COUNTIFS($C59:$AG59,{"8","9"},$C$4:$AG$4,"2"))+COUNTIFS($C59:$AG59,"8",$C$4:$AG$4,"3")</f>
        <v>0</v>
      </c>
      <c r="AZ59" s="283">
        <f t="shared" si="4"/>
        <v>0</v>
      </c>
      <c r="BA59" s="283">
        <f t="shared" si="5"/>
        <v>0</v>
      </c>
      <c r="BB59" s="283">
        <f>AV59*'Spreadsheet Key'!$A$27+AW59*'Spreadsheet Key'!$A$28+AX59*'Spreadsheet Key'!$A$29+AY59*'Spreadsheet Key'!$A$30+AZ59*'Spreadsheet Key'!$A$31</f>
        <v>0</v>
      </c>
      <c r="BC59" s="283"/>
      <c r="BD59" s="283"/>
    </row>
    <row r="60" spans="1:60" s="3211" customFormat="1">
      <c r="A60" s="3180" t="s">
        <v>602</v>
      </c>
      <c r="B60" s="3216" t="s">
        <v>660</v>
      </c>
      <c r="C60" s="3206">
        <v>0</v>
      </c>
      <c r="D60" s="3206">
        <v>0</v>
      </c>
      <c r="E60" s="3206">
        <v>9</v>
      </c>
      <c r="F60" s="3206">
        <v>0</v>
      </c>
      <c r="G60" s="3206">
        <v>0</v>
      </c>
      <c r="H60" s="3206">
        <v>0</v>
      </c>
      <c r="I60" s="3206">
        <v>0</v>
      </c>
      <c r="J60" s="3206">
        <v>0</v>
      </c>
      <c r="K60" s="3206">
        <v>0</v>
      </c>
      <c r="L60" s="3206">
        <v>0</v>
      </c>
      <c r="M60" s="3206">
        <v>0</v>
      </c>
      <c r="N60" s="3206">
        <v>0</v>
      </c>
      <c r="O60" s="3206">
        <v>0</v>
      </c>
      <c r="P60" s="3206">
        <v>0</v>
      </c>
      <c r="Q60" s="3206">
        <v>0</v>
      </c>
      <c r="R60" s="3206">
        <v>0</v>
      </c>
      <c r="S60" s="3206">
        <v>0</v>
      </c>
      <c r="T60" s="3206">
        <v>0</v>
      </c>
      <c r="U60" s="3206">
        <v>0</v>
      </c>
      <c r="V60" s="3206">
        <v>0</v>
      </c>
      <c r="W60" s="3206">
        <v>0</v>
      </c>
      <c r="X60" s="3206">
        <v>0</v>
      </c>
      <c r="Y60" s="3206">
        <v>0</v>
      </c>
      <c r="Z60" s="3206">
        <v>0</v>
      </c>
      <c r="AA60" s="3206">
        <v>0</v>
      </c>
      <c r="AB60" s="3199">
        <v>9</v>
      </c>
      <c r="AC60" s="3206">
        <v>0</v>
      </c>
      <c r="AD60" s="3206">
        <v>0</v>
      </c>
      <c r="AE60" s="3206">
        <v>0</v>
      </c>
      <c r="AF60" s="3206">
        <v>0</v>
      </c>
      <c r="AG60" s="3209"/>
      <c r="AH60" s="3209"/>
      <c r="AI60" s="3230">
        <v>0</v>
      </c>
      <c r="AJ60" s="283" cm="1">
        <f t="array" ref="AJ60">SUM(COUNTIFS($C60:$AG60,{"0","4","5","6","7","8","9"}))</f>
        <v>30</v>
      </c>
      <c r="AK60" s="283" cm="1">
        <f t="array" ref="AK60">SUM(COUNTIFS($C60:$AG60,{"0","4","5","6","7","8","9"},$C$4:$AG$4,"0"))</f>
        <v>17</v>
      </c>
      <c r="AL60" s="283" cm="1">
        <f t="array" ref="AL60">SUM(COUNTIFS($C60:$AG60,{"0","4","5","6","7","8","9"},$C$4:$AG$4,"1"))</f>
        <v>4</v>
      </c>
      <c r="AM60" s="283" cm="1">
        <f t="array" ref="AM60">SUM(COUNTIFS($C60:$AG60,{"0","4","5","6","7","8","9"},$C$4:$AG$4,"2"))</f>
        <v>5</v>
      </c>
      <c r="AN60" s="283" cm="1">
        <f t="array" ref="AN60">SUM(COUNTIFS($C60:$AG60,{"0","4","5","6","7","8","9"},$C$4:$AG$4,"3"))</f>
        <v>4</v>
      </c>
      <c r="AO60" s="283" cm="1">
        <f t="array" ref="AO60">SUM(COUNTIFS($C60:$AG60,{"1","2","3"}))</f>
        <v>0</v>
      </c>
      <c r="AP60" s="283" cm="1">
        <f t="array" ref="AP60">SUM(COUNTIFS($C60:$AG60,{"4","5","6"}))</f>
        <v>0</v>
      </c>
      <c r="AQ60" s="283">
        <f>AK60*'Spreadsheet Key'!$A$23 + AL60*'Spreadsheet Key'!$A$24 + AM60*'Spreadsheet Key'!$A$25 + AN60*'Spreadsheet Key'!$A$26</f>
        <v>1174</v>
      </c>
      <c r="AR60" s="3228">
        <f>(AJ60/('APR Statistics'!$B$28))*ABS(AI60-1)</f>
        <v>5.7251908396946563E-2</v>
      </c>
      <c r="AS60" s="3231">
        <f t="shared" si="35"/>
        <v>0</v>
      </c>
      <c r="AT60" s="3229">
        <f>AR60*'APR Statistics'!$C$11</f>
        <v>55.488549618320612</v>
      </c>
      <c r="AU60" s="283"/>
      <c r="AV60" s="283">
        <f t="shared" si="1"/>
        <v>0</v>
      </c>
      <c r="AW60" s="283">
        <f t="shared" si="2"/>
        <v>1</v>
      </c>
      <c r="AX60" s="283">
        <f t="shared" si="3"/>
        <v>0</v>
      </c>
      <c r="AY60" s="283" cm="1">
        <f t="array" ref="AY60">COUNTIFS($C60:$AG60,"9",$C$4:$AG$4,"1")+SUM(COUNTIFS($C60:$AG60,{"8","9"},$C$4:$AG$4,"2"))+COUNTIFS($C60:$AG60,"8",$C$4:$AG$4,"3")</f>
        <v>1</v>
      </c>
      <c r="AZ60" s="283">
        <f t="shared" si="4"/>
        <v>0</v>
      </c>
      <c r="BA60" s="283">
        <f t="shared" si="5"/>
        <v>2</v>
      </c>
      <c r="BB60" s="283">
        <f>AV60*'Spreadsheet Key'!$A$27+AW60*'Spreadsheet Key'!$A$28+AX60*'Spreadsheet Key'!$A$29+AY60*'Spreadsheet Key'!$A$30+AZ60*'Spreadsheet Key'!$A$31</f>
        <v>48</v>
      </c>
      <c r="BC60" s="283"/>
      <c r="BD60" s="283">
        <f t="shared" ref="BD60:BD74" si="36">AT60-BB60</f>
        <v>7.4885496183206115</v>
      </c>
    </row>
    <row r="61" spans="1:60" ht="15.75">
      <c r="A61" s="3208"/>
      <c r="B61" s="3208"/>
      <c r="C61" s="6267" t="s">
        <v>1260</v>
      </c>
      <c r="D61" s="6267"/>
      <c r="E61" s="3183" t="s">
        <v>1025</v>
      </c>
      <c r="F61" s="3192"/>
      <c r="G61" s="3192"/>
      <c r="H61" s="3181"/>
      <c r="I61" s="3182" t="s">
        <v>722</v>
      </c>
      <c r="J61" s="3181"/>
      <c r="K61" s="3181"/>
      <c r="L61" s="3181"/>
      <c r="M61" s="3181"/>
      <c r="N61" s="3190"/>
      <c r="O61" s="3181"/>
      <c r="P61" s="3190" t="s">
        <v>722</v>
      </c>
      <c r="Q61" s="3181"/>
      <c r="R61" s="3181"/>
      <c r="S61" s="3181"/>
      <c r="T61" s="3181"/>
      <c r="U61" s="3181"/>
      <c r="V61" s="3181"/>
      <c r="W61" s="3183" t="s">
        <v>1025</v>
      </c>
      <c r="X61" s="6269" t="s">
        <v>667</v>
      </c>
      <c r="Y61" s="6269"/>
      <c r="Z61" s="6269"/>
      <c r="AA61" s="3183" t="s">
        <v>1025</v>
      </c>
      <c r="AB61" s="3181"/>
      <c r="AC61" s="3181"/>
      <c r="AD61" s="3010" t="s">
        <v>1025</v>
      </c>
      <c r="AE61" s="4850" t="s">
        <v>1271</v>
      </c>
      <c r="AF61" s="5950"/>
      <c r="AG61" s="3126"/>
      <c r="AH61" s="3126"/>
      <c r="AI61" s="3230"/>
      <c r="AJ61" s="283" cm="1">
        <f t="array" ref="AJ61">SUM(COUNTIFS($C61:$AG61,{"0","4","5","6","7","8","9"}))</f>
        <v>0</v>
      </c>
      <c r="AK61" s="283" cm="1">
        <f t="array" ref="AK61">SUM(COUNTIFS($C61:$AG61,{"0","4","5","6","7","8","9"},$C$4:$AG$4,"0"))</f>
        <v>0</v>
      </c>
      <c r="AL61" s="283" cm="1">
        <f t="array" ref="AL61">SUM(COUNTIFS($C61:$AG61,{"0","4","5","6","7","8","9"},$C$4:$AG$4,"1"))</f>
        <v>0</v>
      </c>
      <c r="AM61" s="283" cm="1">
        <f t="array" ref="AM61">SUM(COUNTIFS($C61:$AG61,{"0","4","5","6","7","8","9"},$C$4:$AG$4,"2"))</f>
        <v>0</v>
      </c>
      <c r="AN61" s="283" cm="1">
        <f t="array" ref="AN61">SUM(COUNTIFS($C61:$AG61,{"0","4","5","6","7","8","9"},$C$4:$AG$4,"3"))</f>
        <v>0</v>
      </c>
      <c r="AO61" s="283" cm="1">
        <f t="array" ref="AO61">SUM(COUNTIFS($C61:$AG61,{"1","2","3"}))</f>
        <v>0</v>
      </c>
      <c r="AP61" s="283" cm="1">
        <f t="array" ref="AP61">SUM(COUNTIFS($C61:$AG61,{"4","5","6"}))</f>
        <v>0</v>
      </c>
      <c r="AQ61" s="283">
        <f>AK61*'Spreadsheet Key'!$A$23 + AL61*'Spreadsheet Key'!$A$24 + AM61*'Spreadsheet Key'!$A$25 + AN61*'Spreadsheet Key'!$A$26</f>
        <v>0</v>
      </c>
      <c r="AR61" s="3228">
        <f>(AJ61/('APR Statistics'!$B$28))*ABS(AI61-1)</f>
        <v>0</v>
      </c>
      <c r="AS61" s="3231">
        <f t="shared" si="35"/>
        <v>0</v>
      </c>
      <c r="AT61" s="3229">
        <f>AR61*'APR Statistics'!$C$11</f>
        <v>0</v>
      </c>
      <c r="AU61" s="283"/>
      <c r="AV61" s="283">
        <f t="shared" si="1"/>
        <v>0</v>
      </c>
      <c r="AW61" s="283">
        <f t="shared" si="2"/>
        <v>0</v>
      </c>
      <c r="AX61" s="283">
        <f t="shared" si="3"/>
        <v>0</v>
      </c>
      <c r="AY61" s="283" cm="1">
        <f t="array" ref="AY61">COUNTIFS($C61:$AG61,"9",$C$4:$AG$4,"1")+SUM(COUNTIFS($C61:$AG61,{"8","9"},$C$4:$AG$4,"2"))+COUNTIFS($C61:$AG61,"8",$C$4:$AG$4,"3")</f>
        <v>0</v>
      </c>
      <c r="AZ61" s="283">
        <f t="shared" si="4"/>
        <v>0</v>
      </c>
      <c r="BA61" s="283">
        <f t="shared" si="5"/>
        <v>0</v>
      </c>
      <c r="BB61" s="283">
        <f>AV61*'Spreadsheet Key'!$A$27+AW61*'Spreadsheet Key'!$A$28+AX61*'Spreadsheet Key'!$A$29+AY61*'Spreadsheet Key'!$A$30+AZ61*'Spreadsheet Key'!$A$31</f>
        <v>0</v>
      </c>
      <c r="BC61" s="283"/>
      <c r="BD61" s="283"/>
    </row>
    <row r="62" spans="1:60" s="3211" customFormat="1" ht="15.75">
      <c r="A62" s="3180" t="s">
        <v>81</v>
      </c>
      <c r="B62" s="3180" t="s">
        <v>396</v>
      </c>
      <c r="C62" s="3205">
        <v>2</v>
      </c>
      <c r="D62" s="3205">
        <v>2</v>
      </c>
      <c r="E62" s="3199">
        <v>3</v>
      </c>
      <c r="F62" s="3199">
        <v>0</v>
      </c>
      <c r="G62" s="3199">
        <v>0</v>
      </c>
      <c r="H62" s="3199">
        <v>0</v>
      </c>
      <c r="I62" s="3199">
        <v>9</v>
      </c>
      <c r="J62" s="3199">
        <v>0</v>
      </c>
      <c r="K62" s="3199">
        <v>0</v>
      </c>
      <c r="L62" s="3199">
        <v>0</v>
      </c>
      <c r="M62" s="3199">
        <v>0</v>
      </c>
      <c r="N62" s="3199">
        <v>0</v>
      </c>
      <c r="O62" s="3199">
        <v>0</v>
      </c>
      <c r="P62" s="3206">
        <v>9</v>
      </c>
      <c r="Q62" s="3204">
        <v>0</v>
      </c>
      <c r="R62" s="3199">
        <v>0</v>
      </c>
      <c r="S62" s="3199">
        <v>0</v>
      </c>
      <c r="T62" s="3199">
        <v>0</v>
      </c>
      <c r="U62" s="3199">
        <v>0</v>
      </c>
      <c r="V62" s="3199">
        <v>0</v>
      </c>
      <c r="W62" s="3199">
        <v>1</v>
      </c>
      <c r="X62" s="3199">
        <v>2</v>
      </c>
      <c r="Y62" s="3199">
        <v>2</v>
      </c>
      <c r="Z62" s="3199">
        <v>2</v>
      </c>
      <c r="AA62" s="3199">
        <v>3</v>
      </c>
      <c r="AB62" s="3199">
        <v>0</v>
      </c>
      <c r="AC62" s="3199">
        <v>0</v>
      </c>
      <c r="AD62" s="3199">
        <v>1</v>
      </c>
      <c r="AE62" s="3199">
        <v>2</v>
      </c>
      <c r="AF62" s="3199">
        <v>2</v>
      </c>
      <c r="AG62" s="3209"/>
      <c r="AH62" s="3209"/>
      <c r="AI62" s="3230">
        <v>0</v>
      </c>
      <c r="AJ62" s="283" cm="1">
        <f t="array" ref="AJ62">SUM(COUNTIFS($C62:$AG62,{"0","4","5","6","7","8","9"}))</f>
        <v>19</v>
      </c>
      <c r="AK62" s="283" cm="1">
        <f t="array" ref="AK62">SUM(COUNTIFS($C62:$AG62,{"0","4","5","6","7","8","9"},$C$4:$AG$4,"0"))</f>
        <v>7</v>
      </c>
      <c r="AL62" s="283" cm="1">
        <f t="array" ref="AL62">SUM(COUNTIFS($C62:$AG62,{"0","4","5","6","7","8","9"},$C$4:$AG$4,"1"))</f>
        <v>3</v>
      </c>
      <c r="AM62" s="283" cm="1">
        <f t="array" ref="AM62">SUM(COUNTIFS($C62:$AG62,{"0","4","5","6","7","8","9"},$C$4:$AG$4,"2"))</f>
        <v>5</v>
      </c>
      <c r="AN62" s="283" cm="1">
        <f t="array" ref="AN62">SUM(COUNTIFS($C62:$AG62,{"0","4","5","6","7","8","9"},$C$4:$AG$4,"3"))</f>
        <v>4</v>
      </c>
      <c r="AO62" s="283" cm="1">
        <f t="array" ref="AO62">SUM(COUNTIFS($C62:$AG62,{"1","2","3"}))</f>
        <v>11</v>
      </c>
      <c r="AP62" s="283" cm="1">
        <f t="array" ref="AP62">SUM(COUNTIFS($C62:$AG62,{"4","5","6"}))</f>
        <v>0</v>
      </c>
      <c r="AQ62" s="283">
        <f>AK62*'Spreadsheet Key'!$A$23 + AL62*'Spreadsheet Key'!$A$24 + AM62*'Spreadsheet Key'!$A$25 + AN62*'Spreadsheet Key'!$A$26</f>
        <v>900</v>
      </c>
      <c r="AR62" s="3228">
        <f>(AJ62/('APR Statistics'!$B$28))*ABS(AI62-1)</f>
        <v>3.6259541984732822E-2</v>
      </c>
      <c r="AS62" s="3231">
        <f t="shared" si="35"/>
        <v>0</v>
      </c>
      <c r="AT62" s="3229">
        <f>AR62*'APR Statistics'!$C$11</f>
        <v>35.142748091603053</v>
      </c>
      <c r="AU62" s="283"/>
      <c r="AV62" s="283">
        <f t="shared" si="1"/>
        <v>0</v>
      </c>
      <c r="AW62" s="283">
        <f t="shared" si="2"/>
        <v>2</v>
      </c>
      <c r="AX62" s="283">
        <f t="shared" si="3"/>
        <v>0</v>
      </c>
      <c r="AY62" s="283" cm="1">
        <f t="array" ref="AY62">COUNTIFS($C62:$AG62,"9",$C$4:$AG$4,"1")+SUM(COUNTIFS($C62:$AG62,{"8","9"},$C$4:$AG$4,"2"))+COUNTIFS($C62:$AG62,"8",$C$4:$AG$4,"3")</f>
        <v>0</v>
      </c>
      <c r="AZ62" s="283">
        <f t="shared" si="4"/>
        <v>0</v>
      </c>
      <c r="BA62" s="283">
        <f t="shared" si="5"/>
        <v>2</v>
      </c>
      <c r="BB62" s="283">
        <f>AV62*'Spreadsheet Key'!$A$27+AW62*'Spreadsheet Key'!$A$28+AX62*'Spreadsheet Key'!$A$29+AY62*'Spreadsheet Key'!$A$30+AZ62*'Spreadsheet Key'!$A$31</f>
        <v>24</v>
      </c>
      <c r="BC62" s="283"/>
      <c r="BD62" s="283">
        <f t="shared" ref="BD62:BD76" si="37">AT62-BB62</f>
        <v>11.142748091603053</v>
      </c>
    </row>
    <row r="63" spans="1:60">
      <c r="A63" s="3208"/>
      <c r="B63" s="3208"/>
      <c r="C63" s="3195"/>
      <c r="D63" s="3183" t="s">
        <v>1025</v>
      </c>
      <c r="E63" s="3181"/>
      <c r="F63" s="3184"/>
      <c r="G63" s="3184"/>
      <c r="H63" s="3185" t="s">
        <v>720</v>
      </c>
      <c r="I63" s="3184"/>
      <c r="J63" s="3184"/>
      <c r="K63" s="3185"/>
      <c r="L63" s="3184"/>
      <c r="M63" s="3184"/>
      <c r="N63" s="3181"/>
      <c r="O63" s="3181"/>
      <c r="P63" s="3181"/>
      <c r="Q63" s="3181"/>
      <c r="R63" s="3182" t="s">
        <v>720</v>
      </c>
      <c r="S63" s="3181"/>
      <c r="T63" s="3181"/>
      <c r="U63" s="3181"/>
      <c r="V63" s="3181"/>
      <c r="W63" s="3183" t="s">
        <v>1025</v>
      </c>
      <c r="X63" s="6273" t="s">
        <v>754</v>
      </c>
      <c r="Y63" s="6273"/>
      <c r="Z63" s="6273"/>
      <c r="AA63" s="3183" t="s">
        <v>1025</v>
      </c>
      <c r="AB63" s="3181"/>
      <c r="AC63" s="3181"/>
      <c r="AD63" s="3181"/>
      <c r="AE63" s="3181"/>
      <c r="AF63" s="3181"/>
      <c r="AG63" s="3126"/>
      <c r="AH63" s="3126"/>
      <c r="AI63" s="3230"/>
      <c r="AJ63" s="283" cm="1">
        <f t="array" ref="AJ63">SUM(COUNTIFS($C63:$AG63,{"0","4","5","6","7","8","9"}))</f>
        <v>0</v>
      </c>
      <c r="AK63" s="283" cm="1">
        <f t="array" ref="AK63">SUM(COUNTIFS($C63:$AG63,{"0","4","5","6","7","8","9"},$C$4:$AG$4,"0"))</f>
        <v>0</v>
      </c>
      <c r="AL63" s="283" cm="1">
        <f t="array" ref="AL63">SUM(COUNTIFS($C63:$AG63,{"0","4","5","6","7","8","9"},$C$4:$AG$4,"1"))</f>
        <v>0</v>
      </c>
      <c r="AM63" s="283" cm="1">
        <f t="array" ref="AM63">SUM(COUNTIFS($C63:$AG63,{"0","4","5","6","7","8","9"},$C$4:$AG$4,"2"))</f>
        <v>0</v>
      </c>
      <c r="AN63" s="283" cm="1">
        <f t="array" ref="AN63">SUM(COUNTIFS($C63:$AG63,{"0","4","5","6","7","8","9"},$C$4:$AG$4,"3"))</f>
        <v>0</v>
      </c>
      <c r="AO63" s="283" cm="1">
        <f t="array" ref="AO63">SUM(COUNTIFS($C63:$AG63,{"1","2","3"}))</f>
        <v>0</v>
      </c>
      <c r="AP63" s="283" cm="1">
        <f t="array" ref="AP63">SUM(COUNTIFS($C63:$AG63,{"4","5","6"}))</f>
        <v>0</v>
      </c>
      <c r="AQ63" s="283">
        <f>AK63*'Spreadsheet Key'!$A$23 + AL63*'Spreadsheet Key'!$A$24 + AM63*'Spreadsheet Key'!$A$25 + AN63*'Spreadsheet Key'!$A$26</f>
        <v>0</v>
      </c>
      <c r="AR63" s="3228">
        <f>(AJ63/('APR Statistics'!$B$28))*ABS(AI63-1)</f>
        <v>0</v>
      </c>
      <c r="AS63" s="3231">
        <f t="shared" si="35"/>
        <v>0</v>
      </c>
      <c r="AT63" s="3229">
        <f>AR63*'APR Statistics'!$C$11</f>
        <v>0</v>
      </c>
      <c r="AU63" s="283"/>
      <c r="AV63" s="283">
        <f t="shared" si="1"/>
        <v>0</v>
      </c>
      <c r="AW63" s="283">
        <f t="shared" si="2"/>
        <v>0</v>
      </c>
      <c r="AX63" s="283">
        <f t="shared" si="3"/>
        <v>0</v>
      </c>
      <c r="AY63" s="283" cm="1">
        <f t="array" ref="AY63">COUNTIFS($C63:$AG63,"9",$C$4:$AG$4,"1")+SUM(COUNTIFS($C63:$AG63,{"8","9"},$C$4:$AG$4,"2"))+COUNTIFS($C63:$AG63,"8",$C$4:$AG$4,"3")</f>
        <v>0</v>
      </c>
      <c r="AZ63" s="283">
        <f t="shared" si="4"/>
        <v>0</v>
      </c>
      <c r="BA63" s="283">
        <f t="shared" si="5"/>
        <v>0</v>
      </c>
      <c r="BB63" s="283">
        <f>AV63*'Spreadsheet Key'!$A$27+AW63*'Spreadsheet Key'!$A$28+AX63*'Spreadsheet Key'!$A$29+AY63*'Spreadsheet Key'!$A$30+AZ63*'Spreadsheet Key'!$A$31</f>
        <v>0</v>
      </c>
      <c r="BC63" s="283"/>
      <c r="BD63" s="283"/>
    </row>
    <row r="64" spans="1:60" s="3211" customFormat="1">
      <c r="A64" s="3180" t="s">
        <v>95</v>
      </c>
      <c r="B64" s="3180" t="s">
        <v>303</v>
      </c>
      <c r="C64" s="3199">
        <v>2</v>
      </c>
      <c r="D64" s="3199">
        <v>3</v>
      </c>
      <c r="E64" s="3199">
        <v>0</v>
      </c>
      <c r="F64" s="3203">
        <v>0</v>
      </c>
      <c r="G64" s="3203">
        <v>0</v>
      </c>
      <c r="H64" s="3203">
        <v>8</v>
      </c>
      <c r="I64" s="3203">
        <v>0</v>
      </c>
      <c r="J64" s="3203">
        <v>0</v>
      </c>
      <c r="K64" s="3203">
        <v>0</v>
      </c>
      <c r="L64" s="3203">
        <v>0</v>
      </c>
      <c r="M64" s="3203">
        <v>0</v>
      </c>
      <c r="N64" s="3199">
        <v>0</v>
      </c>
      <c r="O64" s="3199">
        <v>0</v>
      </c>
      <c r="P64" s="3199">
        <v>0</v>
      </c>
      <c r="Q64" s="3199">
        <v>0</v>
      </c>
      <c r="R64" s="3199">
        <v>8</v>
      </c>
      <c r="S64" s="3199">
        <v>0</v>
      </c>
      <c r="T64" s="3199">
        <v>0</v>
      </c>
      <c r="U64" s="3199">
        <v>0</v>
      </c>
      <c r="V64" s="3199">
        <v>0</v>
      </c>
      <c r="W64" s="3199">
        <v>1</v>
      </c>
      <c r="X64" s="3199">
        <v>2</v>
      </c>
      <c r="Y64" s="3199">
        <v>2</v>
      </c>
      <c r="Z64" s="3199">
        <v>2</v>
      </c>
      <c r="AA64" s="3199">
        <v>3</v>
      </c>
      <c r="AB64" s="3199">
        <v>0</v>
      </c>
      <c r="AC64" s="3199">
        <v>0</v>
      </c>
      <c r="AD64" s="3199">
        <v>0</v>
      </c>
      <c r="AE64" s="3199">
        <v>0</v>
      </c>
      <c r="AF64" s="3199">
        <v>0</v>
      </c>
      <c r="AG64" s="3209"/>
      <c r="AH64" s="3209"/>
      <c r="AI64" s="3230">
        <v>0</v>
      </c>
      <c r="AJ64" s="283" cm="1">
        <f t="array" ref="AJ64">SUM(COUNTIFS($C64:$AG64,{"0","4","5","6","7","8","9"}))</f>
        <v>23</v>
      </c>
      <c r="AK64" s="283" cm="1">
        <f t="array" ref="AK64">SUM(COUNTIFS($C64:$AG64,{"0","4","5","6","7","8","9"},$C$4:$AG$4,"0"))</f>
        <v>11</v>
      </c>
      <c r="AL64" s="283" cm="1">
        <f t="array" ref="AL64">SUM(COUNTIFS($C64:$AG64,{"0","4","5","6","7","8","9"},$C$4:$AG$4,"1"))</f>
        <v>3</v>
      </c>
      <c r="AM64" s="283" cm="1">
        <f t="array" ref="AM64">SUM(COUNTIFS($C64:$AG64,{"0","4","5","6","7","8","9"},$C$4:$AG$4,"2"))</f>
        <v>5</v>
      </c>
      <c r="AN64" s="283" cm="1">
        <f t="array" ref="AN64">SUM(COUNTIFS($C64:$AG64,{"0","4","5","6","7","8","9"},$C$4:$AG$4,"3"))</f>
        <v>4</v>
      </c>
      <c r="AO64" s="283" cm="1">
        <f t="array" ref="AO64">SUM(COUNTIFS($C64:$AG64,{"1","2","3"}))</f>
        <v>7</v>
      </c>
      <c r="AP64" s="283" cm="1">
        <f t="array" ref="AP64">SUM(COUNTIFS($C64:$AG64,{"4","5","6"}))</f>
        <v>0</v>
      </c>
      <c r="AQ64" s="283">
        <f>AK64*'Spreadsheet Key'!$A$23 + AL64*'Spreadsheet Key'!$A$24 + AM64*'Spreadsheet Key'!$A$25 + AN64*'Spreadsheet Key'!$A$26</f>
        <v>988</v>
      </c>
      <c r="AR64" s="3228">
        <f>(AJ64/('APR Statistics'!$B$28))*ABS(AI64-1)</f>
        <v>4.3893129770992363E-2</v>
      </c>
      <c r="AS64" s="3231">
        <f t="shared" si="35"/>
        <v>0</v>
      </c>
      <c r="AT64" s="3229">
        <f>AR64*'APR Statistics'!$C$11</f>
        <v>42.541221374045797</v>
      </c>
      <c r="AU64" s="283"/>
      <c r="AV64" s="283">
        <f t="shared" si="1"/>
        <v>1</v>
      </c>
      <c r="AW64" s="283">
        <f t="shared" si="2"/>
        <v>0</v>
      </c>
      <c r="AX64" s="283">
        <f t="shared" si="3"/>
        <v>0</v>
      </c>
      <c r="AY64" s="283" cm="1">
        <f t="array" ref="AY64">COUNTIFS($C64:$AG64,"9",$C$4:$AG$4,"1")+SUM(COUNTIFS($C64:$AG64,{"8","9"},$C$4:$AG$4,"2"))+COUNTIFS($C64:$AG64,"8",$C$4:$AG$4,"3")</f>
        <v>1</v>
      </c>
      <c r="AZ64" s="283">
        <f t="shared" si="4"/>
        <v>0</v>
      </c>
      <c r="BA64" s="283">
        <f t="shared" si="5"/>
        <v>2</v>
      </c>
      <c r="BB64" s="283">
        <f>AV64*'Spreadsheet Key'!$A$27+AW64*'Spreadsheet Key'!$A$28+AX64*'Spreadsheet Key'!$A$29+AY64*'Spreadsheet Key'!$A$30+AZ64*'Spreadsheet Key'!$A$31</f>
        <v>46</v>
      </c>
      <c r="BC64" s="283"/>
      <c r="BD64" s="283">
        <f t="shared" ref="BD64:BD78" si="38">AT64-BB64</f>
        <v>-3.4587786259542028</v>
      </c>
    </row>
    <row r="65" spans="1:56">
      <c r="A65" s="3208"/>
      <c r="B65" s="3208"/>
      <c r="C65" s="3195"/>
      <c r="D65" s="3183" t="s">
        <v>1025</v>
      </c>
      <c r="E65" s="3181"/>
      <c r="F65" s="3182"/>
      <c r="G65" s="3182" t="s">
        <v>720</v>
      </c>
      <c r="H65" s="3181"/>
      <c r="I65" s="3181"/>
      <c r="J65" s="3181"/>
      <c r="K65" s="3181"/>
      <c r="L65" s="3182" t="s">
        <v>722</v>
      </c>
      <c r="M65" s="3181"/>
      <c r="N65" s="3181"/>
      <c r="O65" s="3181"/>
      <c r="P65" s="3183" t="s">
        <v>1025</v>
      </c>
      <c r="Q65" s="6273" t="s">
        <v>754</v>
      </c>
      <c r="R65" s="6273"/>
      <c r="S65" s="6273"/>
      <c r="T65" s="6273"/>
      <c r="U65" s="3183" t="s">
        <v>1025</v>
      </c>
      <c r="V65" s="3181"/>
      <c r="W65" s="3181"/>
      <c r="X65" s="3181"/>
      <c r="Y65" s="3183" t="s">
        <v>1025</v>
      </c>
      <c r="Z65" s="6274" t="s">
        <v>1273</v>
      </c>
      <c r="AA65" s="6275"/>
      <c r="AB65" s="6275"/>
      <c r="AC65" s="6275"/>
      <c r="AD65" s="6275"/>
      <c r="AE65" s="6275"/>
      <c r="AF65" s="6275"/>
      <c r="AG65" s="3126"/>
      <c r="AH65" s="3126"/>
      <c r="AI65" s="3230"/>
      <c r="AJ65" s="283"/>
      <c r="AK65" s="283"/>
      <c r="AL65" s="283"/>
      <c r="AM65" s="283"/>
      <c r="AN65" s="283"/>
      <c r="AO65" s="283"/>
      <c r="AP65" s="283"/>
      <c r="AQ65" s="283"/>
      <c r="AR65" s="3228">
        <f>(AJ65/('APR Statistics'!$B$28))*ABS(AI65-1)</f>
        <v>0</v>
      </c>
      <c r="AS65" s="3231">
        <f t="shared" si="35"/>
        <v>0</v>
      </c>
      <c r="AT65" s="3229">
        <f>AR65*'APR Statistics'!$C$11</f>
        <v>0</v>
      </c>
      <c r="AU65" s="283"/>
      <c r="AV65" s="283"/>
      <c r="AW65" s="283"/>
      <c r="AX65" s="283"/>
      <c r="AY65" s="283"/>
      <c r="AZ65" s="283"/>
      <c r="BA65" s="283"/>
      <c r="BB65" s="283"/>
      <c r="BC65" s="283"/>
      <c r="BD65" s="283"/>
    </row>
    <row r="66" spans="1:56" s="3211" customFormat="1">
      <c r="A66" s="3180" t="s">
        <v>155</v>
      </c>
      <c r="B66" s="3187" t="s">
        <v>532</v>
      </c>
      <c r="C66" s="3199">
        <v>2</v>
      </c>
      <c r="D66" s="3199">
        <v>3</v>
      </c>
      <c r="E66" s="3199">
        <v>0</v>
      </c>
      <c r="F66" s="3203">
        <v>0</v>
      </c>
      <c r="G66" s="3203">
        <v>8</v>
      </c>
      <c r="H66" s="3203">
        <v>0</v>
      </c>
      <c r="I66" s="3203">
        <v>0</v>
      </c>
      <c r="J66" s="3203">
        <v>0</v>
      </c>
      <c r="K66" s="3203">
        <v>0</v>
      </c>
      <c r="L66" s="3203">
        <v>9</v>
      </c>
      <c r="M66" s="3203">
        <v>0</v>
      </c>
      <c r="N66" s="3199">
        <v>0</v>
      </c>
      <c r="O66" s="3199">
        <v>0</v>
      </c>
      <c r="P66" s="3199">
        <v>1</v>
      </c>
      <c r="Q66" s="3199">
        <v>2</v>
      </c>
      <c r="R66" s="3199">
        <v>2</v>
      </c>
      <c r="S66" s="3199">
        <v>2</v>
      </c>
      <c r="T66" s="3199">
        <v>2</v>
      </c>
      <c r="U66" s="3199">
        <v>3</v>
      </c>
      <c r="V66" s="3199">
        <v>0</v>
      </c>
      <c r="W66" s="3199">
        <v>0</v>
      </c>
      <c r="X66" s="3199">
        <v>0</v>
      </c>
      <c r="Y66" s="3199">
        <v>1</v>
      </c>
      <c r="Z66" s="3199">
        <v>2</v>
      </c>
      <c r="AA66" s="3199">
        <v>2</v>
      </c>
      <c r="AB66" s="3199">
        <v>2</v>
      </c>
      <c r="AC66" s="3199">
        <v>2</v>
      </c>
      <c r="AD66" s="3199">
        <v>2</v>
      </c>
      <c r="AE66" s="3199">
        <v>2</v>
      </c>
      <c r="AF66" s="3199">
        <v>2</v>
      </c>
      <c r="AG66" s="3209"/>
      <c r="AH66" s="3209"/>
      <c r="AI66" s="3230">
        <v>0</v>
      </c>
      <c r="AJ66" s="283" cm="1">
        <f t="array" ref="AJ66">SUM(COUNTIFS($C66:$AG66,{"0","4","5","6","7","8","9"}))</f>
        <v>14</v>
      </c>
      <c r="AK66" s="283" cm="1">
        <f t="array" ref="AK66">SUM(COUNTIFS($C66:$AG66,{"0","4","5","6","7","8","9"},$C$4:$AG$4,"0"))</f>
        <v>7</v>
      </c>
      <c r="AL66" s="283" cm="1">
        <f t="array" ref="AL66">SUM(COUNTIFS($C66:$AG66,{"0","4","5","6","7","8","9"},$C$4:$AG$4,"1"))</f>
        <v>2</v>
      </c>
      <c r="AM66" s="283" cm="1">
        <f t="array" ref="AM66">SUM(COUNTIFS($C66:$AG66,{"0","4","5","6","7","8","9"},$C$4:$AG$4,"2"))</f>
        <v>2</v>
      </c>
      <c r="AN66" s="283" cm="1">
        <f t="array" ref="AN66">SUM(COUNTIFS($C66:$AG66,{"0","4","5","6","7","8","9"},$C$4:$AG$4,"3"))</f>
        <v>3</v>
      </c>
      <c r="AO66" s="283" cm="1">
        <f t="array" ref="AO66">SUM(COUNTIFS($C66:$AG66,{"1","2","3"}))</f>
        <v>16</v>
      </c>
      <c r="AP66" s="283" cm="1">
        <f t="array" ref="AP66">SUM(COUNTIFS($C66:$AG66,{"4","5","6"}))</f>
        <v>0</v>
      </c>
      <c r="AQ66" s="283">
        <f>AK66*'Spreadsheet Key'!$A$23 + AL66*'Spreadsheet Key'!$A$24 + AM66*'Spreadsheet Key'!$A$25 + AN66*'Spreadsheet Key'!$A$26</f>
        <v>574</v>
      </c>
      <c r="AR66" s="3228">
        <f>(AJ66/('APR Statistics'!$B$28))*ABS(AI66-1)</f>
        <v>2.6717557251908396E-2</v>
      </c>
      <c r="AS66" s="3231">
        <f t="shared" si="35"/>
        <v>0</v>
      </c>
      <c r="AT66" s="3229">
        <f>AR66*'APR Statistics'!$C$11</f>
        <v>25.894656488549618</v>
      </c>
      <c r="AU66" s="283"/>
      <c r="AV66" s="283">
        <f t="shared" ref="AV66:AV125" si="39">COUNTIFS($C66:$AG66,"8",$C$4:$AG$4,"0")</f>
        <v>0</v>
      </c>
      <c r="AW66" s="283">
        <f t="shared" ref="AW66:AW125" si="40">COUNTIFS($C66:$AG66,"9",$C$4:$AG$4,"0")</f>
        <v>1</v>
      </c>
      <c r="AX66" s="283">
        <f t="shared" ref="AX66:AX125" si="41">COUNTIFS($C66:$AG66,"8",$C$4:$AG$4,"1")</f>
        <v>0</v>
      </c>
      <c r="AY66" s="283" cm="1">
        <f t="array" ref="AY66">COUNTIFS($C66:$AG66,"9",$C$4:$AG$4,"1")+SUM(COUNTIFS($C66:$AG66,{"8","9"},$C$4:$AG$4,"2"))+COUNTIFS($C66:$AG66,"8",$C$4:$AG$4,"3")</f>
        <v>1</v>
      </c>
      <c r="AZ66" s="283">
        <f t="shared" ref="AZ66:AZ125" si="42">COUNTIFS($C66:$AG66,"9",$C$4:$AG$4,"3")</f>
        <v>0</v>
      </c>
      <c r="BA66" s="283">
        <f t="shared" ref="BA66:BA125" si="43">SUM(AV66:AZ66)</f>
        <v>2</v>
      </c>
      <c r="BB66" s="283">
        <f>AV66*'Spreadsheet Key'!$A$27+AW66*'Spreadsheet Key'!$A$28+AX66*'Spreadsheet Key'!$A$29+AY66*'Spreadsheet Key'!$A$30+AZ66*'Spreadsheet Key'!$A$31</f>
        <v>48</v>
      </c>
      <c r="BC66" s="283"/>
      <c r="BD66" s="283">
        <f t="shared" ref="BD66:BD80" si="44">AT66-BB66</f>
        <v>-22.105343511450382</v>
      </c>
    </row>
    <row r="67" spans="1:56">
      <c r="A67" s="916" t="s">
        <v>720</v>
      </c>
      <c r="B67" s="916"/>
      <c r="C67">
        <f>COUNTIF(C$5:C$66,"D")</f>
        <v>1</v>
      </c>
      <c r="D67">
        <f t="shared" ref="D67:AF67" si="45">COUNTIF(D$5:D$66,"D")</f>
        <v>1</v>
      </c>
      <c r="E67">
        <f t="shared" si="45"/>
        <v>1</v>
      </c>
      <c r="F67">
        <f t="shared" si="45"/>
        <v>1</v>
      </c>
      <c r="G67">
        <f t="shared" si="45"/>
        <v>1</v>
      </c>
      <c r="H67">
        <f t="shared" si="45"/>
        <v>1</v>
      </c>
      <c r="I67">
        <f t="shared" si="45"/>
        <v>1</v>
      </c>
      <c r="J67">
        <f t="shared" si="45"/>
        <v>1</v>
      </c>
      <c r="K67">
        <f t="shared" si="45"/>
        <v>1</v>
      </c>
      <c r="L67">
        <f t="shared" si="45"/>
        <v>1</v>
      </c>
      <c r="M67">
        <f t="shared" si="45"/>
        <v>1</v>
      </c>
      <c r="N67">
        <f t="shared" si="45"/>
        <v>0</v>
      </c>
      <c r="O67">
        <f t="shared" si="45"/>
        <v>1</v>
      </c>
      <c r="P67">
        <f t="shared" si="45"/>
        <v>1</v>
      </c>
      <c r="Q67">
        <f t="shared" si="45"/>
        <v>1</v>
      </c>
      <c r="R67">
        <f t="shared" si="45"/>
        <v>1</v>
      </c>
      <c r="S67">
        <f t="shared" si="45"/>
        <v>1</v>
      </c>
      <c r="T67">
        <f t="shared" si="45"/>
        <v>1</v>
      </c>
      <c r="U67">
        <f t="shared" si="45"/>
        <v>1</v>
      </c>
      <c r="V67">
        <f t="shared" si="45"/>
        <v>1</v>
      </c>
      <c r="W67">
        <f t="shared" si="45"/>
        <v>1</v>
      </c>
      <c r="X67">
        <f t="shared" si="45"/>
        <v>1</v>
      </c>
      <c r="Y67">
        <f t="shared" si="45"/>
        <v>1</v>
      </c>
      <c r="Z67">
        <f t="shared" si="45"/>
        <v>1</v>
      </c>
      <c r="AA67">
        <f t="shared" si="45"/>
        <v>1</v>
      </c>
      <c r="AB67">
        <f t="shared" si="45"/>
        <v>1</v>
      </c>
      <c r="AC67">
        <f t="shared" si="45"/>
        <v>1</v>
      </c>
      <c r="AD67">
        <f t="shared" si="45"/>
        <v>1</v>
      </c>
      <c r="AE67">
        <f t="shared" si="45"/>
        <v>1</v>
      </c>
      <c r="AF67">
        <f t="shared" si="45"/>
        <v>1</v>
      </c>
      <c r="AJ67" s="283"/>
      <c r="AK67" s="283">
        <f>SUM(AK6:AK66)</f>
        <v>350</v>
      </c>
      <c r="AL67" s="283">
        <f t="shared" ref="AL67:AO67" si="46">SUM(AL6:AL66)</f>
        <v>86</v>
      </c>
      <c r="AM67" s="283">
        <f t="shared" si="46"/>
        <v>114</v>
      </c>
      <c r="AN67" s="283">
        <f t="shared" si="46"/>
        <v>88</v>
      </c>
      <c r="AO67" s="283">
        <f t="shared" si="46"/>
        <v>292</v>
      </c>
      <c r="AP67" s="283"/>
      <c r="AQ67" s="283"/>
      <c r="AR67" s="3228">
        <f>SUM(AR6:AR66)</f>
        <v>1.001908396946565</v>
      </c>
      <c r="AS67" s="3231">
        <f>SUM(AS6:AS66)</f>
        <v>96.800000000000011</v>
      </c>
      <c r="AT67" s="3229">
        <f>SUM(AT6:AT66)</f>
        <v>1067.8496183206107</v>
      </c>
      <c r="AU67" s="283"/>
      <c r="AV67" s="283">
        <f>SUM(AV6:AV66)</f>
        <v>17</v>
      </c>
      <c r="AW67" s="283">
        <f>SUM(AW6:AW66)</f>
        <v>17</v>
      </c>
      <c r="AX67" s="283">
        <f>SUM(AX6:AX66)</f>
        <v>4</v>
      </c>
      <c r="AY67" s="283">
        <f>SUM(AY6:AY66)</f>
        <v>15</v>
      </c>
      <c r="AZ67" s="283">
        <f>SUM(AZ6:AZ66)</f>
        <v>4</v>
      </c>
      <c r="BA67" s="283">
        <f>SUM(BA6:BA66)</f>
        <v>57</v>
      </c>
      <c r="BB67" s="283">
        <f>SUM(BB6:BB66)</f>
        <v>1066</v>
      </c>
      <c r="BC67" s="283"/>
      <c r="BD67" s="283">
        <f>SUM(BD6:BD66)</f>
        <v>1.8496183206107268</v>
      </c>
    </row>
    <row r="68" spans="1:56">
      <c r="A68" s="916">
        <v>8</v>
      </c>
      <c r="B68" s="916"/>
      <c r="C68">
        <f>COUNTIF(C$6:C$66,8)</f>
        <v>1</v>
      </c>
      <c r="D68">
        <f t="shared" ref="D68:AF68" si="47">COUNTIF(D$6:D$66,8)</f>
        <v>1</v>
      </c>
      <c r="E68">
        <f t="shared" si="47"/>
        <v>1</v>
      </c>
      <c r="F68">
        <f t="shared" si="47"/>
        <v>1</v>
      </c>
      <c r="G68">
        <f t="shared" si="47"/>
        <v>1</v>
      </c>
      <c r="H68">
        <f t="shared" si="47"/>
        <v>1</v>
      </c>
      <c r="I68">
        <f t="shared" si="47"/>
        <v>1</v>
      </c>
      <c r="J68">
        <f t="shared" si="47"/>
        <v>1</v>
      </c>
      <c r="K68">
        <f t="shared" si="47"/>
        <v>1</v>
      </c>
      <c r="L68">
        <f t="shared" si="47"/>
        <v>1</v>
      </c>
      <c r="M68">
        <f t="shared" si="47"/>
        <v>1</v>
      </c>
      <c r="N68">
        <f t="shared" si="47"/>
        <v>0</v>
      </c>
      <c r="O68">
        <f t="shared" si="47"/>
        <v>1</v>
      </c>
      <c r="P68">
        <f t="shared" si="47"/>
        <v>1</v>
      </c>
      <c r="Q68">
        <f t="shared" si="47"/>
        <v>1</v>
      </c>
      <c r="R68">
        <f t="shared" si="47"/>
        <v>1</v>
      </c>
      <c r="S68">
        <f t="shared" si="47"/>
        <v>1</v>
      </c>
      <c r="T68">
        <f t="shared" si="47"/>
        <v>1</v>
      </c>
      <c r="U68">
        <f t="shared" si="47"/>
        <v>1</v>
      </c>
      <c r="V68">
        <f t="shared" si="47"/>
        <v>1</v>
      </c>
      <c r="W68">
        <f t="shared" si="47"/>
        <v>1</v>
      </c>
      <c r="X68">
        <f t="shared" si="47"/>
        <v>1</v>
      </c>
      <c r="Y68">
        <f t="shared" si="47"/>
        <v>1</v>
      </c>
      <c r="Z68">
        <f t="shared" si="47"/>
        <v>1</v>
      </c>
      <c r="AA68">
        <f t="shared" si="47"/>
        <v>1</v>
      </c>
      <c r="AB68">
        <f t="shared" si="47"/>
        <v>1</v>
      </c>
      <c r="AC68">
        <f t="shared" si="47"/>
        <v>1</v>
      </c>
      <c r="AD68">
        <f t="shared" si="47"/>
        <v>1</v>
      </c>
      <c r="AE68">
        <f t="shared" si="47"/>
        <v>1</v>
      </c>
      <c r="AF68">
        <f t="shared" si="47"/>
        <v>1</v>
      </c>
      <c r="AJ68" s="283" cm="1">
        <f t="array" ref="AJ68">SUM(AI6:AI66*AJ6:AJ66)</f>
        <v>113</v>
      </c>
      <c r="AK68" s="283"/>
      <c r="AL68" s="283"/>
      <c r="AM68" s="283"/>
      <c r="AN68" s="283"/>
      <c r="AO68" s="283"/>
      <c r="AP68" s="283"/>
      <c r="AQ68" s="283"/>
      <c r="AR68" s="283"/>
      <c r="AS68" s="3231"/>
      <c r="AT68" s="283"/>
      <c r="AU68" s="283"/>
      <c r="AV68" s="283"/>
      <c r="AW68" s="283"/>
      <c r="AX68" s="283"/>
      <c r="AY68" s="283"/>
      <c r="AZ68" s="283"/>
      <c r="BA68" s="283"/>
      <c r="BB68" s="283"/>
      <c r="BC68" s="283"/>
      <c r="BD68" s="283">
        <f>STDEV(BD12:BD58)</f>
        <v>18.39224475887092</v>
      </c>
    </row>
    <row r="69" spans="1:56">
      <c r="A69" s="916" t="s">
        <v>722</v>
      </c>
      <c r="B69" s="916"/>
      <c r="C69">
        <f>COUNTIF(C$5:C$66,"N")</f>
        <v>1</v>
      </c>
      <c r="D69">
        <f t="shared" ref="D69:AF69" si="48">COUNTIF(D$5:D$66,"N")</f>
        <v>1</v>
      </c>
      <c r="E69">
        <f t="shared" si="48"/>
        <v>1</v>
      </c>
      <c r="F69">
        <f t="shared" si="48"/>
        <v>1</v>
      </c>
      <c r="G69">
        <f t="shared" si="48"/>
        <v>1</v>
      </c>
      <c r="H69">
        <f t="shared" si="48"/>
        <v>1</v>
      </c>
      <c r="I69">
        <f t="shared" si="48"/>
        <v>1</v>
      </c>
      <c r="J69">
        <f t="shared" si="48"/>
        <v>1</v>
      </c>
      <c r="K69">
        <f t="shared" si="48"/>
        <v>1</v>
      </c>
      <c r="L69">
        <f t="shared" si="48"/>
        <v>1</v>
      </c>
      <c r="M69">
        <f t="shared" si="48"/>
        <v>0</v>
      </c>
      <c r="N69">
        <f t="shared" si="48"/>
        <v>0</v>
      </c>
      <c r="O69">
        <f t="shared" si="48"/>
        <v>1</v>
      </c>
      <c r="P69">
        <f t="shared" si="48"/>
        <v>1</v>
      </c>
      <c r="Q69">
        <f t="shared" si="48"/>
        <v>1</v>
      </c>
      <c r="R69">
        <f t="shared" si="48"/>
        <v>1</v>
      </c>
      <c r="S69">
        <f t="shared" si="48"/>
        <v>1</v>
      </c>
      <c r="T69">
        <f t="shared" si="48"/>
        <v>1</v>
      </c>
      <c r="U69">
        <f t="shared" si="48"/>
        <v>1</v>
      </c>
      <c r="V69">
        <f t="shared" si="48"/>
        <v>1</v>
      </c>
      <c r="W69">
        <f t="shared" si="48"/>
        <v>1</v>
      </c>
      <c r="X69">
        <f t="shared" si="48"/>
        <v>1</v>
      </c>
      <c r="Y69">
        <f t="shared" si="48"/>
        <v>1</v>
      </c>
      <c r="Z69">
        <f t="shared" si="48"/>
        <v>1</v>
      </c>
      <c r="AA69">
        <f t="shared" si="48"/>
        <v>1</v>
      </c>
      <c r="AB69">
        <f t="shared" si="48"/>
        <v>1</v>
      </c>
      <c r="AC69">
        <f t="shared" si="48"/>
        <v>1</v>
      </c>
      <c r="AD69">
        <f t="shared" si="48"/>
        <v>1</v>
      </c>
      <c r="AE69">
        <f t="shared" si="48"/>
        <v>1</v>
      </c>
      <c r="AF69">
        <f t="shared" si="48"/>
        <v>1</v>
      </c>
      <c r="AJ69" s="283"/>
      <c r="AK69" s="283"/>
      <c r="AL69" s="283"/>
      <c r="AM69" s="283"/>
      <c r="AN69" s="283"/>
      <c r="AO69" s="283"/>
      <c r="AP69" s="283"/>
      <c r="AQ69" s="283"/>
      <c r="AR69" s="283"/>
      <c r="AS69" s="3231"/>
      <c r="AT69" s="283"/>
      <c r="AU69" s="283"/>
      <c r="AV69" s="283"/>
      <c r="AW69" s="283"/>
      <c r="AX69" s="283"/>
      <c r="AY69" s="283"/>
      <c r="AZ69" s="283"/>
      <c r="BA69" s="283"/>
      <c r="BB69" s="283"/>
      <c r="BC69" s="283"/>
      <c r="BD69" s="283"/>
    </row>
    <row r="70" spans="1:56">
      <c r="A70" s="916">
        <v>9</v>
      </c>
      <c r="B70" s="916"/>
      <c r="C70">
        <f>COUNTIF(C$6:C$66,9)</f>
        <v>1</v>
      </c>
      <c r="D70">
        <f t="shared" ref="D70:AF70" si="49">COUNTIF(D$6:D$66,9)</f>
        <v>1</v>
      </c>
      <c r="E70">
        <f t="shared" si="49"/>
        <v>1</v>
      </c>
      <c r="F70">
        <f t="shared" si="49"/>
        <v>1</v>
      </c>
      <c r="G70">
        <f t="shared" si="49"/>
        <v>1</v>
      </c>
      <c r="H70">
        <f t="shared" si="49"/>
        <v>1</v>
      </c>
      <c r="I70">
        <f t="shared" si="49"/>
        <v>1</v>
      </c>
      <c r="J70">
        <f t="shared" si="49"/>
        <v>1</v>
      </c>
      <c r="K70">
        <f t="shared" si="49"/>
        <v>1</v>
      </c>
      <c r="L70">
        <f t="shared" si="49"/>
        <v>1</v>
      </c>
      <c r="M70">
        <f t="shared" si="49"/>
        <v>0</v>
      </c>
      <c r="N70">
        <f t="shared" si="49"/>
        <v>0</v>
      </c>
      <c r="O70">
        <f t="shared" si="49"/>
        <v>1</v>
      </c>
      <c r="P70">
        <f t="shared" si="49"/>
        <v>1</v>
      </c>
      <c r="Q70">
        <f t="shared" si="49"/>
        <v>1</v>
      </c>
      <c r="R70">
        <f t="shared" si="49"/>
        <v>1</v>
      </c>
      <c r="S70">
        <f t="shared" si="49"/>
        <v>1</v>
      </c>
      <c r="T70">
        <f t="shared" si="49"/>
        <v>1</v>
      </c>
      <c r="U70">
        <f t="shared" si="49"/>
        <v>1</v>
      </c>
      <c r="V70">
        <f t="shared" si="49"/>
        <v>1</v>
      </c>
      <c r="W70">
        <f t="shared" si="49"/>
        <v>1</v>
      </c>
      <c r="X70">
        <f t="shared" si="49"/>
        <v>1</v>
      </c>
      <c r="Y70">
        <f t="shared" si="49"/>
        <v>1</v>
      </c>
      <c r="Z70">
        <f t="shared" si="49"/>
        <v>1</v>
      </c>
      <c r="AA70">
        <f t="shared" si="49"/>
        <v>1</v>
      </c>
      <c r="AB70">
        <f t="shared" si="49"/>
        <v>1</v>
      </c>
      <c r="AC70">
        <f t="shared" si="49"/>
        <v>1</v>
      </c>
      <c r="AD70">
        <f t="shared" si="49"/>
        <v>1</v>
      </c>
      <c r="AE70">
        <f t="shared" si="49"/>
        <v>1</v>
      </c>
      <c r="AF70">
        <f t="shared" si="49"/>
        <v>1</v>
      </c>
      <c r="AJ70" s="283"/>
      <c r="AK70" s="283"/>
      <c r="AL70" s="283"/>
      <c r="AM70" s="283"/>
      <c r="AN70" s="283"/>
      <c r="AO70" s="283"/>
      <c r="AP70" s="283"/>
      <c r="AQ70" s="283"/>
      <c r="AR70" s="283"/>
      <c r="AS70" s="3231"/>
      <c r="AT70" s="283"/>
      <c r="AU70" s="283"/>
      <c r="AV70" s="283"/>
      <c r="AW70" s="283"/>
      <c r="AX70" s="283"/>
      <c r="AY70" s="283"/>
      <c r="AZ70" s="283"/>
      <c r="BA70" s="283"/>
      <c r="BB70" s="283"/>
      <c r="BC70" s="283"/>
      <c r="BD70" s="283"/>
    </row>
    <row r="71" spans="1:56">
      <c r="A71" t="s">
        <v>1151</v>
      </c>
      <c r="C71">
        <f>COUNTIF(C5:AF66,"D")</f>
        <v>29</v>
      </c>
      <c r="AJ71">
        <f>SUM(AJ6:AJ66)</f>
        <v>638</v>
      </c>
      <c r="AO71">
        <f>SUM(AK67:AO67)</f>
        <v>930</v>
      </c>
      <c r="AR71" s="283"/>
      <c r="AS71" s="283"/>
    </row>
    <row r="72" spans="1:56">
      <c r="A72" t="s">
        <v>1152</v>
      </c>
      <c r="C72">
        <f>COUNTIF(C5:AG66,"8")</f>
        <v>29</v>
      </c>
      <c r="M72" t="s">
        <v>1275</v>
      </c>
      <c r="AR72" s="283"/>
      <c r="AS72" s="283"/>
    </row>
    <row r="73" spans="1:56">
      <c r="A73" t="s">
        <v>1153</v>
      </c>
      <c r="C73">
        <f>COUNTIF(C5:AG66,"N")</f>
        <v>28</v>
      </c>
      <c r="AR73" s="283"/>
      <c r="AS73" s="283"/>
    </row>
    <row r="74" spans="1:56">
      <c r="A74" t="s">
        <v>1154</v>
      </c>
      <c r="C74">
        <f>COUNTIF(C5:AG66,"9")</f>
        <v>28</v>
      </c>
      <c r="AR74" s="283"/>
      <c r="AS74" s="283"/>
    </row>
  </sheetData>
  <mergeCells count="57">
    <mergeCell ref="A1:B1"/>
    <mergeCell ref="C1:AF1"/>
    <mergeCell ref="AJ1:BH1"/>
    <mergeCell ref="A2:B2"/>
    <mergeCell ref="A3:B3"/>
    <mergeCell ref="AJ3:AT3"/>
    <mergeCell ref="AV3:BB3"/>
    <mergeCell ref="A4:B4"/>
    <mergeCell ref="C5:F5"/>
    <mergeCell ref="W5:Y5"/>
    <mergeCell ref="M7:N7"/>
    <mergeCell ref="C9:D9"/>
    <mergeCell ref="I9:M9"/>
    <mergeCell ref="X9:AC9"/>
    <mergeCell ref="G11:J11"/>
    <mergeCell ref="Q11:R11"/>
    <mergeCell ref="C13:D13"/>
    <mergeCell ref="I13:M13"/>
    <mergeCell ref="C15:G15"/>
    <mergeCell ref="M15:N15"/>
    <mergeCell ref="W15:Y15"/>
    <mergeCell ref="AE15:AF15"/>
    <mergeCell ref="M17:N17"/>
    <mergeCell ref="F21:I21"/>
    <mergeCell ref="M23:X23"/>
    <mergeCell ref="AD23:AF23"/>
    <mergeCell ref="Q43:R43"/>
    <mergeCell ref="W43:AF43"/>
    <mergeCell ref="C25:H25"/>
    <mergeCell ref="M27:N27"/>
    <mergeCell ref="I29:O29"/>
    <mergeCell ref="I33:O33"/>
    <mergeCell ref="Z33:AF33"/>
    <mergeCell ref="G37:L37"/>
    <mergeCell ref="M37:O37"/>
    <mergeCell ref="C39:F39"/>
    <mergeCell ref="Q39:R39"/>
    <mergeCell ref="C41:F41"/>
    <mergeCell ref="Q41:R41"/>
    <mergeCell ref="V41:AD41"/>
    <mergeCell ref="C45:N45"/>
    <mergeCell ref="C47:L47"/>
    <mergeCell ref="Q47:R47"/>
    <mergeCell ref="M49:N49"/>
    <mergeCell ref="Q49:R49"/>
    <mergeCell ref="C57:D57"/>
    <mergeCell ref="X57:Z57"/>
    <mergeCell ref="AE57:AF57"/>
    <mergeCell ref="C61:D61"/>
    <mergeCell ref="X61:Z61"/>
    <mergeCell ref="AE61:AF61"/>
    <mergeCell ref="X63:Z63"/>
    <mergeCell ref="Q65:T65"/>
    <mergeCell ref="Z65:AF65"/>
    <mergeCell ref="X51:Z51"/>
    <mergeCell ref="M55:N55"/>
    <mergeCell ref="Q51:R51"/>
  </mergeCells>
  <conditionalFormatting sqref="BD1:BD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7:BD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AG70">
    <cfRule type="cellIs" dxfId="133" priority="2" operator="equal">
      <formula>0</formula>
    </cfRule>
  </conditionalFormatting>
  <conditionalFormatting sqref="C67:AG70">
    <cfRule type="cellIs" dxfId="132" priority="1" operator="equal">
      <formula>1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3B1A-C7A9-4AAA-B312-B98005F25287}">
  <dimension ref="A1:BH74"/>
  <sheetViews>
    <sheetView zoomScale="80" zoomScaleNormal="80" workbookViewId="0">
      <pane xSplit="2" topLeftCell="C19" activePane="topRight" state="frozen"/>
      <selection pane="topRight" activeCell="N91" sqref="N91"/>
    </sheetView>
  </sheetViews>
  <sheetFormatPr defaultRowHeight="15"/>
  <cols>
    <col min="1" max="1" width="7.85546875" bestFit="1" customWidth="1"/>
    <col min="2" max="2" width="12" bestFit="1" customWidth="1"/>
    <col min="35" max="35" width="9.140625" style="1"/>
    <col min="37" max="37" width="17.85546875" bestFit="1" customWidth="1"/>
    <col min="38" max="38" width="15" bestFit="1" customWidth="1"/>
    <col min="39" max="39" width="25.7109375" bestFit="1" customWidth="1"/>
    <col min="40" max="40" width="16" bestFit="1" customWidth="1"/>
    <col min="41" max="41" width="17.7109375" bestFit="1" customWidth="1"/>
    <col min="42" max="42" width="20.85546875" bestFit="1" customWidth="1"/>
    <col min="43" max="43" width="12.28515625" bestFit="1" customWidth="1"/>
    <col min="44" max="45" width="29.140625" customWidth="1"/>
    <col min="46" max="46" width="15.425781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</cols>
  <sheetData>
    <row r="1" spans="1:60">
      <c r="A1" s="6281"/>
      <c r="B1" s="6281"/>
      <c r="C1" s="6282" t="s">
        <v>1259</v>
      </c>
      <c r="D1" s="6282"/>
      <c r="E1" s="6282"/>
      <c r="F1" s="6282"/>
      <c r="G1" s="6282"/>
      <c r="H1" s="6282"/>
      <c r="I1" s="6282"/>
      <c r="J1" s="6282"/>
      <c r="K1" s="6282"/>
      <c r="L1" s="6282"/>
      <c r="M1" s="6282"/>
      <c r="N1" s="6282"/>
      <c r="O1" s="6282"/>
      <c r="P1" s="6282"/>
      <c r="Q1" s="6282"/>
      <c r="R1" s="6282"/>
      <c r="S1" s="6282"/>
      <c r="T1" s="6282"/>
      <c r="U1" s="6282"/>
      <c r="V1" s="6282"/>
      <c r="W1" s="6282"/>
      <c r="X1" s="6282"/>
      <c r="Y1" s="6282"/>
      <c r="Z1" s="6282"/>
      <c r="AA1" s="6282"/>
      <c r="AB1" s="6282"/>
      <c r="AC1" s="6282"/>
      <c r="AD1" s="6282"/>
      <c r="AE1" s="6282"/>
      <c r="AF1" s="6283"/>
      <c r="AG1" s="3126"/>
      <c r="AH1" s="3126"/>
      <c r="AI1" s="368"/>
      <c r="AJ1" s="6143" t="s">
        <v>1113</v>
      </c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  <c r="BG1" s="6143"/>
      <c r="BH1" s="6143"/>
    </row>
    <row r="2" spans="1:60">
      <c r="A2" s="6284"/>
      <c r="B2" s="6284"/>
      <c r="C2" s="3705">
        <v>1</v>
      </c>
      <c r="D2" s="3705">
        <v>2</v>
      </c>
      <c r="E2" s="3705">
        <v>3</v>
      </c>
      <c r="F2" s="3705">
        <v>4</v>
      </c>
      <c r="G2" s="3705">
        <v>5</v>
      </c>
      <c r="H2" s="3705">
        <v>6</v>
      </c>
      <c r="I2" s="3705">
        <v>7</v>
      </c>
      <c r="J2" s="3705">
        <v>8</v>
      </c>
      <c r="K2" s="3705">
        <v>9</v>
      </c>
      <c r="L2" s="3705">
        <v>10</v>
      </c>
      <c r="M2" s="3705">
        <v>11</v>
      </c>
      <c r="N2" s="3705">
        <v>12</v>
      </c>
      <c r="O2" s="3705">
        <v>13</v>
      </c>
      <c r="P2" s="3705">
        <v>14</v>
      </c>
      <c r="Q2" s="3705">
        <v>15</v>
      </c>
      <c r="R2" s="3705">
        <v>16</v>
      </c>
      <c r="S2" s="3705">
        <v>17</v>
      </c>
      <c r="T2" s="3705">
        <v>18</v>
      </c>
      <c r="U2" s="3705">
        <v>19</v>
      </c>
      <c r="V2" s="3705">
        <v>20</v>
      </c>
      <c r="W2" s="3705">
        <v>21</v>
      </c>
      <c r="X2" s="3705">
        <v>22</v>
      </c>
      <c r="Y2" s="3705">
        <v>23</v>
      </c>
      <c r="Z2" s="3705">
        <v>24</v>
      </c>
      <c r="AA2" s="3705">
        <v>25</v>
      </c>
      <c r="AB2" s="3705">
        <v>26</v>
      </c>
      <c r="AC2" s="3705">
        <v>27</v>
      </c>
      <c r="AD2" s="3705">
        <v>28</v>
      </c>
      <c r="AE2" s="3705">
        <v>29</v>
      </c>
      <c r="AF2" s="3176">
        <v>30</v>
      </c>
      <c r="AG2" s="3126"/>
      <c r="AH2" s="3126"/>
      <c r="AI2" s="368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</row>
    <row r="3" spans="1:60">
      <c r="A3" s="6285"/>
      <c r="B3" s="6285"/>
      <c r="C3" s="3177" t="s">
        <v>33</v>
      </c>
      <c r="D3" s="3177" t="s">
        <v>34</v>
      </c>
      <c r="E3" s="3706" t="s">
        <v>33</v>
      </c>
      <c r="F3" s="3706" t="s">
        <v>35</v>
      </c>
      <c r="G3" s="3178" t="s">
        <v>36</v>
      </c>
      <c r="H3" s="3178" t="s">
        <v>36</v>
      </c>
      <c r="I3" s="3177" t="s">
        <v>37</v>
      </c>
      <c r="J3" s="3177" t="s">
        <v>33</v>
      </c>
      <c r="K3" s="3706" t="s">
        <v>34</v>
      </c>
      <c r="L3" s="3706" t="s">
        <v>33</v>
      </c>
      <c r="M3" s="3706" t="s">
        <v>35</v>
      </c>
      <c r="N3" s="3178" t="s">
        <v>36</v>
      </c>
      <c r="O3" s="3178" t="s">
        <v>36</v>
      </c>
      <c r="P3" s="3177" t="s">
        <v>37</v>
      </c>
      <c r="Q3" s="3177" t="s">
        <v>33</v>
      </c>
      <c r="R3" s="3706" t="s">
        <v>34</v>
      </c>
      <c r="S3" s="3706" t="s">
        <v>33</v>
      </c>
      <c r="T3" s="2945" t="s">
        <v>35</v>
      </c>
      <c r="U3" s="3178" t="s">
        <v>36</v>
      </c>
      <c r="V3" s="3178" t="s">
        <v>36</v>
      </c>
      <c r="W3" s="3177" t="s">
        <v>37</v>
      </c>
      <c r="X3" s="3177" t="s">
        <v>33</v>
      </c>
      <c r="Y3" s="3706" t="s">
        <v>34</v>
      </c>
      <c r="Z3" s="3706" t="s">
        <v>33</v>
      </c>
      <c r="AA3" s="3706" t="s">
        <v>35</v>
      </c>
      <c r="AB3" s="3178" t="s">
        <v>36</v>
      </c>
      <c r="AC3" s="3178" t="s">
        <v>36</v>
      </c>
      <c r="AD3" s="3177" t="s">
        <v>37</v>
      </c>
      <c r="AE3" s="3177" t="s">
        <v>33</v>
      </c>
      <c r="AF3" s="3179" t="s">
        <v>34</v>
      </c>
      <c r="AG3" s="3126"/>
      <c r="AH3" s="3126"/>
      <c r="AI3" s="368"/>
      <c r="AJ3" s="6146" t="s">
        <v>1115</v>
      </c>
      <c r="AK3" s="6146"/>
      <c r="AL3" s="6146"/>
      <c r="AM3" s="6146"/>
      <c r="AN3" s="6146"/>
      <c r="AO3" s="6146"/>
      <c r="AP3" s="6146"/>
      <c r="AQ3" s="6146"/>
      <c r="AR3" s="6146"/>
      <c r="AS3" s="6146"/>
      <c r="AT3" s="6146"/>
      <c r="AU3" s="283"/>
      <c r="AV3" s="6146" t="s">
        <v>1116</v>
      </c>
      <c r="AW3" s="6146"/>
      <c r="AX3" s="6146"/>
      <c r="AY3" s="6146"/>
      <c r="AZ3" s="6146"/>
      <c r="BA3" s="6146"/>
      <c r="BB3" s="6146"/>
      <c r="BC3" s="283"/>
      <c r="BD3" s="283" t="s">
        <v>1135</v>
      </c>
      <c r="BE3" s="283"/>
      <c r="BF3" s="283"/>
      <c r="BG3" s="283"/>
      <c r="BH3" s="283"/>
    </row>
    <row r="4" spans="1:60">
      <c r="A4" s="6220" t="s">
        <v>1117</v>
      </c>
      <c r="B4" s="6220"/>
      <c r="C4" s="3155">
        <v>0</v>
      </c>
      <c r="D4" s="3155">
        <v>0</v>
      </c>
      <c r="E4" s="3155">
        <v>0</v>
      </c>
      <c r="F4" s="3155">
        <v>1</v>
      </c>
      <c r="G4" s="3155">
        <v>2</v>
      </c>
      <c r="H4" s="3217">
        <v>3</v>
      </c>
      <c r="I4" s="3155">
        <v>0</v>
      </c>
      <c r="J4" s="3155">
        <v>0</v>
      </c>
      <c r="K4" s="3155">
        <v>0</v>
      </c>
      <c r="L4" s="3155">
        <v>0</v>
      </c>
      <c r="M4" s="3155">
        <v>1</v>
      </c>
      <c r="N4" s="3155">
        <v>2</v>
      </c>
      <c r="O4" s="3155">
        <v>3</v>
      </c>
      <c r="P4" s="3155">
        <v>0</v>
      </c>
      <c r="Q4" s="3155">
        <v>0</v>
      </c>
      <c r="R4" s="3155">
        <v>0</v>
      </c>
      <c r="S4" s="3155">
        <v>1</v>
      </c>
      <c r="T4" s="3155">
        <v>2</v>
      </c>
      <c r="U4" s="3155">
        <v>2</v>
      </c>
      <c r="V4" s="3155">
        <v>3</v>
      </c>
      <c r="W4" s="3155">
        <v>0</v>
      </c>
      <c r="X4" s="3155">
        <v>0</v>
      </c>
      <c r="Y4" s="3155">
        <v>0</v>
      </c>
      <c r="Z4" s="3155">
        <v>0</v>
      </c>
      <c r="AA4" s="3155">
        <v>1</v>
      </c>
      <c r="AB4" s="3155">
        <v>2</v>
      </c>
      <c r="AC4" s="3155">
        <v>3</v>
      </c>
      <c r="AD4" s="3155">
        <v>0</v>
      </c>
      <c r="AE4" s="3155">
        <v>0</v>
      </c>
      <c r="AF4" s="3155">
        <v>0</v>
      </c>
      <c r="AG4" s="3126"/>
      <c r="AH4" s="3126"/>
      <c r="AI4" s="368" t="s">
        <v>1227</v>
      </c>
      <c r="AJ4" s="283" t="s">
        <v>1118</v>
      </c>
      <c r="AK4" s="283" t="s">
        <v>1119</v>
      </c>
      <c r="AL4" s="283" t="s">
        <v>1120</v>
      </c>
      <c r="AM4" s="283" t="s">
        <v>1121</v>
      </c>
      <c r="AN4" s="283" t="s">
        <v>1122</v>
      </c>
      <c r="AO4" s="283" t="s">
        <v>1123</v>
      </c>
      <c r="AP4" s="283" t="s">
        <v>1124</v>
      </c>
      <c r="AQ4" s="283" t="s">
        <v>1125</v>
      </c>
      <c r="AR4" s="283" t="s">
        <v>1126</v>
      </c>
      <c r="AS4" s="283" t="s">
        <v>1214</v>
      </c>
      <c r="AT4" s="283" t="s">
        <v>1127</v>
      </c>
      <c r="AU4" s="283"/>
      <c r="AV4" s="283" t="s">
        <v>1128</v>
      </c>
      <c r="AW4" s="283" t="s">
        <v>1129</v>
      </c>
      <c r="AX4" s="283" t="s">
        <v>1130</v>
      </c>
      <c r="AY4" s="283" t="s">
        <v>1131</v>
      </c>
      <c r="AZ4" s="283" t="s">
        <v>1132</v>
      </c>
      <c r="BA4" s="283" t="s">
        <v>1133</v>
      </c>
      <c r="BB4" s="283" t="s">
        <v>1134</v>
      </c>
      <c r="BC4" s="283"/>
      <c r="BD4" s="283"/>
      <c r="BE4" s="283"/>
      <c r="BF4" s="283"/>
      <c r="BG4" s="283"/>
      <c r="BH4" s="283"/>
    </row>
    <row r="5" spans="1:60">
      <c r="A5" s="3180"/>
      <c r="B5" s="3180"/>
      <c r="C5" s="6286" t="s">
        <v>482</v>
      </c>
      <c r="D5" s="6286"/>
      <c r="E5" s="6286"/>
      <c r="F5" s="6286"/>
      <c r="G5" s="3181"/>
      <c r="H5" s="3155"/>
      <c r="I5" s="3181"/>
      <c r="J5" s="3181"/>
      <c r="K5" s="3181"/>
      <c r="L5" s="3182" t="s">
        <v>720</v>
      </c>
      <c r="M5" s="3181"/>
      <c r="N5" s="3181"/>
      <c r="O5" s="3181"/>
      <c r="P5" s="3181"/>
      <c r="Q5" s="3182"/>
      <c r="R5" s="3181"/>
      <c r="S5" s="3181"/>
      <c r="T5" s="3181"/>
      <c r="U5" s="3182"/>
      <c r="V5" s="3183" t="s">
        <v>1025</v>
      </c>
      <c r="W5" s="6291" t="s">
        <v>667</v>
      </c>
      <c r="X5" s="6292"/>
      <c r="Y5" s="6293"/>
      <c r="Z5" s="3183" t="s">
        <v>1025</v>
      </c>
      <c r="AB5" s="3181"/>
      <c r="AC5" s="3181"/>
      <c r="AD5" s="3190" t="s">
        <v>722</v>
      </c>
      <c r="AE5" s="3181"/>
      <c r="AF5" s="3181"/>
      <c r="AG5" s="3126"/>
      <c r="AH5" s="3126"/>
      <c r="AI5" s="368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</row>
    <row r="6" spans="1:60" s="3202" customFormat="1">
      <c r="A6" s="3180" t="s">
        <v>561</v>
      </c>
      <c r="B6" s="3180" t="s">
        <v>718</v>
      </c>
      <c r="C6" s="3198">
        <v>1</v>
      </c>
      <c r="D6" s="3198">
        <v>2</v>
      </c>
      <c r="E6" s="3198">
        <v>2</v>
      </c>
      <c r="F6" s="3198">
        <v>3</v>
      </c>
      <c r="G6" s="3199">
        <v>0</v>
      </c>
      <c r="H6" s="3199">
        <v>0</v>
      </c>
      <c r="I6" s="3199">
        <v>0</v>
      </c>
      <c r="J6" s="3199">
        <v>0</v>
      </c>
      <c r="K6" s="3199">
        <v>0</v>
      </c>
      <c r="L6" s="3199">
        <v>8</v>
      </c>
      <c r="M6" s="3199">
        <v>0</v>
      </c>
      <c r="N6" s="3199">
        <v>0</v>
      </c>
      <c r="O6" s="3199">
        <v>0</v>
      </c>
      <c r="P6" s="3199">
        <v>0</v>
      </c>
      <c r="Q6" s="3199">
        <v>0</v>
      </c>
      <c r="R6" s="3199">
        <v>0</v>
      </c>
      <c r="S6" s="3199">
        <v>0</v>
      </c>
      <c r="T6" s="3199">
        <v>0</v>
      </c>
      <c r="U6" s="3199">
        <v>0</v>
      </c>
      <c r="V6" s="3199">
        <v>1</v>
      </c>
      <c r="W6" s="3199">
        <v>2</v>
      </c>
      <c r="X6" s="3199">
        <v>2</v>
      </c>
      <c r="Y6" s="3199">
        <v>2</v>
      </c>
      <c r="Z6" s="3199">
        <v>3</v>
      </c>
      <c r="AA6" s="3199">
        <v>0</v>
      </c>
      <c r="AB6" s="3199">
        <v>0</v>
      </c>
      <c r="AC6" s="3199">
        <v>0</v>
      </c>
      <c r="AD6" s="3199">
        <v>9</v>
      </c>
      <c r="AE6" s="3199">
        <v>0</v>
      </c>
      <c r="AF6" s="3199">
        <v>0</v>
      </c>
      <c r="AG6" s="3200"/>
      <c r="AH6" s="3200"/>
      <c r="AI6" s="3230">
        <v>0</v>
      </c>
      <c r="AJ6" s="283" cm="1">
        <f t="array" ref="AJ6">SUM(COUNTIFS($C6:$AG6,{"0","4","5","6","7","8","9"}))</f>
        <v>21</v>
      </c>
      <c r="AK6" s="283" cm="1">
        <f t="array" ref="AK6">SUM(COUNTIFS($C6:$AG6,{"0","4","5","6","7","8","9"},$C$4:$AG$4,"0"))</f>
        <v>10</v>
      </c>
      <c r="AL6" s="283" cm="1">
        <f t="array" ref="AL6">SUM(COUNTIFS($C6:$AG6,{"0","4","5","6","7","8","9"},$C$4:$AG$4,"1"))</f>
        <v>3</v>
      </c>
      <c r="AM6" s="283" cm="1">
        <f t="array" ref="AM6">SUM(COUNTIFS($C6:$AG6,{"0","4","5","6","7","8","9"},$C$4:$AG$4,"2"))</f>
        <v>5</v>
      </c>
      <c r="AN6" s="283" cm="1">
        <f t="array" ref="AN6">SUM(COUNTIFS($C6:$AG6,{"0","4","5","6","7","8","9"},$C$4:$AG$4,"3"))</f>
        <v>3</v>
      </c>
      <c r="AO6" s="283" cm="1">
        <f t="array" ref="AO6">SUM(COUNTIFS($C6:$AG6,{"1","2","3"}))</f>
        <v>9</v>
      </c>
      <c r="AP6" s="283" cm="1">
        <f t="array" ref="AP6">SUM(COUNTIFS($C6:$AG6,{"4","5","6"}))</f>
        <v>0</v>
      </c>
      <c r="AQ6" s="283">
        <f>AK6*'Spreadsheet Key'!$A$23 + AL6*'Spreadsheet Key'!$A$24 + AM6*'Spreadsheet Key'!$A$25 + AN6*'Spreadsheet Key'!$A$26</f>
        <v>910</v>
      </c>
      <c r="AR6" s="3228">
        <f>(AJ6/('APR Statistics'!$B$28))*ABS(AI6-1)</f>
        <v>4.0076335877862593E-2</v>
      </c>
      <c r="AS6" s="3231">
        <f>AT6*AI6</f>
        <v>0</v>
      </c>
      <c r="AT6" s="3229">
        <f>AR6*'APR Statistics'!$C$11</f>
        <v>38.841984732824429</v>
      </c>
      <c r="AU6" s="283"/>
      <c r="AV6" s="283">
        <f>COUNTIFS($C6:$AG6,"8",$C$4:$AG$4,"0")</f>
        <v>1</v>
      </c>
      <c r="AW6" s="283">
        <f>COUNTIFS($C6:$AG6,"9",$C$4:$AG$4,"0")</f>
        <v>1</v>
      </c>
      <c r="AX6" s="283">
        <f>COUNTIFS($C6:$AG6,"8",$C$4:$AG$4,"1")</f>
        <v>0</v>
      </c>
      <c r="AY6" s="283" cm="1">
        <f t="array" ref="AY6">COUNTIFS($C6:$AG6,"9",$C$4:$AG$4,"1")+SUM(COUNTIFS($C6:$AG6,{"8","9"},$C$4:$AG$4,"2"))+COUNTIFS($C6:$AG6,"8",$C$4:$AG$4,"3")</f>
        <v>0</v>
      </c>
      <c r="AZ6" s="283">
        <f>COUNTIFS($C6:$AG6,"9",$C$4:$AG$4,"3")</f>
        <v>0</v>
      </c>
      <c r="BA6" s="283">
        <f>SUM(AV6:AZ6)</f>
        <v>2</v>
      </c>
      <c r="BB6" s="283">
        <f>AV6*'Spreadsheet Key'!$A$27+AW6*'Spreadsheet Key'!$A$28+AX6*'Spreadsheet Key'!$A$29+AY6*'Spreadsheet Key'!$A$30+AZ6*'Spreadsheet Key'!$A$31</f>
        <v>22</v>
      </c>
      <c r="BC6" s="283"/>
      <c r="BD6" s="283">
        <f>AT6-BB6</f>
        <v>16.841984732824429</v>
      </c>
      <c r="BE6" s="3201"/>
      <c r="BF6" s="3201"/>
      <c r="BG6" s="3201"/>
      <c r="BH6" s="3201"/>
    </row>
    <row r="7" spans="1:60">
      <c r="A7" s="3197"/>
      <c r="B7" s="3197"/>
      <c r="C7" s="3181"/>
      <c r="D7" s="3181"/>
      <c r="E7" s="3181"/>
      <c r="F7" s="3181"/>
      <c r="G7" s="3181"/>
      <c r="H7" s="3181"/>
      <c r="I7" s="3181"/>
      <c r="J7" s="3182" t="s">
        <v>722</v>
      </c>
      <c r="K7" s="3181"/>
      <c r="L7" s="3010" t="s">
        <v>1025</v>
      </c>
      <c r="M7" s="6249" t="s">
        <v>1231</v>
      </c>
      <c r="N7" s="6249"/>
      <c r="O7" s="3010" t="s">
        <v>1025</v>
      </c>
      <c r="P7" s="3181"/>
      <c r="Q7" s="3181"/>
      <c r="R7" s="3181"/>
      <c r="S7" s="3181"/>
      <c r="T7" s="3181"/>
      <c r="U7" s="3181"/>
      <c r="V7" s="3182" t="s">
        <v>720</v>
      </c>
      <c r="W7" s="3181"/>
      <c r="X7" s="3181"/>
      <c r="Y7" s="3181"/>
      <c r="Z7" s="3181"/>
      <c r="AA7" s="3181"/>
      <c r="AB7" s="3181"/>
      <c r="AC7" s="3181"/>
      <c r="AD7" s="3181"/>
      <c r="AE7" s="3181"/>
      <c r="AF7" s="3218" t="s">
        <v>720</v>
      </c>
      <c r="AG7" s="3126"/>
      <c r="AH7" s="3126"/>
      <c r="AI7" s="3230"/>
      <c r="AJ7" s="283" cm="1">
        <f t="array" ref="AJ7">SUM(COUNTIFS($C7:$AG7,{"0","4","5","6","7","8","9"}))</f>
        <v>0</v>
      </c>
      <c r="AK7" s="283" cm="1">
        <f t="array" ref="AK7">SUM(COUNTIFS($C7:$AG7,{"0","4","5","6","7","8","9"},$C$4:$AG$4,"0"))</f>
        <v>0</v>
      </c>
      <c r="AL7" s="283" cm="1">
        <f t="array" ref="AL7">SUM(COUNTIFS($C7:$AG7,{"0","4","5","6","7","8","9"},$C$4:$AG$4,"1"))</f>
        <v>0</v>
      </c>
      <c r="AM7" s="283" cm="1">
        <f t="array" ref="AM7">SUM(COUNTIFS($C7:$AG7,{"0","4","5","6","7","8","9"},$C$4:$AG$4,"2"))</f>
        <v>0</v>
      </c>
      <c r="AN7" s="283" cm="1">
        <f t="array" ref="AN7">SUM(COUNTIFS($C7:$AG7,{"0","4","5","6","7","8","9"},$C$4:$AG$4,"3"))</f>
        <v>0</v>
      </c>
      <c r="AO7" s="283" cm="1">
        <f t="array" ref="AO7">SUM(COUNTIFS($C7:$AG7,{"1","2","3"}))</f>
        <v>0</v>
      </c>
      <c r="AP7" s="283" cm="1">
        <f t="array" ref="AP7">SUM(COUNTIFS($C7:$AG7,{"4","5","6"}))</f>
        <v>0</v>
      </c>
      <c r="AQ7" s="283">
        <f>AK7*'Spreadsheet Key'!$A$23 + AL7*'Spreadsheet Key'!$A$24 + AM7*'Spreadsheet Key'!$A$25 + AN7*'Spreadsheet Key'!$A$26</f>
        <v>0</v>
      </c>
      <c r="AR7" s="3228">
        <f>(AJ7/('APR Statistics'!$B$28))*ABS(AI7-1)</f>
        <v>0</v>
      </c>
      <c r="AS7" s="3231">
        <f t="shared" ref="AS7:AS66" si="0">AT7*AI7</f>
        <v>0</v>
      </c>
      <c r="AT7" s="3229">
        <f>AR7*'APR Statistics'!$C$11</f>
        <v>0</v>
      </c>
      <c r="AU7" s="283"/>
      <c r="AV7" s="283">
        <f t="shared" ref="AV7:AV66" si="1">COUNTIFS($C7:$AG7,"8",$C$4:$AG$4,"0")</f>
        <v>0</v>
      </c>
      <c r="AW7" s="283">
        <f t="shared" ref="AW7:AW66" si="2">COUNTIFS($C7:$AG7,"9",$C$4:$AG$4,"0")</f>
        <v>0</v>
      </c>
      <c r="AX7" s="283">
        <f t="shared" ref="AX7:AX66" si="3">COUNTIFS($C7:$AG7,"8",$C$4:$AG$4,"1")</f>
        <v>0</v>
      </c>
      <c r="AY7" s="283" cm="1">
        <f t="array" ref="AY7">COUNTIFS($C7:$AG7,"9",$C$4:$AG$4,"1")+SUM(COUNTIFS($C7:$AG7,{"8","9"},$C$4:$AG$4,"2"))+COUNTIFS($C7:$AG7,"8",$C$4:$AG$4,"3")</f>
        <v>0</v>
      </c>
      <c r="AZ7" s="283">
        <f t="shared" ref="AZ7:AZ66" si="4">COUNTIFS($C7:$AG7,"9",$C$4:$AG$4,"3")</f>
        <v>0</v>
      </c>
      <c r="BA7" s="283">
        <f t="shared" ref="BA7:BA66" si="5">SUM(AV7:AZ7)</f>
        <v>0</v>
      </c>
      <c r="BB7" s="283">
        <f>AV7*'Spreadsheet Key'!$A$27+AW7*'Spreadsheet Key'!$A$28+AX7*'Spreadsheet Key'!$A$29+AY7*'Spreadsheet Key'!$A$30+AZ7*'Spreadsheet Key'!$A$31</f>
        <v>0</v>
      </c>
      <c r="BC7" s="283"/>
      <c r="BD7" s="283"/>
      <c r="BE7" s="283"/>
      <c r="BF7" s="283"/>
      <c r="BG7" s="283"/>
      <c r="BH7" s="283"/>
    </row>
    <row r="8" spans="1:60" s="3211" customFormat="1">
      <c r="A8" s="3180" t="s">
        <v>326</v>
      </c>
      <c r="B8" s="3180" t="s">
        <v>327</v>
      </c>
      <c r="C8" s="3199">
        <v>0</v>
      </c>
      <c r="D8" s="3199">
        <v>0</v>
      </c>
      <c r="E8" s="3199">
        <v>0</v>
      </c>
      <c r="F8" s="3199">
        <v>0</v>
      </c>
      <c r="G8" s="3199">
        <v>0</v>
      </c>
      <c r="H8" s="3199">
        <v>0</v>
      </c>
      <c r="I8" s="3199">
        <v>0</v>
      </c>
      <c r="J8" s="3199">
        <v>9</v>
      </c>
      <c r="K8" s="3199">
        <v>0</v>
      </c>
      <c r="L8" s="3199">
        <v>1</v>
      </c>
      <c r="M8" s="3199">
        <v>2</v>
      </c>
      <c r="N8" s="3199">
        <v>2</v>
      </c>
      <c r="O8" s="3199">
        <v>3</v>
      </c>
      <c r="P8" s="3199">
        <v>0</v>
      </c>
      <c r="Q8" s="3199">
        <v>0</v>
      </c>
      <c r="R8" s="3199">
        <v>0</v>
      </c>
      <c r="S8" s="3199">
        <v>0</v>
      </c>
      <c r="T8" s="3199">
        <v>0</v>
      </c>
      <c r="U8" s="3199">
        <v>0</v>
      </c>
      <c r="V8" s="3199">
        <v>8</v>
      </c>
      <c r="W8" s="3199">
        <v>0</v>
      </c>
      <c r="X8" s="3199">
        <v>0</v>
      </c>
      <c r="Y8" s="3199">
        <v>0</v>
      </c>
      <c r="Z8" s="3199">
        <v>0</v>
      </c>
      <c r="AA8" s="3199">
        <v>0</v>
      </c>
      <c r="AB8" s="3199">
        <v>0</v>
      </c>
      <c r="AC8" s="3199">
        <v>0</v>
      </c>
      <c r="AD8" s="3199">
        <v>0</v>
      </c>
      <c r="AE8" s="3199">
        <v>0</v>
      </c>
      <c r="AF8" s="3199">
        <v>8</v>
      </c>
      <c r="AG8" s="3209"/>
      <c r="AH8" s="3209"/>
      <c r="AI8" s="3230">
        <v>0</v>
      </c>
      <c r="AJ8" s="283" cm="1">
        <f t="array" ref="AJ8">SUM(COUNTIFS($C8:$AG8,{"0","4","5","6","7","8","9"}))</f>
        <v>26</v>
      </c>
      <c r="AK8" s="283" cm="1">
        <f t="array" ref="AK8">SUM(COUNTIFS($C8:$AG8,{"0","4","5","6","7","8","9"},$C$4:$AG$4,"0"))</f>
        <v>16</v>
      </c>
      <c r="AL8" s="283" cm="1">
        <f t="array" ref="AL8">SUM(COUNTIFS($C8:$AG8,{"0","4","5","6","7","8","9"},$C$4:$AG$4,"1"))</f>
        <v>3</v>
      </c>
      <c r="AM8" s="283" cm="1">
        <f t="array" ref="AM8">SUM(COUNTIFS($C8:$AG8,{"0","4","5","6","7","8","9"},$C$4:$AG$4,"2"))</f>
        <v>4</v>
      </c>
      <c r="AN8" s="283" cm="1">
        <f t="array" ref="AN8">SUM(COUNTIFS($C8:$AG8,{"0","4","5","6","7","8","9"},$C$4:$AG$4,"3"))</f>
        <v>3</v>
      </c>
      <c r="AO8" s="283" cm="1">
        <f t="array" ref="AO8">SUM(COUNTIFS($C8:$AG8,{"1","2","3"}))</f>
        <v>4</v>
      </c>
      <c r="AP8" s="283" cm="1">
        <f t="array" ref="AP8">SUM(COUNTIFS($C8:$AG8,{"4","5","6"}))</f>
        <v>0</v>
      </c>
      <c r="AQ8" s="283">
        <f>AK8*'Spreadsheet Key'!$A$23 + AL8*'Spreadsheet Key'!$A$24 + AM8*'Spreadsheet Key'!$A$25 + AN8*'Spreadsheet Key'!$A$26</f>
        <v>970</v>
      </c>
      <c r="AR8" s="3228">
        <f>(AJ8/('APR Statistics'!$B$28))*ABS(AI8-1)</f>
        <v>4.9618320610687022E-2</v>
      </c>
      <c r="AS8" s="3231">
        <f t="shared" si="0"/>
        <v>0</v>
      </c>
      <c r="AT8" s="3229">
        <f>AR8*'APR Statistics'!$C$11</f>
        <v>48.090076335877868</v>
      </c>
      <c r="AU8" s="283"/>
      <c r="AV8" s="283">
        <f t="shared" si="1"/>
        <v>1</v>
      </c>
      <c r="AW8" s="283">
        <f t="shared" si="2"/>
        <v>1</v>
      </c>
      <c r="AX8" s="283">
        <f t="shared" si="3"/>
        <v>0</v>
      </c>
      <c r="AY8" s="283" cm="1">
        <f t="array" ref="AY8">COUNTIFS($C8:$AG8,"9",$C$4:$AG$4,"1")+SUM(COUNTIFS($C8:$AG8,{"8","9"},$C$4:$AG$4,"2"))+COUNTIFS($C8:$AG8,"8",$C$4:$AG$4,"3")</f>
        <v>1</v>
      </c>
      <c r="AZ8" s="283">
        <f t="shared" si="4"/>
        <v>0</v>
      </c>
      <c r="BA8" s="283">
        <f t="shared" si="5"/>
        <v>3</v>
      </c>
      <c r="BB8" s="283">
        <f>AV8*'Spreadsheet Key'!$A$27+AW8*'Spreadsheet Key'!$A$28+AX8*'Spreadsheet Key'!$A$29+AY8*'Spreadsheet Key'!$A$30+AZ8*'Spreadsheet Key'!$A$31</f>
        <v>58</v>
      </c>
      <c r="BC8" s="283"/>
      <c r="BD8" s="283">
        <f t="shared" ref="BD8" si="6">AT8-BB8</f>
        <v>-9.9099236641221324</v>
      </c>
      <c r="BE8" s="3210"/>
      <c r="BF8" s="3210"/>
      <c r="BG8" s="3210"/>
      <c r="BH8" s="3210"/>
    </row>
    <row r="9" spans="1:60">
      <c r="A9" s="3208"/>
      <c r="B9" s="3208"/>
      <c r="C9" s="6267" t="s">
        <v>1260</v>
      </c>
      <c r="D9" s="6267"/>
      <c r="E9" s="3183" t="s">
        <v>1025</v>
      </c>
      <c r="F9" s="3181"/>
      <c r="G9" s="3183" t="s">
        <v>1025</v>
      </c>
      <c r="H9" s="3183" t="s">
        <v>1025</v>
      </c>
      <c r="I9" s="6276" t="s">
        <v>1261</v>
      </c>
      <c r="J9" s="6277"/>
      <c r="K9" s="6277"/>
      <c r="L9" s="6277"/>
      <c r="M9" s="6277"/>
      <c r="N9" s="3183" t="s">
        <v>1025</v>
      </c>
      <c r="O9" s="3183" t="s">
        <v>1025</v>
      </c>
      <c r="P9" s="3181"/>
      <c r="Q9" s="3181"/>
      <c r="R9" s="3181"/>
      <c r="S9" s="3181"/>
      <c r="T9" s="3181"/>
      <c r="U9" s="3182" t="s">
        <v>720</v>
      </c>
      <c r="V9" s="3181"/>
      <c r="W9" s="3181"/>
      <c r="X9" s="6276" t="s">
        <v>1262</v>
      </c>
      <c r="Y9" s="6276"/>
      <c r="Z9" s="6276"/>
      <c r="AA9" s="6276"/>
      <c r="AB9" s="6276"/>
      <c r="AC9" s="6276"/>
      <c r="AD9" s="3181"/>
      <c r="AE9" s="3182" t="s">
        <v>722</v>
      </c>
      <c r="AF9" s="3181"/>
      <c r="AG9" s="3126"/>
      <c r="AH9" s="3126"/>
      <c r="AI9" s="3230"/>
      <c r="AJ9" s="283" cm="1">
        <f t="array" ref="AJ9">SUM(COUNTIFS($C9:$AG9,{"0","4","5","6","7","8","9"}))</f>
        <v>0</v>
      </c>
      <c r="AK9" s="283" cm="1">
        <f t="array" ref="AK9">SUM(COUNTIFS($C9:$AG9,{"0","4","5","6","7","8","9"},$C$4:$AG$4,"0"))</f>
        <v>0</v>
      </c>
      <c r="AL9" s="283" cm="1">
        <f t="array" ref="AL9">SUM(COUNTIFS($C9:$AG9,{"0","4","5","6","7","8","9"},$C$4:$AG$4,"1"))</f>
        <v>0</v>
      </c>
      <c r="AM9" s="283" cm="1">
        <f t="array" ref="AM9">SUM(COUNTIFS($C9:$AG9,{"0","4","5","6","7","8","9"},$C$4:$AG$4,"2"))</f>
        <v>0</v>
      </c>
      <c r="AN9" s="283" cm="1">
        <f t="array" ref="AN9">SUM(COUNTIFS($C9:$AG9,{"0","4","5","6","7","8","9"},$C$4:$AG$4,"3"))</f>
        <v>0</v>
      </c>
      <c r="AO9" s="283" cm="1">
        <f t="array" ref="AO9">SUM(COUNTIFS($C9:$AG9,{"1","2","3"}))</f>
        <v>0</v>
      </c>
      <c r="AP9" s="283" cm="1">
        <f t="array" ref="AP9">SUM(COUNTIFS($C9:$AG9,{"4","5","6"}))</f>
        <v>0</v>
      </c>
      <c r="AQ9" s="283">
        <f>AK9*'Spreadsheet Key'!$A$23 + AL9*'Spreadsheet Key'!$A$24 + AM9*'Spreadsheet Key'!$A$25 + AN9*'Spreadsheet Key'!$A$26</f>
        <v>0</v>
      </c>
      <c r="AR9" s="3228">
        <f>(AJ9/('APR Statistics'!$B$28))*ABS(AI9-1)</f>
        <v>0</v>
      </c>
      <c r="AS9" s="3231">
        <f t="shared" si="0"/>
        <v>0</v>
      </c>
      <c r="AT9" s="3229">
        <f>AR9*'APR Statistics'!$C$11</f>
        <v>0</v>
      </c>
      <c r="AU9" s="283"/>
      <c r="AV9" s="283">
        <f t="shared" si="1"/>
        <v>0</v>
      </c>
      <c r="AW9" s="283">
        <f t="shared" si="2"/>
        <v>0</v>
      </c>
      <c r="AX9" s="283">
        <f t="shared" si="3"/>
        <v>0</v>
      </c>
      <c r="AY9" s="283" cm="1">
        <f t="array" ref="AY9">COUNTIFS($C9:$AG9,"9",$C$4:$AG$4,"1")+SUM(COUNTIFS($C9:$AG9,{"8","9"},$C$4:$AG$4,"2"))+COUNTIFS($C9:$AG9,"8",$C$4:$AG$4,"3")</f>
        <v>0</v>
      </c>
      <c r="AZ9" s="283">
        <f t="shared" si="4"/>
        <v>0</v>
      </c>
      <c r="BA9" s="283">
        <f t="shared" si="5"/>
        <v>0</v>
      </c>
      <c r="BB9" s="283">
        <f>AV9*'Spreadsheet Key'!$A$27+AW9*'Spreadsheet Key'!$A$28+AX9*'Spreadsheet Key'!$A$29+AY9*'Spreadsheet Key'!$A$30+AZ9*'Spreadsheet Key'!$A$31</f>
        <v>0</v>
      </c>
      <c r="BC9" s="283"/>
      <c r="BD9" s="283"/>
      <c r="BE9" s="283"/>
      <c r="BF9" s="283"/>
      <c r="BG9" s="283"/>
      <c r="BH9" s="283"/>
    </row>
    <row r="10" spans="1:60" s="3211" customFormat="1">
      <c r="A10" s="3180" t="s">
        <v>606</v>
      </c>
      <c r="B10" s="3180" t="s">
        <v>98</v>
      </c>
      <c r="C10" s="3199">
        <v>2</v>
      </c>
      <c r="D10" s="3199">
        <v>2</v>
      </c>
      <c r="E10" s="3199">
        <v>3</v>
      </c>
      <c r="F10" s="3199">
        <v>0</v>
      </c>
      <c r="G10" s="3199">
        <v>1</v>
      </c>
      <c r="H10" s="3199">
        <v>1</v>
      </c>
      <c r="I10" s="3199">
        <v>2</v>
      </c>
      <c r="J10" s="3199">
        <v>2</v>
      </c>
      <c r="K10" s="3199">
        <v>2</v>
      </c>
      <c r="L10" s="3199">
        <v>2</v>
      </c>
      <c r="M10" s="3199">
        <v>2</v>
      </c>
      <c r="N10" s="3199">
        <v>3</v>
      </c>
      <c r="O10" s="3199">
        <v>3</v>
      </c>
      <c r="P10" s="3199">
        <v>0</v>
      </c>
      <c r="Q10" s="3199">
        <v>0</v>
      </c>
      <c r="R10" s="3199">
        <v>0</v>
      </c>
      <c r="S10" s="3199">
        <v>0</v>
      </c>
      <c r="T10" s="3199">
        <v>0</v>
      </c>
      <c r="U10" s="3199">
        <v>8</v>
      </c>
      <c r="V10" s="3199">
        <v>0</v>
      </c>
      <c r="W10" s="3199">
        <v>0</v>
      </c>
      <c r="X10" s="3199">
        <v>1</v>
      </c>
      <c r="Y10" s="3199">
        <v>2</v>
      </c>
      <c r="Z10" s="3199">
        <v>2</v>
      </c>
      <c r="AA10" s="3199">
        <v>2</v>
      </c>
      <c r="AB10" s="3199">
        <v>2</v>
      </c>
      <c r="AC10" s="3199">
        <v>3</v>
      </c>
      <c r="AD10" s="3199">
        <v>0</v>
      </c>
      <c r="AE10" s="3199">
        <v>9</v>
      </c>
      <c r="AF10" s="3199">
        <v>0</v>
      </c>
      <c r="AG10" s="3209"/>
      <c r="AH10" s="3209"/>
      <c r="AI10" s="3230">
        <v>0</v>
      </c>
      <c r="AJ10" s="283" cm="1">
        <f t="array" ref="AJ10">SUM(COUNTIFS($C10:$AG10,{"0","4","5","6","7","8","9"}))</f>
        <v>12</v>
      </c>
      <c r="AK10" s="283" cm="1">
        <f t="array" ref="AK10">SUM(COUNTIFS($C10:$AG10,{"0","4","5","6","7","8","9"},$C$4:$AG$4,"0"))</f>
        <v>7</v>
      </c>
      <c r="AL10" s="283" cm="1">
        <f t="array" ref="AL10">SUM(COUNTIFS($C10:$AG10,{"0","4","5","6","7","8","9"},$C$4:$AG$4,"1"))</f>
        <v>2</v>
      </c>
      <c r="AM10" s="283" cm="1">
        <f t="array" ref="AM10">SUM(COUNTIFS($C10:$AG10,{"0","4","5","6","7","8","9"},$C$4:$AG$4,"2"))</f>
        <v>2</v>
      </c>
      <c r="AN10" s="283" cm="1">
        <f t="array" ref="AN10">SUM(COUNTIFS($C10:$AG10,{"0","4","5","6","7","8","9"},$C$4:$AG$4,"3"))</f>
        <v>1</v>
      </c>
      <c r="AO10" s="283" cm="1">
        <f t="array" ref="AO10">SUM(COUNTIFS($C10:$AG10,{"1","2","3"}))</f>
        <v>18</v>
      </c>
      <c r="AP10" s="283" cm="1">
        <f t="array" ref="AP10">SUM(COUNTIFS($C10:$AG10,{"4","5","6"}))</f>
        <v>0</v>
      </c>
      <c r="AQ10" s="283">
        <f>AK10*'Spreadsheet Key'!$A$23 + AL10*'Spreadsheet Key'!$A$24 + AM10*'Spreadsheet Key'!$A$25 + AN10*'Spreadsheet Key'!$A$26</f>
        <v>462</v>
      </c>
      <c r="AR10" s="3228">
        <f>(AJ10/('APR Statistics'!$B$28))*ABS(AI10-1)</f>
        <v>2.2900763358778626E-2</v>
      </c>
      <c r="AS10" s="3231">
        <f t="shared" si="0"/>
        <v>0</v>
      </c>
      <c r="AT10" s="3229">
        <f>AR10*'APR Statistics'!$C$11</f>
        <v>22.195419847328246</v>
      </c>
      <c r="AU10" s="283"/>
      <c r="AV10" s="283">
        <f t="shared" si="1"/>
        <v>0</v>
      </c>
      <c r="AW10" s="283">
        <f t="shared" si="2"/>
        <v>1</v>
      </c>
      <c r="AX10" s="283">
        <f t="shared" si="3"/>
        <v>0</v>
      </c>
      <c r="AY10" s="283" cm="1">
        <f t="array" ref="AY10">COUNTIFS($C10:$AG10,"9",$C$4:$AG$4,"1")+SUM(COUNTIFS($C10:$AG10,{"8","9"},$C$4:$AG$4,"2"))+COUNTIFS($C10:$AG10,"8",$C$4:$AG$4,"3")</f>
        <v>1</v>
      </c>
      <c r="AZ10" s="283">
        <f t="shared" si="4"/>
        <v>0</v>
      </c>
      <c r="BA10" s="283">
        <f t="shared" si="5"/>
        <v>2</v>
      </c>
      <c r="BB10" s="283">
        <f>AV10*'Spreadsheet Key'!$A$27+AW10*'Spreadsheet Key'!$A$28+AX10*'Spreadsheet Key'!$A$29+AY10*'Spreadsheet Key'!$A$30+AZ10*'Spreadsheet Key'!$A$31</f>
        <v>48</v>
      </c>
      <c r="BC10" s="283"/>
      <c r="BD10" s="283">
        <f t="shared" ref="BD10" si="7">AT10-BB10</f>
        <v>-25.804580152671754</v>
      </c>
      <c r="BE10" s="3210"/>
      <c r="BF10" s="3210"/>
      <c r="BG10" s="3210"/>
      <c r="BH10" s="3210"/>
    </row>
    <row r="11" spans="1:60">
      <c r="A11" s="3208"/>
      <c r="B11" s="3208"/>
      <c r="C11" s="3184"/>
      <c r="D11" s="3185"/>
      <c r="E11" s="3184"/>
      <c r="F11" s="3186"/>
      <c r="G11" s="6276" t="s">
        <v>112</v>
      </c>
      <c r="H11" s="6276"/>
      <c r="I11" s="6276"/>
      <c r="J11" s="6276"/>
      <c r="K11" s="3181"/>
      <c r="L11" s="3182"/>
      <c r="M11" s="3181"/>
      <c r="N11" s="3181"/>
      <c r="O11" s="3181"/>
      <c r="P11" s="3181"/>
      <c r="Q11" s="6268" t="s">
        <v>1263</v>
      </c>
      <c r="R11" s="6268"/>
      <c r="S11" s="3182"/>
      <c r="T11" s="3181"/>
      <c r="U11" s="3181"/>
      <c r="V11" s="3181"/>
      <c r="W11" s="3181"/>
      <c r="X11" s="3181"/>
      <c r="Y11" s="3181"/>
      <c r="Z11" s="3182"/>
      <c r="AA11" s="3190" t="s">
        <v>720</v>
      </c>
      <c r="AB11" s="3181"/>
      <c r="AC11" s="3181"/>
      <c r="AD11" s="3181"/>
      <c r="AE11" s="3181"/>
      <c r="AF11" s="3181"/>
      <c r="AG11" s="3126"/>
      <c r="AH11" s="3126"/>
      <c r="AI11" s="3230"/>
      <c r="AJ11" s="283" cm="1">
        <f t="array" ref="AJ11">SUM(COUNTIFS($C11:$AG11,{"0","4","5","6","7","8","9"}))</f>
        <v>0</v>
      </c>
      <c r="AK11" s="283" cm="1">
        <f t="array" ref="AK11">SUM(COUNTIFS($C11:$AG11,{"0","4","5","6","7","8","9"},$C$4:$AG$4,"0"))</f>
        <v>0</v>
      </c>
      <c r="AL11" s="283" cm="1">
        <f t="array" ref="AL11">SUM(COUNTIFS($C11:$AG11,{"0","4","5","6","7","8","9"},$C$4:$AG$4,"1"))</f>
        <v>0</v>
      </c>
      <c r="AM11" s="283" cm="1">
        <f t="array" ref="AM11">SUM(COUNTIFS($C11:$AG11,{"0","4","5","6","7","8","9"},$C$4:$AG$4,"2"))</f>
        <v>0</v>
      </c>
      <c r="AN11" s="283" cm="1">
        <f t="array" ref="AN11">SUM(COUNTIFS($C11:$AG11,{"0","4","5","6","7","8","9"},$C$4:$AG$4,"3"))</f>
        <v>0</v>
      </c>
      <c r="AO11" s="283" cm="1">
        <f t="array" ref="AO11">SUM(COUNTIFS($C11:$AG11,{"1","2","3"}))</f>
        <v>0</v>
      </c>
      <c r="AP11" s="283" cm="1">
        <f t="array" ref="AP11">SUM(COUNTIFS($C11:$AG11,{"4","5","6"}))</f>
        <v>0</v>
      </c>
      <c r="AQ11" s="283">
        <f>AK11*'Spreadsheet Key'!$A$23 + AL11*'Spreadsheet Key'!$A$24 + AM11*'Spreadsheet Key'!$A$25 + AN11*'Spreadsheet Key'!$A$26</f>
        <v>0</v>
      </c>
      <c r="AR11" s="3228">
        <f>(AJ11/('APR Statistics'!$B$28))*ABS(AI11-1)</f>
        <v>0</v>
      </c>
      <c r="AS11" s="3231">
        <f t="shared" si="0"/>
        <v>0</v>
      </c>
      <c r="AT11" s="3229">
        <f>AR11*'APR Statistics'!$C$11</f>
        <v>0</v>
      </c>
      <c r="AU11" s="283"/>
      <c r="AV11" s="283">
        <f t="shared" si="1"/>
        <v>0</v>
      </c>
      <c r="AW11" s="283">
        <f t="shared" si="2"/>
        <v>0</v>
      </c>
      <c r="AX11" s="283">
        <f t="shared" si="3"/>
        <v>0</v>
      </c>
      <c r="AY11" s="283" cm="1">
        <f t="array" ref="AY11">COUNTIFS($C11:$AG11,"9",$C$4:$AG$4,"1")+SUM(COUNTIFS($C11:$AG11,{"8","9"},$C$4:$AG$4,"2"))+COUNTIFS($C11:$AG11,"8",$C$4:$AG$4,"3")</f>
        <v>0</v>
      </c>
      <c r="AZ11" s="283">
        <f t="shared" si="4"/>
        <v>0</v>
      </c>
      <c r="BA11" s="283">
        <f t="shared" si="5"/>
        <v>0</v>
      </c>
      <c r="BB11" s="283">
        <f>AV11*'Spreadsheet Key'!$A$27+AW11*'Spreadsheet Key'!$A$28+AX11*'Spreadsheet Key'!$A$29+AY11*'Spreadsheet Key'!$A$30+AZ11*'Spreadsheet Key'!$A$31</f>
        <v>0</v>
      </c>
      <c r="BC11" s="283"/>
      <c r="BD11" s="283"/>
      <c r="BE11" s="283"/>
      <c r="BF11" s="283"/>
      <c r="BG11" s="283"/>
      <c r="BH11" s="283"/>
    </row>
    <row r="12" spans="1:60" s="3211" customFormat="1">
      <c r="A12" s="3180" t="s">
        <v>100</v>
      </c>
      <c r="B12" s="3180" t="s">
        <v>725</v>
      </c>
      <c r="C12" s="3203">
        <v>0</v>
      </c>
      <c r="D12" s="3203">
        <v>0</v>
      </c>
      <c r="E12" s="3203">
        <v>0</v>
      </c>
      <c r="F12" s="3199">
        <v>0</v>
      </c>
      <c r="G12" s="3199">
        <v>1</v>
      </c>
      <c r="H12" s="3199">
        <v>2</v>
      </c>
      <c r="I12" s="3199">
        <v>2</v>
      </c>
      <c r="J12" s="3199">
        <v>3</v>
      </c>
      <c r="K12" s="3199">
        <v>0</v>
      </c>
      <c r="L12" s="3199">
        <v>0</v>
      </c>
      <c r="M12" s="3199">
        <v>0</v>
      </c>
      <c r="N12" s="3199">
        <v>0</v>
      </c>
      <c r="O12" s="3199">
        <v>0</v>
      </c>
      <c r="P12" s="3199">
        <v>0</v>
      </c>
      <c r="Q12" s="3199">
        <v>7</v>
      </c>
      <c r="R12" s="3199">
        <v>7</v>
      </c>
      <c r="S12" s="3199">
        <v>0</v>
      </c>
      <c r="T12" s="3199">
        <v>0</v>
      </c>
      <c r="U12" s="3199">
        <v>0</v>
      </c>
      <c r="V12" s="3199">
        <v>0</v>
      </c>
      <c r="W12" s="3199">
        <v>0</v>
      </c>
      <c r="X12" s="3199">
        <v>0</v>
      </c>
      <c r="Y12" s="3199">
        <v>0</v>
      </c>
      <c r="Z12" s="3199">
        <v>0</v>
      </c>
      <c r="AA12" s="3199">
        <v>8</v>
      </c>
      <c r="AB12" s="3199">
        <v>0</v>
      </c>
      <c r="AC12" s="3199">
        <v>0</v>
      </c>
      <c r="AD12" s="3199">
        <v>0</v>
      </c>
      <c r="AE12" s="3199">
        <v>0</v>
      </c>
      <c r="AF12" s="3199">
        <v>0</v>
      </c>
      <c r="AG12" s="3209"/>
      <c r="AH12" s="3209"/>
      <c r="AI12" s="3230">
        <v>1</v>
      </c>
      <c r="AJ12" s="283" cm="1">
        <f t="array" ref="AJ12">SUM(COUNTIFS($C12:$AG12,{"0","4","5","6","7","8","9"}))</f>
        <v>26</v>
      </c>
      <c r="AK12" s="283" cm="1">
        <f t="array" ref="AK12">SUM(COUNTIFS($C12:$AG12,{"0","4","5","6","7","8","9"},$C$4:$AG$4,"0"))</f>
        <v>15</v>
      </c>
      <c r="AL12" s="283" cm="1">
        <f t="array" ref="AL12">SUM(COUNTIFS($C12:$AG12,{"0","4","5","6","7","8","9"},$C$4:$AG$4,"1"))</f>
        <v>4</v>
      </c>
      <c r="AM12" s="283" cm="1">
        <f t="array" ref="AM12">SUM(COUNTIFS($C12:$AG12,{"0","4","5","6","7","8","9"},$C$4:$AG$4,"2"))</f>
        <v>4</v>
      </c>
      <c r="AN12" s="283" cm="1">
        <f t="array" ref="AN12">SUM(COUNTIFS($C12:$AG12,{"0","4","5","6","7","8","9"},$C$4:$AG$4,"3"))</f>
        <v>3</v>
      </c>
      <c r="AO12" s="283" cm="1">
        <f t="array" ref="AO12">SUM(COUNTIFS($C12:$AG12,{"1","2","3"}))</f>
        <v>4</v>
      </c>
      <c r="AP12" s="283" cm="1">
        <f t="array" ref="AP12">SUM(COUNTIFS($C12:$AG12,{"4","5","6"}))</f>
        <v>0</v>
      </c>
      <c r="AQ12" s="283">
        <f>AK12*'Spreadsheet Key'!$A$23 + AL12*'Spreadsheet Key'!$A$24 + AM12*'Spreadsheet Key'!$A$25 + AN12*'Spreadsheet Key'!$A$26</f>
        <v>1002</v>
      </c>
      <c r="AR12" s="3228">
        <f>(AJ12/('APR Statistics'!$B$28))*ABS(AI12-1)</f>
        <v>0</v>
      </c>
      <c r="AS12" s="3231">
        <f>AT12*AI12</f>
        <v>15.600000000000001</v>
      </c>
      <c r="AT12" s="3229">
        <f>(AJ12/'APR Statistics'!$B$6)*'Spreadsheet Key'!$A$33</f>
        <v>15.600000000000001</v>
      </c>
      <c r="AU12" s="283"/>
      <c r="AV12" s="283">
        <f t="shared" si="1"/>
        <v>0</v>
      </c>
      <c r="AW12" s="283">
        <f t="shared" si="2"/>
        <v>0</v>
      </c>
      <c r="AX12" s="283">
        <f t="shared" si="3"/>
        <v>1</v>
      </c>
      <c r="AY12" s="283" cm="1">
        <f t="array" ref="AY12">COUNTIFS($C12:$AG12,"9",$C$4:$AG$4,"1")+SUM(COUNTIFS($C12:$AG12,{"8","9"},$C$4:$AG$4,"2"))+COUNTIFS($C12:$AG12,"8",$C$4:$AG$4,"3")</f>
        <v>0</v>
      </c>
      <c r="AZ12" s="283">
        <f t="shared" si="4"/>
        <v>0</v>
      </c>
      <c r="BA12" s="283">
        <f t="shared" si="5"/>
        <v>1</v>
      </c>
      <c r="BB12" s="283">
        <f>AV12*'Spreadsheet Key'!$A$27+AW12*'Spreadsheet Key'!$A$28+AX12*'Spreadsheet Key'!$A$29+AY12*'Spreadsheet Key'!$A$30+AZ12*'Spreadsheet Key'!$A$31</f>
        <v>18</v>
      </c>
      <c r="BC12" s="283"/>
      <c r="BD12" s="283">
        <f t="shared" ref="BD12" si="8">AT12-BB12</f>
        <v>-2.3999999999999986</v>
      </c>
      <c r="BE12" s="3210"/>
      <c r="BF12" s="3210"/>
      <c r="BG12" s="3210"/>
      <c r="BH12" s="3210"/>
    </row>
    <row r="13" spans="1:60">
      <c r="A13" s="3208"/>
      <c r="B13" s="3208"/>
      <c r="C13" s="6267" t="s">
        <v>1260</v>
      </c>
      <c r="D13" s="6267"/>
      <c r="E13" s="3183" t="s">
        <v>1025</v>
      </c>
      <c r="F13" s="3181"/>
      <c r="G13" s="3181"/>
      <c r="H13" s="3183" t="s">
        <v>1025</v>
      </c>
      <c r="I13" s="6287" t="s">
        <v>1264</v>
      </c>
      <c r="J13" s="6287"/>
      <c r="K13" s="6287"/>
      <c r="L13" s="6287"/>
      <c r="M13" s="6287"/>
      <c r="N13" s="3183" t="s">
        <v>1025</v>
      </c>
      <c r="O13" s="3181"/>
      <c r="P13" s="3181"/>
      <c r="Q13" s="3181"/>
      <c r="R13" s="3184"/>
      <c r="S13" s="3181"/>
      <c r="T13" s="3182" t="s">
        <v>722</v>
      </c>
      <c r="U13" s="3181"/>
      <c r="V13" s="3181"/>
      <c r="W13" s="3181"/>
      <c r="X13" s="3181"/>
      <c r="Y13" s="3182" t="s">
        <v>720</v>
      </c>
      <c r="Z13" s="3181"/>
      <c r="AA13" s="3181"/>
      <c r="AB13" s="3181"/>
      <c r="AC13" s="3181"/>
      <c r="AD13" s="3181"/>
      <c r="AE13" s="3181"/>
      <c r="AF13" s="3181"/>
      <c r="AG13" s="3126"/>
      <c r="AH13" s="3126"/>
      <c r="AI13" s="3230"/>
      <c r="AJ13" s="283" cm="1">
        <f t="array" ref="AJ13">SUM(COUNTIFS($C13:$AG13,{"0","4","5","6","7","8","9"}))</f>
        <v>0</v>
      </c>
      <c r="AK13" s="283" cm="1">
        <f t="array" ref="AK13">SUM(COUNTIFS($C13:$AG13,{"0","4","5","6","7","8","9"},$C$4:$AG$4,"0"))</f>
        <v>0</v>
      </c>
      <c r="AL13" s="283" cm="1">
        <f t="array" ref="AL13">SUM(COUNTIFS($C13:$AG13,{"0","4","5","6","7","8","9"},$C$4:$AG$4,"1"))</f>
        <v>0</v>
      </c>
      <c r="AM13" s="283" cm="1">
        <f t="array" ref="AM13">SUM(COUNTIFS($C13:$AG13,{"0","4","5","6","7","8","9"},$C$4:$AG$4,"2"))</f>
        <v>0</v>
      </c>
      <c r="AN13" s="283" cm="1">
        <f t="array" ref="AN13">SUM(COUNTIFS($C13:$AG13,{"0","4","5","6","7","8","9"},$C$4:$AG$4,"3"))</f>
        <v>0</v>
      </c>
      <c r="AO13" s="283" cm="1">
        <f t="array" ref="AO13">SUM(COUNTIFS($C13:$AG13,{"1","2","3"}))</f>
        <v>0</v>
      </c>
      <c r="AP13" s="283" cm="1">
        <f t="array" ref="AP13">SUM(COUNTIFS($C13:$AG13,{"4","5","6"}))</f>
        <v>0</v>
      </c>
      <c r="AQ13" s="283">
        <f>AK13*'Spreadsheet Key'!$A$23 + AL13*'Spreadsheet Key'!$A$24 + AM13*'Spreadsheet Key'!$A$25 + AN13*'Spreadsheet Key'!$A$26</f>
        <v>0</v>
      </c>
      <c r="AR13" s="3228">
        <f>(AJ13/('APR Statistics'!$B$28))*ABS(AI13-1)</f>
        <v>0</v>
      </c>
      <c r="AS13" s="3231">
        <f t="shared" si="0"/>
        <v>0</v>
      </c>
      <c r="AT13" s="3229">
        <f>AR13*'APR Statistics'!$C$6</f>
        <v>0</v>
      </c>
      <c r="AU13" s="283"/>
      <c r="AV13" s="283">
        <f t="shared" si="1"/>
        <v>0</v>
      </c>
      <c r="AW13" s="283">
        <f t="shared" si="2"/>
        <v>0</v>
      </c>
      <c r="AX13" s="283">
        <f t="shared" si="3"/>
        <v>0</v>
      </c>
      <c r="AY13" s="283" cm="1">
        <f t="array" ref="AY13">COUNTIFS($C13:$AG13,"9",$C$4:$AG$4,"1")+SUM(COUNTIFS($C13:$AG13,{"8","9"},$C$4:$AG$4,"2"))+COUNTIFS($C13:$AG13,"8",$C$4:$AG$4,"3")</f>
        <v>0</v>
      </c>
      <c r="AZ13" s="283">
        <f t="shared" si="4"/>
        <v>0</v>
      </c>
      <c r="BA13" s="283">
        <f t="shared" si="5"/>
        <v>0</v>
      </c>
      <c r="BB13" s="283">
        <f>AV13*'Spreadsheet Key'!$A$27+AW13*'Spreadsheet Key'!$A$28+AX13*'Spreadsheet Key'!$A$29+AY13*'Spreadsheet Key'!$A$30+AZ13*'Spreadsheet Key'!$A$31</f>
        <v>0</v>
      </c>
      <c r="BC13" s="283"/>
      <c r="BD13" s="283"/>
      <c r="BE13" s="3139"/>
      <c r="BF13" s="3139"/>
      <c r="BG13" s="3139"/>
      <c r="BH13" s="3139"/>
    </row>
    <row r="14" spans="1:60" s="3211" customFormat="1">
      <c r="A14" s="3187" t="s">
        <v>95</v>
      </c>
      <c r="B14" s="3180" t="s">
        <v>726</v>
      </c>
      <c r="C14" s="3199">
        <v>2</v>
      </c>
      <c r="D14" s="3199">
        <v>2</v>
      </c>
      <c r="E14" s="3199">
        <v>3</v>
      </c>
      <c r="F14" s="3199">
        <v>0</v>
      </c>
      <c r="G14" s="3199">
        <v>0</v>
      </c>
      <c r="H14" s="3199">
        <v>1</v>
      </c>
      <c r="I14" s="3199">
        <v>2</v>
      </c>
      <c r="J14" s="3199">
        <v>2</v>
      </c>
      <c r="K14" s="3199">
        <v>2</v>
      </c>
      <c r="L14" s="3199">
        <v>2</v>
      </c>
      <c r="M14" s="3199">
        <v>2</v>
      </c>
      <c r="N14" s="3199">
        <v>3</v>
      </c>
      <c r="O14" s="3199">
        <v>0</v>
      </c>
      <c r="P14" s="3199">
        <v>0</v>
      </c>
      <c r="Q14" s="3199">
        <v>0</v>
      </c>
      <c r="R14" s="3203">
        <v>0</v>
      </c>
      <c r="S14" s="3199">
        <v>0</v>
      </c>
      <c r="T14" s="3199">
        <v>9</v>
      </c>
      <c r="U14" s="3199">
        <v>0</v>
      </c>
      <c r="V14" s="3199">
        <v>0</v>
      </c>
      <c r="W14" s="3199">
        <v>0</v>
      </c>
      <c r="X14" s="3199">
        <v>0</v>
      </c>
      <c r="Y14" s="3199">
        <v>8</v>
      </c>
      <c r="Z14" s="3199">
        <v>0</v>
      </c>
      <c r="AA14" s="3199">
        <v>0</v>
      </c>
      <c r="AB14" s="3199">
        <v>0</v>
      </c>
      <c r="AC14" s="3199">
        <v>0</v>
      </c>
      <c r="AD14" s="3199">
        <v>0</v>
      </c>
      <c r="AE14" s="3199">
        <v>0</v>
      </c>
      <c r="AF14" s="3199">
        <v>0</v>
      </c>
      <c r="AG14" s="3209"/>
      <c r="AH14" s="3209"/>
      <c r="AI14" s="3230">
        <v>0</v>
      </c>
      <c r="AJ14" s="283" cm="1">
        <f t="array" ref="AJ14">SUM(COUNTIFS($C14:$AG14,{"0","4","5","6","7","8","9"}))</f>
        <v>20</v>
      </c>
      <c r="AK14" s="283" cm="1">
        <f t="array" ref="AK14">SUM(COUNTIFS($C14:$AG14,{"0","4","5","6","7","8","9"},$C$4:$AG$4,"0"))</f>
        <v>10</v>
      </c>
      <c r="AL14" s="283" cm="1">
        <f t="array" ref="AL14">SUM(COUNTIFS($C14:$AG14,{"0","4","5","6","7","8","9"},$C$4:$AG$4,"1"))</f>
        <v>3</v>
      </c>
      <c r="AM14" s="283" cm="1">
        <f t="array" ref="AM14">SUM(COUNTIFS($C14:$AG14,{"0","4","5","6","7","8","9"},$C$4:$AG$4,"2"))</f>
        <v>4</v>
      </c>
      <c r="AN14" s="283" cm="1">
        <f t="array" ref="AN14">SUM(COUNTIFS($C14:$AG14,{"0","4","5","6","7","8","9"},$C$4:$AG$4,"3"))</f>
        <v>3</v>
      </c>
      <c r="AO14" s="283" cm="1">
        <f t="array" ref="AO14">SUM(COUNTIFS($C14:$AG14,{"1","2","3"}))</f>
        <v>10</v>
      </c>
      <c r="AP14" s="283" cm="1">
        <f t="array" ref="AP14">SUM(COUNTIFS($C14:$AG14,{"4","5","6"}))</f>
        <v>0</v>
      </c>
      <c r="AQ14" s="283">
        <f>AK14*'Spreadsheet Key'!$A$23 + AL14*'Spreadsheet Key'!$A$24 + AM14*'Spreadsheet Key'!$A$25 + AN14*'Spreadsheet Key'!$A$26</f>
        <v>838</v>
      </c>
      <c r="AR14" s="3228">
        <f>(AJ14/('APR Statistics'!$B$28))*ABS(AI14-1)</f>
        <v>3.8167938931297711E-2</v>
      </c>
      <c r="AS14" s="3231">
        <f t="shared" si="0"/>
        <v>0</v>
      </c>
      <c r="AT14" s="3229">
        <f>AR14*'APR Statistics'!$C$11</f>
        <v>36.992366412213741</v>
      </c>
      <c r="AU14" s="283"/>
      <c r="AV14" s="283">
        <f t="shared" si="1"/>
        <v>1</v>
      </c>
      <c r="AW14" s="283">
        <f t="shared" si="2"/>
        <v>0</v>
      </c>
      <c r="AX14" s="283">
        <f t="shared" si="3"/>
        <v>0</v>
      </c>
      <c r="AY14" s="283" cm="1">
        <f t="array" ref="AY14">COUNTIFS($C14:$AG14,"9",$C$4:$AG$4,"1")+SUM(COUNTIFS($C14:$AG14,{"8","9"},$C$4:$AG$4,"2"))+COUNTIFS($C14:$AG14,"8",$C$4:$AG$4,"3")</f>
        <v>1</v>
      </c>
      <c r="AZ14" s="283">
        <f t="shared" si="4"/>
        <v>0</v>
      </c>
      <c r="BA14" s="283">
        <f t="shared" si="5"/>
        <v>2</v>
      </c>
      <c r="BB14" s="283">
        <f>AV14*'Spreadsheet Key'!$A$27+AW14*'Spreadsheet Key'!$A$28+AX14*'Spreadsheet Key'!$A$29+AY14*'Spreadsheet Key'!$A$30+AZ14*'Spreadsheet Key'!$A$31</f>
        <v>46</v>
      </c>
      <c r="BC14" s="283"/>
      <c r="BD14" s="283">
        <f t="shared" ref="BD14" si="9">AT14-BB14</f>
        <v>-9.007633587786259</v>
      </c>
      <c r="BE14" s="3213"/>
      <c r="BF14" s="3213"/>
      <c r="BG14" s="3213"/>
      <c r="BH14" s="3213"/>
    </row>
    <row r="15" spans="1:60" ht="15.75">
      <c r="A15" s="3212"/>
      <c r="B15" s="3208"/>
      <c r="C15" s="4550" t="s">
        <v>112</v>
      </c>
      <c r="D15" s="4551"/>
      <c r="E15" s="4551"/>
      <c r="F15" s="4551"/>
      <c r="G15" s="5103"/>
      <c r="H15" s="3181"/>
      <c r="I15" s="3181"/>
      <c r="J15" s="3181"/>
      <c r="K15" s="3181"/>
      <c r="L15" s="3010" t="s">
        <v>1025</v>
      </c>
      <c r="M15" s="6249" t="s">
        <v>1231</v>
      </c>
      <c r="N15" s="6249"/>
      <c r="O15" s="3010" t="s">
        <v>1025</v>
      </c>
      <c r="P15" s="3184"/>
      <c r="Q15" s="3184"/>
      <c r="R15" s="3182" t="s">
        <v>722</v>
      </c>
      <c r="S15" s="3181"/>
      <c r="T15" s="3181"/>
      <c r="U15" s="3181"/>
      <c r="V15" s="3183" t="s">
        <v>1025</v>
      </c>
      <c r="W15" s="6288" t="s">
        <v>667</v>
      </c>
      <c r="X15" s="6289"/>
      <c r="Y15" s="6290"/>
      <c r="Z15" s="3183" t="s">
        <v>1025</v>
      </c>
      <c r="AB15" s="3190" t="s">
        <v>720</v>
      </c>
      <c r="AC15" s="3181"/>
      <c r="AD15" s="3010" t="s">
        <v>1025</v>
      </c>
      <c r="AE15" s="4850" t="s">
        <v>1271</v>
      </c>
      <c r="AF15" s="5950"/>
      <c r="AG15" s="3126"/>
      <c r="AH15" s="3126"/>
      <c r="AI15" s="3230"/>
      <c r="AJ15" s="283" cm="1">
        <f t="array" ref="AJ15">SUM(COUNTIFS($C15:$AG15,{"0","4","5","6","7","8","9"}))</f>
        <v>0</v>
      </c>
      <c r="AK15" s="283" cm="1">
        <f t="array" ref="AK15">SUM(COUNTIFS($C15:$AG15,{"0","4","5","6","7","8","9"},$C$4:$AG$4,"0"))</f>
        <v>0</v>
      </c>
      <c r="AL15" s="283" cm="1">
        <f t="array" ref="AL15">SUM(COUNTIFS($C15:$AG15,{"0","4","5","6","7","8","9"},$C$4:$AG$4,"1"))</f>
        <v>0</v>
      </c>
      <c r="AM15" s="283" cm="1">
        <f t="array" ref="AM15">SUM(COUNTIFS($C15:$AG15,{"0","4","5","6","7","8","9"},$C$4:$AG$4,"2"))</f>
        <v>0</v>
      </c>
      <c r="AN15" s="283" cm="1">
        <f t="array" ref="AN15">SUM(COUNTIFS($C15:$AG15,{"0","4","5","6","7","8","9"},$C$4:$AG$4,"3"))</f>
        <v>0</v>
      </c>
      <c r="AO15" s="283" cm="1">
        <f t="array" ref="AO15">SUM(COUNTIFS($C15:$AG15,{"1","2","3"}))</f>
        <v>0</v>
      </c>
      <c r="AP15" s="283" cm="1">
        <f t="array" ref="AP15">SUM(COUNTIFS($C15:$AG15,{"4","5","6"}))</f>
        <v>0</v>
      </c>
      <c r="AQ15" s="283">
        <f>AK15*'Spreadsheet Key'!$A$23 + AL15*'Spreadsheet Key'!$A$24 + AM15*'Spreadsheet Key'!$A$25 + AN15*'Spreadsheet Key'!$A$26</f>
        <v>0</v>
      </c>
      <c r="AR15" s="3228">
        <f>(AJ15/('APR Statistics'!$B$28))*ABS(AI15-1)</f>
        <v>0</v>
      </c>
      <c r="AS15" s="3231">
        <f t="shared" si="0"/>
        <v>0</v>
      </c>
      <c r="AT15" s="3229">
        <f>AR15*'APR Statistics'!$C$11</f>
        <v>0</v>
      </c>
      <c r="AU15" s="283"/>
      <c r="AV15" s="283">
        <f t="shared" si="1"/>
        <v>0</v>
      </c>
      <c r="AW15" s="283">
        <f t="shared" si="2"/>
        <v>0</v>
      </c>
      <c r="AX15" s="283">
        <f t="shared" si="3"/>
        <v>0</v>
      </c>
      <c r="AY15" s="283" cm="1">
        <f t="array" ref="AY15">COUNTIFS($C15:$AG15,"9",$C$4:$AG$4,"1")+SUM(COUNTIFS($C15:$AG15,{"8","9"},$C$4:$AG$4,"2"))+COUNTIFS($C15:$AG15,"8",$C$4:$AG$4,"3")</f>
        <v>0</v>
      </c>
      <c r="AZ15" s="283">
        <f t="shared" si="4"/>
        <v>0</v>
      </c>
      <c r="BA15" s="283">
        <f t="shared" si="5"/>
        <v>0</v>
      </c>
      <c r="BB15" s="283">
        <f>AV15*'Spreadsheet Key'!$A$27+AW15*'Spreadsheet Key'!$A$28+AX15*'Spreadsheet Key'!$A$29+AY15*'Spreadsheet Key'!$A$30+AZ15*'Spreadsheet Key'!$A$31</f>
        <v>0</v>
      </c>
      <c r="BC15" s="283"/>
      <c r="BD15" s="283"/>
      <c r="BE15" s="283"/>
      <c r="BF15" s="283"/>
      <c r="BG15" s="283"/>
      <c r="BH15" s="283"/>
    </row>
    <row r="16" spans="1:60" s="3211" customFormat="1">
      <c r="A16" s="3180" t="s">
        <v>95</v>
      </c>
      <c r="B16" s="3180" t="s">
        <v>738</v>
      </c>
      <c r="C16" s="3199">
        <v>2</v>
      </c>
      <c r="D16" s="3199">
        <v>2</v>
      </c>
      <c r="E16" s="3199">
        <v>2</v>
      </c>
      <c r="F16" s="3211">
        <v>2</v>
      </c>
      <c r="G16" s="3199">
        <v>3</v>
      </c>
      <c r="H16" s="3199">
        <v>0</v>
      </c>
      <c r="I16" s="3199">
        <v>0</v>
      </c>
      <c r="J16" s="3199">
        <v>0</v>
      </c>
      <c r="K16" s="3199">
        <v>0</v>
      </c>
      <c r="L16" s="3199">
        <v>1</v>
      </c>
      <c r="M16" s="3199">
        <v>2</v>
      </c>
      <c r="N16" s="3199">
        <v>2</v>
      </c>
      <c r="O16" s="3203">
        <v>3</v>
      </c>
      <c r="P16" s="3203">
        <v>0</v>
      </c>
      <c r="Q16" s="3203">
        <v>0</v>
      </c>
      <c r="R16" s="3203">
        <v>9</v>
      </c>
      <c r="S16" s="3199">
        <v>0</v>
      </c>
      <c r="T16" s="3199">
        <v>0</v>
      </c>
      <c r="U16" s="3199">
        <v>0</v>
      </c>
      <c r="V16" s="3199">
        <v>1</v>
      </c>
      <c r="W16" s="3199">
        <v>2</v>
      </c>
      <c r="X16" s="3199">
        <v>2</v>
      </c>
      <c r="Y16" s="3199">
        <v>2</v>
      </c>
      <c r="Z16" s="3199">
        <v>3</v>
      </c>
      <c r="AA16" s="3199">
        <v>0</v>
      </c>
      <c r="AB16" s="3199">
        <v>8</v>
      </c>
      <c r="AC16" s="3199">
        <v>0</v>
      </c>
      <c r="AD16" s="3199">
        <v>1</v>
      </c>
      <c r="AE16" s="3199">
        <v>2</v>
      </c>
      <c r="AF16" s="3199">
        <v>2</v>
      </c>
      <c r="AG16" s="3209"/>
      <c r="AH16" s="3209"/>
      <c r="AI16" s="3230">
        <v>0</v>
      </c>
      <c r="AJ16" s="283" cm="1">
        <f t="array" ref="AJ16">SUM(COUNTIFS($C16:$AG16,{"0","4","5","6","7","8","9"}))</f>
        <v>13</v>
      </c>
      <c r="AK16" s="283" cm="1">
        <f t="array" ref="AK16">SUM(COUNTIFS($C16:$AG16,{"0","4","5","6","7","8","9"},$C$4:$AG$4,"0"))</f>
        <v>6</v>
      </c>
      <c r="AL16" s="283" cm="1">
        <f t="array" ref="AL16">SUM(COUNTIFS($C16:$AG16,{"0","4","5","6","7","8","9"},$C$4:$AG$4,"1"))</f>
        <v>2</v>
      </c>
      <c r="AM16" s="283" cm="1">
        <f t="array" ref="AM16">SUM(COUNTIFS($C16:$AG16,{"0","4","5","6","7","8","9"},$C$4:$AG$4,"2"))</f>
        <v>3</v>
      </c>
      <c r="AN16" s="283" cm="1">
        <f t="array" ref="AN16">SUM(COUNTIFS($C16:$AG16,{"0","4","5","6","7","8","9"},$C$4:$AG$4,"3"))</f>
        <v>2</v>
      </c>
      <c r="AO16" s="283" cm="1">
        <f t="array" ref="AO16">SUM(COUNTIFS($C16:$AG16,{"1","2","3"}))</f>
        <v>17</v>
      </c>
      <c r="AP16" s="283" cm="1">
        <f t="array" ref="AP16">SUM(COUNTIFS($C16:$AG16,{"4","5","6"}))</f>
        <v>0</v>
      </c>
      <c r="AQ16" s="283">
        <f>AK16*'Spreadsheet Key'!$A$23 + AL16*'Spreadsheet Key'!$A$24 + AM16*'Spreadsheet Key'!$A$25 + AN16*'Spreadsheet Key'!$A$26</f>
        <v>568</v>
      </c>
      <c r="AR16" s="3228">
        <f>(AJ16/('APR Statistics'!$B$28))*ABS(AI16-1)</f>
        <v>2.4809160305343511E-2</v>
      </c>
      <c r="AS16" s="3231">
        <f t="shared" si="0"/>
        <v>0</v>
      </c>
      <c r="AT16" s="3229">
        <f>AR16*'APR Statistics'!$C$11</f>
        <v>24.045038167938934</v>
      </c>
      <c r="AU16" s="283"/>
      <c r="AV16" s="283">
        <f t="shared" si="1"/>
        <v>0</v>
      </c>
      <c r="AW16" s="283">
        <f t="shared" si="2"/>
        <v>1</v>
      </c>
      <c r="AX16" s="283">
        <f t="shared" si="3"/>
        <v>0</v>
      </c>
      <c r="AY16" s="283" cm="1">
        <f t="array" ref="AY16">COUNTIFS($C16:$AG16,"9",$C$4:$AG$4,"1")+SUM(COUNTIFS($C16:$AG16,{"8","9"},$C$4:$AG$4,"2"))+COUNTIFS($C16:$AG16,"8",$C$4:$AG$4,"3")</f>
        <v>1</v>
      </c>
      <c r="AZ16" s="283">
        <f t="shared" si="4"/>
        <v>0</v>
      </c>
      <c r="BA16" s="283">
        <f t="shared" si="5"/>
        <v>2</v>
      </c>
      <c r="BB16" s="283">
        <f>AV16*'Spreadsheet Key'!$A$27+AW16*'Spreadsheet Key'!$A$28+AX16*'Spreadsheet Key'!$A$29+AY16*'Spreadsheet Key'!$A$30+AZ16*'Spreadsheet Key'!$A$31</f>
        <v>48</v>
      </c>
      <c r="BC16" s="283"/>
      <c r="BD16" s="283">
        <f t="shared" ref="BD16" si="10">AT16-BB16</f>
        <v>-23.954961832061066</v>
      </c>
      <c r="BE16" s="3210"/>
      <c r="BF16" s="3210"/>
      <c r="BG16" s="3210"/>
      <c r="BH16" s="3210"/>
    </row>
    <row r="17" spans="1:60">
      <c r="A17" s="3208"/>
      <c r="B17" s="3208"/>
      <c r="C17" s="3181"/>
      <c r="D17" s="3181"/>
      <c r="E17" s="3181"/>
      <c r="F17" s="3181"/>
      <c r="G17" s="3181"/>
      <c r="H17" s="3181"/>
      <c r="I17" s="3181"/>
      <c r="J17" s="3181"/>
      <c r="K17" s="3181"/>
      <c r="L17" s="3010" t="s">
        <v>1025</v>
      </c>
      <c r="M17" s="6249" t="s">
        <v>1231</v>
      </c>
      <c r="N17" s="6249"/>
      <c r="O17" s="3010" t="s">
        <v>1025</v>
      </c>
      <c r="P17" s="3181"/>
      <c r="Q17" s="3181"/>
      <c r="R17" s="3181"/>
      <c r="S17" s="3181"/>
      <c r="T17" s="3181"/>
      <c r="U17" s="3181"/>
      <c r="V17" s="3181"/>
      <c r="W17" s="3181"/>
      <c r="X17" s="3181"/>
      <c r="Y17" s="3181"/>
      <c r="Z17" s="3181"/>
      <c r="AA17" s="3181"/>
      <c r="AB17" s="3181"/>
      <c r="AC17" s="3181" t="s">
        <v>324</v>
      </c>
      <c r="AD17" s="3181"/>
      <c r="AE17" s="3181"/>
      <c r="AF17" s="3181"/>
      <c r="AG17" s="3126"/>
      <c r="AH17" s="3126"/>
      <c r="AI17" s="3230"/>
      <c r="AJ17" s="283" cm="1">
        <f t="array" ref="AJ17">SUM(COUNTIFS($C17:$AG17,{"0","4","5","6","7","8","9"}))</f>
        <v>0</v>
      </c>
      <c r="AK17" s="283" cm="1">
        <f t="array" ref="AK17">SUM(COUNTIFS($C17:$AG17,{"0","4","5","6","7","8","9"},$C$4:$AG$4,"0"))</f>
        <v>0</v>
      </c>
      <c r="AL17" s="283" cm="1">
        <f t="array" ref="AL17">SUM(COUNTIFS($C17:$AG17,{"0","4","5","6","7","8","9"},$C$4:$AG$4,"1"))</f>
        <v>0</v>
      </c>
      <c r="AM17" s="283" cm="1">
        <f t="array" ref="AM17">SUM(COUNTIFS($C17:$AG17,{"0","4","5","6","7","8","9"},$C$4:$AG$4,"2"))</f>
        <v>0</v>
      </c>
      <c r="AN17" s="283" cm="1">
        <f t="array" ref="AN17">SUM(COUNTIFS($C17:$AG17,{"0","4","5","6","7","8","9"},$C$4:$AG$4,"3"))</f>
        <v>0</v>
      </c>
      <c r="AO17" s="283" cm="1">
        <f t="array" ref="AO17">SUM(COUNTIFS($C17:$AG17,{"1","2","3"}))</f>
        <v>0</v>
      </c>
      <c r="AP17" s="283" cm="1">
        <f t="array" ref="AP17">SUM(COUNTIFS($C17:$AG17,{"4","5","6"}))</f>
        <v>0</v>
      </c>
      <c r="AQ17" s="283">
        <f>AK17*'Spreadsheet Key'!$A$23 + AL17*'Spreadsheet Key'!$A$24 + AM17*'Spreadsheet Key'!$A$25 + AN17*'Spreadsheet Key'!$A$26</f>
        <v>0</v>
      </c>
      <c r="AR17" s="3228">
        <f>(AJ17/('APR Statistics'!$B$28))*ABS(AI17-1)</f>
        <v>0</v>
      </c>
      <c r="AS17" s="3231">
        <f t="shared" si="0"/>
        <v>0</v>
      </c>
      <c r="AT17" s="3229">
        <f>AR17*'APR Statistics'!$C$11</f>
        <v>0</v>
      </c>
      <c r="AU17" s="283"/>
      <c r="AV17" s="283">
        <f t="shared" si="1"/>
        <v>0</v>
      </c>
      <c r="AW17" s="283">
        <f t="shared" si="2"/>
        <v>0</v>
      </c>
      <c r="AX17" s="283">
        <f t="shared" si="3"/>
        <v>0</v>
      </c>
      <c r="AY17" s="283" cm="1">
        <f t="array" ref="AY17">COUNTIFS($C17:$AG17,"9",$C$4:$AG$4,"1")+SUM(COUNTIFS($C17:$AG17,{"8","9"},$C$4:$AG$4,"2"))+COUNTIFS($C17:$AG17,"8",$C$4:$AG$4,"3")</f>
        <v>0</v>
      </c>
      <c r="AZ17" s="283">
        <f t="shared" si="4"/>
        <v>0</v>
      </c>
      <c r="BA17" s="283">
        <f t="shared" si="5"/>
        <v>0</v>
      </c>
      <c r="BB17" s="283">
        <f>AV17*'Spreadsheet Key'!$A$27+AW17*'Spreadsheet Key'!$A$28+AX17*'Spreadsheet Key'!$A$29+AY17*'Spreadsheet Key'!$A$30+AZ17*'Spreadsheet Key'!$A$31</f>
        <v>0</v>
      </c>
      <c r="BC17" s="283"/>
      <c r="BD17" s="283"/>
      <c r="BE17" s="283"/>
      <c r="BF17" s="283"/>
      <c r="BG17" s="283"/>
      <c r="BH17" s="283"/>
    </row>
    <row r="18" spans="1:60" s="3211" customFormat="1">
      <c r="A18" s="3180" t="s">
        <v>106</v>
      </c>
      <c r="B18" s="3180" t="s">
        <v>1191</v>
      </c>
      <c r="C18" s="3199">
        <v>2</v>
      </c>
      <c r="D18" s="3199">
        <v>2</v>
      </c>
      <c r="E18" s="3199">
        <v>2</v>
      </c>
      <c r="F18" s="3199">
        <v>2</v>
      </c>
      <c r="G18" s="3199">
        <v>2</v>
      </c>
      <c r="H18" s="3199">
        <v>2</v>
      </c>
      <c r="I18" s="3199">
        <v>2</v>
      </c>
      <c r="J18" s="3199">
        <v>2</v>
      </c>
      <c r="K18" s="3199">
        <v>2</v>
      </c>
      <c r="L18" s="3199">
        <v>2</v>
      </c>
      <c r="M18" s="3199">
        <v>2</v>
      </c>
      <c r="N18" s="3199">
        <v>2</v>
      </c>
      <c r="O18" s="3199">
        <v>2</v>
      </c>
      <c r="P18" s="3199">
        <v>2</v>
      </c>
      <c r="Q18" s="3199">
        <v>2</v>
      </c>
      <c r="R18" s="3199">
        <v>2</v>
      </c>
      <c r="S18" s="3199">
        <v>2</v>
      </c>
      <c r="T18" s="3199">
        <v>2</v>
      </c>
      <c r="U18" s="3199">
        <v>2</v>
      </c>
      <c r="V18" s="3199">
        <v>2</v>
      </c>
      <c r="W18" s="3199">
        <v>2</v>
      </c>
      <c r="X18" s="3199">
        <v>2</v>
      </c>
      <c r="Y18" s="3199">
        <v>2</v>
      </c>
      <c r="Z18" s="3199">
        <v>2</v>
      </c>
      <c r="AA18" s="3199">
        <v>2</v>
      </c>
      <c r="AB18" s="3199">
        <v>2</v>
      </c>
      <c r="AC18" s="3199">
        <v>2</v>
      </c>
      <c r="AD18" s="3199">
        <v>2</v>
      </c>
      <c r="AE18" s="3199">
        <v>2</v>
      </c>
      <c r="AF18" s="3199">
        <v>2</v>
      </c>
      <c r="AG18" s="3209"/>
      <c r="AH18" s="3209"/>
      <c r="AI18" s="3230">
        <v>0</v>
      </c>
      <c r="AJ18" s="283" cm="1">
        <f t="array" ref="AJ18">SUM(COUNTIFS($C18:$AG18,{"0","4","5","6","7","8","9"}))</f>
        <v>0</v>
      </c>
      <c r="AK18" s="283" cm="1">
        <f t="array" ref="AK18">SUM(COUNTIFS($C18:$AG18,{"0","4","5","6","7","8","9"},$C$4:$AG$4,"0"))</f>
        <v>0</v>
      </c>
      <c r="AL18" s="283" cm="1">
        <f t="array" ref="AL18">SUM(COUNTIFS($C18:$AG18,{"0","4","5","6","7","8","9"},$C$4:$AG$4,"1"))</f>
        <v>0</v>
      </c>
      <c r="AM18" s="283" cm="1">
        <f t="array" ref="AM18">SUM(COUNTIFS($C18:$AG18,{"0","4","5","6","7","8","9"},$C$4:$AG$4,"2"))</f>
        <v>0</v>
      </c>
      <c r="AN18" s="283" cm="1">
        <f t="array" ref="AN18">SUM(COUNTIFS($C18:$AG18,{"0","4","5","6","7","8","9"},$C$4:$AG$4,"3"))</f>
        <v>0</v>
      </c>
      <c r="AO18" s="283" cm="1">
        <f t="array" ref="AO18">SUM(COUNTIFS($C18:$AG18,{"1","2","3"}))</f>
        <v>30</v>
      </c>
      <c r="AP18" s="283" cm="1">
        <f t="array" ref="AP18">SUM(COUNTIFS($C18:$AG18,{"4","5","6"}))</f>
        <v>0</v>
      </c>
      <c r="AQ18" s="283">
        <f>AK18*'Spreadsheet Key'!$A$23 + AL18*'Spreadsheet Key'!$A$24 + AM18*'Spreadsheet Key'!$A$25 + AN18*'Spreadsheet Key'!$A$26</f>
        <v>0</v>
      </c>
      <c r="AR18" s="3228">
        <f>(AJ18/('APR Statistics'!$B$28))*ABS(AI18-1)</f>
        <v>0</v>
      </c>
      <c r="AS18" s="3231">
        <f t="shared" si="0"/>
        <v>0</v>
      </c>
      <c r="AT18" s="3229">
        <f>AR18*'APR Statistics'!$C$11</f>
        <v>0</v>
      </c>
      <c r="AU18" s="283"/>
      <c r="AV18" s="283">
        <f t="shared" si="1"/>
        <v>0</v>
      </c>
      <c r="AW18" s="283">
        <f t="shared" si="2"/>
        <v>0</v>
      </c>
      <c r="AX18" s="283">
        <f t="shared" si="3"/>
        <v>0</v>
      </c>
      <c r="AY18" s="283" cm="1">
        <f t="array" ref="AY18">COUNTIFS($C18:$AG18,"9",$C$4:$AG$4,"1")+SUM(COUNTIFS($C18:$AG18,{"8","9"},$C$4:$AG$4,"2"))+COUNTIFS($C18:$AG18,"8",$C$4:$AG$4,"3")</f>
        <v>0</v>
      </c>
      <c r="AZ18" s="283">
        <f t="shared" si="4"/>
        <v>0</v>
      </c>
      <c r="BA18" s="283">
        <f t="shared" si="5"/>
        <v>0</v>
      </c>
      <c r="BB18" s="283">
        <f>AV18*'Spreadsheet Key'!$A$27+AW18*'Spreadsheet Key'!$A$28+AX18*'Spreadsheet Key'!$A$29+AY18*'Spreadsheet Key'!$A$30+AZ18*'Spreadsheet Key'!$A$31</f>
        <v>0</v>
      </c>
      <c r="BC18" s="283"/>
      <c r="BD18" s="283">
        <f t="shared" ref="BD18" si="11">AT18-BB18</f>
        <v>0</v>
      </c>
      <c r="BE18" s="3210"/>
      <c r="BF18" s="3210"/>
      <c r="BG18" s="3210"/>
      <c r="BH18" s="3210"/>
    </row>
    <row r="19" spans="1:60">
      <c r="A19" s="3208"/>
      <c r="B19" s="3208"/>
      <c r="C19" s="3181"/>
      <c r="D19" s="3182" t="s">
        <v>722</v>
      </c>
      <c r="E19" s="3182"/>
      <c r="F19" s="3181"/>
      <c r="G19" s="3181"/>
      <c r="H19" s="3181"/>
      <c r="I19" s="3181"/>
      <c r="J19" s="3181"/>
      <c r="K19" s="3182" t="s">
        <v>722</v>
      </c>
      <c r="L19" s="3181"/>
      <c r="M19" s="3181"/>
      <c r="N19" s="3181"/>
      <c r="O19" s="3181"/>
      <c r="P19" s="3181"/>
      <c r="Q19" s="3181"/>
      <c r="R19" s="3188"/>
      <c r="S19" s="3181"/>
      <c r="T19" s="3181"/>
      <c r="U19" s="3181"/>
      <c r="V19" s="3181"/>
      <c r="W19" s="3181"/>
      <c r="X19" s="3181"/>
      <c r="Y19" s="3181"/>
      <c r="Z19" s="3181"/>
      <c r="AA19" s="3181"/>
      <c r="AB19" s="3181"/>
      <c r="AC19" s="3181"/>
      <c r="AD19" s="3182" t="s">
        <v>720</v>
      </c>
      <c r="AE19" s="3181"/>
      <c r="AF19" s="3181"/>
      <c r="AG19" s="3126"/>
      <c r="AH19" s="3126"/>
      <c r="AI19" s="3230"/>
      <c r="AJ19" s="283" cm="1">
        <f t="array" ref="AJ19">SUM(COUNTIFS($C19:$AG19,{"0","4","5","6","7","8","9"}))</f>
        <v>0</v>
      </c>
      <c r="AK19" s="283" cm="1">
        <f t="array" ref="AK19">SUM(COUNTIFS($C19:$AG19,{"0","4","5","6","7","8","9"},$C$4:$AG$4,"0"))</f>
        <v>0</v>
      </c>
      <c r="AL19" s="283" cm="1">
        <f t="array" ref="AL19">SUM(COUNTIFS($C19:$AG19,{"0","4","5","6","7","8","9"},$C$4:$AG$4,"1"))</f>
        <v>0</v>
      </c>
      <c r="AM19" s="283" cm="1">
        <f t="array" ref="AM19">SUM(COUNTIFS($C19:$AG19,{"0","4","5","6","7","8","9"},$C$4:$AG$4,"2"))</f>
        <v>0</v>
      </c>
      <c r="AN19" s="283" cm="1">
        <f t="array" ref="AN19">SUM(COUNTIFS($C19:$AG19,{"0","4","5","6","7","8","9"},$C$4:$AG$4,"3"))</f>
        <v>0</v>
      </c>
      <c r="AO19" s="283" cm="1">
        <f t="array" ref="AO19">SUM(COUNTIFS($C19:$AG19,{"1","2","3"}))</f>
        <v>0</v>
      </c>
      <c r="AP19" s="283" cm="1">
        <f t="array" ref="AP19">SUM(COUNTIFS($C19:$AG19,{"4","5","6"}))</f>
        <v>0</v>
      </c>
      <c r="AQ19" s="283">
        <f>AK19*'Spreadsheet Key'!$A$23 + AL19*'Spreadsheet Key'!$A$24 + AM19*'Spreadsheet Key'!$A$25 + AN19*'Spreadsheet Key'!$A$26</f>
        <v>0</v>
      </c>
      <c r="AR19" s="3228">
        <f>(AJ19/('APR Statistics'!$B$28))*ABS(AI19-1)</f>
        <v>0</v>
      </c>
      <c r="AS19" s="3231">
        <f t="shared" si="0"/>
        <v>0</v>
      </c>
      <c r="AT19" s="3229">
        <f>AR19*'APR Statistics'!$C$11</f>
        <v>0</v>
      </c>
      <c r="AU19" s="283"/>
      <c r="AV19" s="283">
        <f t="shared" si="1"/>
        <v>0</v>
      </c>
      <c r="AW19" s="283">
        <f t="shared" si="2"/>
        <v>0</v>
      </c>
      <c r="AX19" s="283">
        <f t="shared" si="3"/>
        <v>0</v>
      </c>
      <c r="AY19" s="283" cm="1">
        <f t="array" ref="AY19">COUNTIFS($C19:$AG19,"9",$C$4:$AG$4,"1")+SUM(COUNTIFS($C19:$AG19,{"8","9"},$C$4:$AG$4,"2"))+COUNTIFS($C19:$AG19,"8",$C$4:$AG$4,"3")</f>
        <v>0</v>
      </c>
      <c r="AZ19" s="283">
        <f t="shared" si="4"/>
        <v>0</v>
      </c>
      <c r="BA19" s="283">
        <f t="shared" si="5"/>
        <v>0</v>
      </c>
      <c r="BB19" s="283">
        <f>AV19*'Spreadsheet Key'!$A$27+AW19*'Spreadsheet Key'!$A$28+AX19*'Spreadsheet Key'!$A$29+AY19*'Spreadsheet Key'!$A$30+AZ19*'Spreadsheet Key'!$A$31</f>
        <v>0</v>
      </c>
      <c r="BC19" s="283"/>
      <c r="BD19" s="283"/>
      <c r="BE19" s="283"/>
      <c r="BF19" s="283"/>
      <c r="BG19" s="283"/>
      <c r="BH19" s="283"/>
    </row>
    <row r="20" spans="1:60" s="3211" customFormat="1">
      <c r="A20" s="3180" t="s">
        <v>108</v>
      </c>
      <c r="B20" s="3180" t="s">
        <v>109</v>
      </c>
      <c r="C20" s="3206">
        <v>0</v>
      </c>
      <c r="D20" s="3206">
        <v>9</v>
      </c>
      <c r="E20" s="3206">
        <v>0</v>
      </c>
      <c r="F20" s="3206">
        <v>0</v>
      </c>
      <c r="G20" s="3206">
        <v>0</v>
      </c>
      <c r="H20" s="3206">
        <v>0</v>
      </c>
      <c r="I20" s="3206">
        <v>0</v>
      </c>
      <c r="J20" s="3206">
        <v>0</v>
      </c>
      <c r="K20" s="3206">
        <v>9</v>
      </c>
      <c r="L20" s="3206">
        <v>0</v>
      </c>
      <c r="M20" s="3206">
        <v>0</v>
      </c>
      <c r="N20" s="3206">
        <v>0</v>
      </c>
      <c r="O20" s="3206">
        <v>0</v>
      </c>
      <c r="P20" s="3206">
        <v>0</v>
      </c>
      <c r="Q20" s="3206">
        <v>0</v>
      </c>
      <c r="R20" s="3207">
        <v>0</v>
      </c>
      <c r="S20" s="3206">
        <v>0</v>
      </c>
      <c r="T20" s="3206">
        <v>0</v>
      </c>
      <c r="U20" s="3206">
        <v>0</v>
      </c>
      <c r="V20" s="3206">
        <v>0</v>
      </c>
      <c r="W20" s="3206">
        <v>0</v>
      </c>
      <c r="X20" s="3206">
        <v>0</v>
      </c>
      <c r="Y20" s="3206">
        <v>0</v>
      </c>
      <c r="Z20" s="3206">
        <v>0</v>
      </c>
      <c r="AA20" s="3206">
        <v>0</v>
      </c>
      <c r="AB20" s="3206">
        <v>0</v>
      </c>
      <c r="AC20" s="3206">
        <v>0</v>
      </c>
      <c r="AD20" s="3206">
        <v>8</v>
      </c>
      <c r="AE20" s="3206">
        <v>0</v>
      </c>
      <c r="AF20" s="3206">
        <v>0</v>
      </c>
      <c r="AG20" s="3209"/>
      <c r="AH20" s="3209"/>
      <c r="AI20" s="3230">
        <v>0</v>
      </c>
      <c r="AJ20" s="283" cm="1">
        <f t="array" ref="AJ20">SUM(COUNTIFS($C20:$AG20,{"0","4","5","6","7","8","9"}))</f>
        <v>30</v>
      </c>
      <c r="AK20" s="283" cm="1">
        <f t="array" ref="AK20">SUM(COUNTIFS($C20:$AG20,{"0","4","5","6","7","8","9"},$C$4:$AG$4,"0"))</f>
        <v>17</v>
      </c>
      <c r="AL20" s="283" cm="1">
        <f t="array" ref="AL20">SUM(COUNTIFS($C20:$AG20,{"0","4","5","6","7","8","9"},$C$4:$AG$4,"1"))</f>
        <v>4</v>
      </c>
      <c r="AM20" s="283" cm="1">
        <f t="array" ref="AM20">SUM(COUNTIFS($C20:$AG20,{"0","4","5","6","7","8","9"},$C$4:$AG$4,"2"))</f>
        <v>5</v>
      </c>
      <c r="AN20" s="283" cm="1">
        <f t="array" ref="AN20">SUM(COUNTIFS($C20:$AG20,{"0","4","5","6","7","8","9"},$C$4:$AG$4,"3"))</f>
        <v>4</v>
      </c>
      <c r="AO20" s="283" cm="1">
        <f t="array" ref="AO20">SUM(COUNTIFS($C20:$AG20,{"1","2","3"}))</f>
        <v>0</v>
      </c>
      <c r="AP20" s="283" cm="1">
        <f t="array" ref="AP20">SUM(COUNTIFS($C20:$AG20,{"4","5","6"}))</f>
        <v>0</v>
      </c>
      <c r="AQ20" s="283">
        <f>AK20*'Spreadsheet Key'!$A$23 + AL20*'Spreadsheet Key'!$A$24 + AM20*'Spreadsheet Key'!$A$25 + AN20*'Spreadsheet Key'!$A$26</f>
        <v>1174</v>
      </c>
      <c r="AR20" s="3228">
        <f>(AJ20/('APR Statistics'!$B$28))*ABS(AI20-1)</f>
        <v>5.7251908396946563E-2</v>
      </c>
      <c r="AS20" s="3231">
        <f t="shared" si="0"/>
        <v>0</v>
      </c>
      <c r="AT20" s="3229">
        <f>AR20*'APR Statistics'!$C$11</f>
        <v>55.488549618320612</v>
      </c>
      <c r="AU20" s="283"/>
      <c r="AV20" s="283">
        <f t="shared" si="1"/>
        <v>1</v>
      </c>
      <c r="AW20" s="283">
        <f t="shared" si="2"/>
        <v>2</v>
      </c>
      <c r="AX20" s="283">
        <f t="shared" si="3"/>
        <v>0</v>
      </c>
      <c r="AY20" s="283" cm="1">
        <f t="array" ref="AY20">COUNTIFS($C20:$AG20,"9",$C$4:$AG$4,"1")+SUM(COUNTIFS($C20:$AG20,{"8","9"},$C$4:$AG$4,"2"))+COUNTIFS($C20:$AG20,"8",$C$4:$AG$4,"3")</f>
        <v>0</v>
      </c>
      <c r="AZ20" s="283">
        <f t="shared" si="4"/>
        <v>0</v>
      </c>
      <c r="BA20" s="283">
        <f t="shared" si="5"/>
        <v>3</v>
      </c>
      <c r="BB20" s="283">
        <f>AV20*'Spreadsheet Key'!$A$27+AW20*'Spreadsheet Key'!$A$28+AX20*'Spreadsheet Key'!$A$29+AY20*'Spreadsheet Key'!$A$30+AZ20*'Spreadsheet Key'!$A$31</f>
        <v>34</v>
      </c>
      <c r="BC20" s="283"/>
      <c r="BD20" s="283">
        <f t="shared" ref="BD20" si="12">AT20-BB20</f>
        <v>21.488549618320612</v>
      </c>
      <c r="BE20" s="3210"/>
      <c r="BF20" s="3210"/>
      <c r="BG20" s="3210"/>
      <c r="BH20" s="3210"/>
    </row>
    <row r="21" spans="1:60">
      <c r="A21" s="3208"/>
      <c r="B21" s="3208"/>
      <c r="C21" s="3181"/>
      <c r="D21" s="3181"/>
      <c r="E21" s="3181"/>
      <c r="F21" s="6276" t="s">
        <v>112</v>
      </c>
      <c r="G21" s="6276"/>
      <c r="H21" s="6276"/>
      <c r="I21" s="6276"/>
      <c r="J21" s="3181"/>
      <c r="K21" s="3181"/>
      <c r="L21" s="3181"/>
      <c r="M21" s="3182" t="s">
        <v>720</v>
      </c>
      <c r="N21" s="3181"/>
      <c r="O21" s="3181"/>
      <c r="P21" s="3181"/>
      <c r="Q21" s="3181"/>
      <c r="R21" s="3181"/>
      <c r="S21" s="3181"/>
      <c r="T21" s="3181"/>
      <c r="U21" s="3181"/>
      <c r="V21" s="3181"/>
      <c r="W21" s="3182" t="s">
        <v>720</v>
      </c>
      <c r="X21" s="3181"/>
      <c r="Y21" s="3181"/>
      <c r="Z21" s="3181"/>
      <c r="AA21" s="3181"/>
      <c r="AB21" s="3181"/>
      <c r="AC21" s="3181"/>
      <c r="AD21" s="3181"/>
      <c r="AE21" s="3181"/>
      <c r="AF21" s="3181"/>
      <c r="AG21" s="3126"/>
      <c r="AH21" s="3126"/>
      <c r="AI21" s="3230"/>
      <c r="AJ21" s="283" cm="1">
        <f t="array" ref="AJ21">SUM(COUNTIFS($C21:$AG21,{"0","4","5","6","7","8","9"}))</f>
        <v>0</v>
      </c>
      <c r="AK21" s="283" cm="1">
        <f t="array" ref="AK21">SUM(COUNTIFS($C21:$AG21,{"0","4","5","6","7","8","9"},$C$4:$AG$4,"0"))</f>
        <v>0</v>
      </c>
      <c r="AL21" s="283" cm="1">
        <f t="array" ref="AL21">SUM(COUNTIFS($C21:$AG21,{"0","4","5","6","7","8","9"},$C$4:$AG$4,"1"))</f>
        <v>0</v>
      </c>
      <c r="AM21" s="283" cm="1">
        <f t="array" ref="AM21">SUM(COUNTIFS($C21:$AG21,{"0","4","5","6","7","8","9"},$C$4:$AG$4,"2"))</f>
        <v>0</v>
      </c>
      <c r="AN21" s="283" cm="1">
        <f t="array" ref="AN21">SUM(COUNTIFS($C21:$AG21,{"0","4","5","6","7","8","9"},$C$4:$AG$4,"3"))</f>
        <v>0</v>
      </c>
      <c r="AO21" s="283" cm="1">
        <f t="array" ref="AO21">SUM(COUNTIFS($C21:$AG21,{"1","2","3"}))</f>
        <v>0</v>
      </c>
      <c r="AP21" s="283" cm="1">
        <f t="array" ref="AP21">SUM(COUNTIFS($C21:$AG21,{"4","5","6"}))</f>
        <v>0</v>
      </c>
      <c r="AQ21" s="283">
        <f>AK21*'Spreadsheet Key'!$A$23 + AL21*'Spreadsheet Key'!$A$24 + AM21*'Spreadsheet Key'!$A$25 + AN21*'Spreadsheet Key'!$A$26</f>
        <v>0</v>
      </c>
      <c r="AR21" s="3228">
        <f>(AJ21/('APR Statistics'!$B$28))*ABS(AI21-1)</f>
        <v>0</v>
      </c>
      <c r="AS21" s="3231">
        <f t="shared" si="0"/>
        <v>0</v>
      </c>
      <c r="AT21" s="3229">
        <f>AR21*'APR Statistics'!$C$11</f>
        <v>0</v>
      </c>
      <c r="AU21" s="283"/>
      <c r="AV21" s="283">
        <f t="shared" si="1"/>
        <v>0</v>
      </c>
      <c r="AW21" s="283">
        <f t="shared" si="2"/>
        <v>0</v>
      </c>
      <c r="AX21" s="283">
        <f t="shared" si="3"/>
        <v>0</v>
      </c>
      <c r="AY21" s="283" cm="1">
        <f t="array" ref="AY21">COUNTIFS($C21:$AG21,"9",$C$4:$AG$4,"1")+SUM(COUNTIFS($C21:$AG21,{"8","9"},$C$4:$AG$4,"2"))+COUNTIFS($C21:$AG21,"8",$C$4:$AG$4,"3")</f>
        <v>0</v>
      </c>
      <c r="AZ21" s="283">
        <f t="shared" si="4"/>
        <v>0</v>
      </c>
      <c r="BA21" s="283">
        <f t="shared" si="5"/>
        <v>0</v>
      </c>
      <c r="BB21" s="283">
        <f>AV21*'Spreadsheet Key'!$A$27+AW21*'Spreadsheet Key'!$A$28+AX21*'Spreadsheet Key'!$A$29+AY21*'Spreadsheet Key'!$A$30+AZ21*'Spreadsheet Key'!$A$31</f>
        <v>0</v>
      </c>
      <c r="BC21" s="283"/>
      <c r="BD21" s="283"/>
      <c r="BE21" s="283"/>
      <c r="BF21" s="283"/>
      <c r="BG21" s="283"/>
      <c r="BH21" s="283"/>
    </row>
    <row r="22" spans="1:60" s="3211" customFormat="1">
      <c r="A22" s="3187" t="s">
        <v>283</v>
      </c>
      <c r="B22" s="3187" t="s">
        <v>201</v>
      </c>
      <c r="C22" s="3199">
        <v>0</v>
      </c>
      <c r="D22" s="3199">
        <v>0</v>
      </c>
      <c r="E22" s="3199">
        <v>0</v>
      </c>
      <c r="F22" s="3199">
        <v>1</v>
      </c>
      <c r="G22" s="3199">
        <v>2</v>
      </c>
      <c r="H22" s="3199">
        <v>2</v>
      </c>
      <c r="I22" s="3199">
        <v>3</v>
      </c>
      <c r="J22" s="3199">
        <v>0</v>
      </c>
      <c r="K22" s="3199">
        <v>0</v>
      </c>
      <c r="L22" s="3199">
        <v>0</v>
      </c>
      <c r="M22" s="3199">
        <v>8</v>
      </c>
      <c r="N22" s="3199">
        <v>0</v>
      </c>
      <c r="O22" s="3199">
        <v>0</v>
      </c>
      <c r="P22" s="3199">
        <v>0</v>
      </c>
      <c r="Q22" s="3199">
        <v>0</v>
      </c>
      <c r="R22" s="3199">
        <v>0</v>
      </c>
      <c r="S22" s="3199">
        <v>0</v>
      </c>
      <c r="T22" s="3199">
        <v>0</v>
      </c>
      <c r="U22" s="3199">
        <v>0</v>
      </c>
      <c r="V22" s="3199">
        <v>0</v>
      </c>
      <c r="W22" s="3199">
        <v>8</v>
      </c>
      <c r="X22" s="3199">
        <v>0</v>
      </c>
      <c r="Y22" s="3199">
        <v>0</v>
      </c>
      <c r="Z22" s="3199">
        <v>0</v>
      </c>
      <c r="AA22" s="3199">
        <v>0</v>
      </c>
      <c r="AB22" s="3199">
        <v>0</v>
      </c>
      <c r="AC22" s="3199">
        <v>0</v>
      </c>
      <c r="AD22" s="3199">
        <v>0</v>
      </c>
      <c r="AE22" s="3199">
        <v>0</v>
      </c>
      <c r="AF22" s="3199">
        <v>0</v>
      </c>
      <c r="AG22" s="3209"/>
      <c r="AH22" s="3209"/>
      <c r="AI22" s="3230">
        <v>1</v>
      </c>
      <c r="AJ22" s="283" cm="1">
        <f t="array" ref="AJ22">SUM(COUNTIFS($C22:$AG22,{"0","4","5","6","7","8","9"}))</f>
        <v>26</v>
      </c>
      <c r="AK22" s="283" cm="1">
        <f t="array" ref="AK22">SUM(COUNTIFS($C22:$AG22,{"0","4","5","6","7","8","9"},$C$4:$AG$4,"0"))</f>
        <v>16</v>
      </c>
      <c r="AL22" s="283" cm="1">
        <f t="array" ref="AL22">SUM(COUNTIFS($C22:$AG22,{"0","4","5","6","7","8","9"},$C$4:$AG$4,"1"))</f>
        <v>3</v>
      </c>
      <c r="AM22" s="283" cm="1">
        <f t="array" ref="AM22">SUM(COUNTIFS($C22:$AG22,{"0","4","5","6","7","8","9"},$C$4:$AG$4,"2"))</f>
        <v>4</v>
      </c>
      <c r="AN22" s="283" cm="1">
        <f t="array" ref="AN22">SUM(COUNTIFS($C22:$AG22,{"0","4","5","6","7","8","9"},$C$4:$AG$4,"3"))</f>
        <v>3</v>
      </c>
      <c r="AO22" s="283" cm="1">
        <f t="array" ref="AO22">SUM(COUNTIFS($C22:$AG22,{"1","2","3"}))</f>
        <v>4</v>
      </c>
      <c r="AP22" s="283" cm="1">
        <f t="array" ref="AP22">SUM(COUNTIFS($C22:$AG22,{"4","5","6"}))</f>
        <v>0</v>
      </c>
      <c r="AQ22" s="283">
        <f>AK22*'Spreadsheet Key'!$A$23 + AL22*'Spreadsheet Key'!$A$24 + AM22*'Spreadsheet Key'!$A$25 + AN22*'Spreadsheet Key'!$A$26</f>
        <v>970</v>
      </c>
      <c r="AR22" s="3228">
        <f>(AJ22/('APR Statistics'!$B$28))*ABS(AI22-1)</f>
        <v>0</v>
      </c>
      <c r="AS22" s="3231">
        <f>AT22*AI22</f>
        <v>24.266666666666666</v>
      </c>
      <c r="AT22" s="3229">
        <f>(AJ22/'APR Statistics'!$B$6)*'Spreadsheet Key'!$A$32</f>
        <v>24.266666666666666</v>
      </c>
      <c r="AU22" s="283"/>
      <c r="AV22" s="283">
        <f t="shared" si="1"/>
        <v>1</v>
      </c>
      <c r="AW22" s="283">
        <f t="shared" si="2"/>
        <v>0</v>
      </c>
      <c r="AX22" s="283">
        <f t="shared" si="3"/>
        <v>1</v>
      </c>
      <c r="AY22" s="283" cm="1">
        <f t="array" ref="AY22">COUNTIFS($C22:$AG22,"9",$C$4:$AG$4,"1")+SUM(COUNTIFS($C22:$AG22,{"8","9"},$C$4:$AG$4,"2"))+COUNTIFS($C22:$AG22,"8",$C$4:$AG$4,"3")</f>
        <v>0</v>
      </c>
      <c r="AZ22" s="283">
        <f t="shared" si="4"/>
        <v>0</v>
      </c>
      <c r="BA22" s="283">
        <f t="shared" si="5"/>
        <v>2</v>
      </c>
      <c r="BB22" s="283">
        <f>AV22*'Spreadsheet Key'!$A$27+AW22*'Spreadsheet Key'!$A$28+AX22*'Spreadsheet Key'!$A$29+AY22*'Spreadsheet Key'!$A$30+AZ22*'Spreadsheet Key'!$A$31</f>
        <v>28</v>
      </c>
      <c r="BC22" s="283"/>
      <c r="BD22" s="283">
        <f t="shared" ref="BD22" si="13">AT22-BB22</f>
        <v>-3.7333333333333343</v>
      </c>
      <c r="BE22" s="3210"/>
      <c r="BF22" s="3210"/>
      <c r="BG22" s="3210"/>
      <c r="BH22" s="3210"/>
    </row>
    <row r="23" spans="1:60">
      <c r="A23" s="3212"/>
      <c r="B23" s="3212"/>
      <c r="C23" s="3181"/>
      <c r="D23" s="3181"/>
      <c r="E23" s="3182"/>
      <c r="F23" s="3182" t="s">
        <v>720</v>
      </c>
      <c r="G23" s="3181"/>
      <c r="H23" s="3181"/>
      <c r="I23" s="3181"/>
      <c r="J23" s="3181"/>
      <c r="K23" s="3181"/>
      <c r="L23" s="3181"/>
      <c r="M23" s="6276" t="s">
        <v>1265</v>
      </c>
      <c r="N23" s="6276"/>
      <c r="O23" s="6276"/>
      <c r="P23" s="6276"/>
      <c r="Q23" s="6276"/>
      <c r="R23" s="6276"/>
      <c r="S23" s="6276"/>
      <c r="T23" s="6276"/>
      <c r="U23" s="6276"/>
      <c r="V23" s="6276"/>
      <c r="W23" s="6276"/>
      <c r="X23" s="6276"/>
      <c r="Y23" s="3181"/>
      <c r="Z23" s="3190" t="s">
        <v>720</v>
      </c>
      <c r="AA23" s="3182"/>
      <c r="AB23" s="3182"/>
      <c r="AC23" s="3181"/>
      <c r="AD23" s="6276" t="s">
        <v>737</v>
      </c>
      <c r="AE23" s="6276"/>
      <c r="AF23" s="6276"/>
      <c r="AG23" s="3126"/>
      <c r="AH23" s="3126"/>
      <c r="AI23" s="3230"/>
      <c r="AJ23" s="283" cm="1">
        <f t="array" ref="AJ23">SUM(COUNTIFS($C23:$AG23,{"0","4","5","6","7","8","9"}))</f>
        <v>0</v>
      </c>
      <c r="AK23" s="283" cm="1">
        <f t="array" ref="AK23">SUM(COUNTIFS($C23:$AG23,{"0","4","5","6","7","8","9"},$C$4:$AG$4,"0"))</f>
        <v>0</v>
      </c>
      <c r="AL23" s="283" cm="1">
        <f t="array" ref="AL23">SUM(COUNTIFS($C23:$AG23,{"0","4","5","6","7","8","9"},$C$4:$AG$4,"1"))</f>
        <v>0</v>
      </c>
      <c r="AM23" s="283" cm="1">
        <f t="array" ref="AM23">SUM(COUNTIFS($C23:$AG23,{"0","4","5","6","7","8","9"},$C$4:$AG$4,"2"))</f>
        <v>0</v>
      </c>
      <c r="AN23" s="283" cm="1">
        <f t="array" ref="AN23">SUM(COUNTIFS($C23:$AG23,{"0","4","5","6","7","8","9"},$C$4:$AG$4,"3"))</f>
        <v>0</v>
      </c>
      <c r="AO23" s="283" cm="1">
        <f t="array" ref="AO23">SUM(COUNTIFS($C23:$AG23,{"1","2","3"}))</f>
        <v>0</v>
      </c>
      <c r="AP23" s="283" cm="1">
        <f t="array" ref="AP23">SUM(COUNTIFS($C23:$AG23,{"4","5","6"}))</f>
        <v>0</v>
      </c>
      <c r="AQ23" s="283">
        <f>AK23*'Spreadsheet Key'!$A$23 + AL23*'Spreadsheet Key'!$A$24 + AM23*'Spreadsheet Key'!$A$25 + AN23*'Spreadsheet Key'!$A$26</f>
        <v>0</v>
      </c>
      <c r="AR23" s="3228">
        <f>(AJ23/('APR Statistics'!$B$28))*ABS(AI23-1)</f>
        <v>0</v>
      </c>
      <c r="AS23" s="3231">
        <f t="shared" si="0"/>
        <v>0</v>
      </c>
      <c r="AT23" s="3229">
        <f>AR23*'APR Statistics'!$C$6</f>
        <v>0</v>
      </c>
      <c r="AU23" s="283"/>
      <c r="AV23" s="283">
        <f t="shared" si="1"/>
        <v>0</v>
      </c>
      <c r="AW23" s="283">
        <f t="shared" si="2"/>
        <v>0</v>
      </c>
      <c r="AX23" s="283">
        <f t="shared" si="3"/>
        <v>0</v>
      </c>
      <c r="AY23" s="283" cm="1">
        <f t="array" ref="AY23">COUNTIFS($C23:$AG23,"9",$C$4:$AG$4,"1")+SUM(COUNTIFS($C23:$AG23,{"8","9"},$C$4:$AG$4,"2"))+COUNTIFS($C23:$AG23,"8",$C$4:$AG$4,"3")</f>
        <v>0</v>
      </c>
      <c r="AZ23" s="283">
        <f t="shared" si="4"/>
        <v>0</v>
      </c>
      <c r="BA23" s="283">
        <f t="shared" si="5"/>
        <v>0</v>
      </c>
      <c r="BB23" s="283">
        <f>AV23*'Spreadsheet Key'!$A$27+AW23*'Spreadsheet Key'!$A$28+AX23*'Spreadsheet Key'!$A$29+AY23*'Spreadsheet Key'!$A$30+AZ23*'Spreadsheet Key'!$A$31</f>
        <v>0</v>
      </c>
      <c r="BC23" s="283"/>
      <c r="BD23" s="283"/>
      <c r="BE23" s="283"/>
      <c r="BF23" s="283"/>
      <c r="BG23" s="283"/>
      <c r="BH23" s="283"/>
    </row>
    <row r="24" spans="1:60" s="3211" customFormat="1">
      <c r="A24" s="3187" t="s">
        <v>283</v>
      </c>
      <c r="B24" s="3187" t="s">
        <v>610</v>
      </c>
      <c r="C24" s="3199">
        <v>0</v>
      </c>
      <c r="D24" s="3199">
        <v>0</v>
      </c>
      <c r="E24" s="3199">
        <v>0</v>
      </c>
      <c r="F24" s="3199">
        <v>8</v>
      </c>
      <c r="G24" s="3199">
        <v>0</v>
      </c>
      <c r="H24" s="3199">
        <v>0</v>
      </c>
      <c r="I24" s="3199">
        <v>0</v>
      </c>
      <c r="J24" s="3199">
        <v>0</v>
      </c>
      <c r="K24" s="3199">
        <v>0</v>
      </c>
      <c r="L24" s="3199">
        <v>0</v>
      </c>
      <c r="M24" s="3199">
        <v>1</v>
      </c>
      <c r="N24" s="3199">
        <v>2</v>
      </c>
      <c r="O24" s="3199">
        <v>2</v>
      </c>
      <c r="P24" s="3199">
        <v>2</v>
      </c>
      <c r="Q24" s="3199">
        <v>2</v>
      </c>
      <c r="R24" s="3199">
        <v>2</v>
      </c>
      <c r="S24" s="3199">
        <v>2</v>
      </c>
      <c r="T24" s="3199">
        <v>2</v>
      </c>
      <c r="U24" s="3199">
        <v>2</v>
      </c>
      <c r="V24" s="3199">
        <v>2</v>
      </c>
      <c r="W24" s="3199">
        <v>2</v>
      </c>
      <c r="X24" s="3199">
        <v>3</v>
      </c>
      <c r="Y24" s="3199">
        <v>0</v>
      </c>
      <c r="Z24" s="3199">
        <v>8</v>
      </c>
      <c r="AA24" s="3199">
        <v>0</v>
      </c>
      <c r="AB24" s="3199">
        <v>0</v>
      </c>
      <c r="AC24" s="3199">
        <v>0</v>
      </c>
      <c r="AD24" s="3199">
        <v>7</v>
      </c>
      <c r="AE24" s="3199">
        <v>7</v>
      </c>
      <c r="AF24" s="3199">
        <v>7</v>
      </c>
      <c r="AG24" s="3209"/>
      <c r="AH24" s="3209"/>
      <c r="AI24" s="3230">
        <v>1</v>
      </c>
      <c r="AJ24" s="283" cm="1">
        <f t="array" ref="AJ24">SUM(COUNTIFS($C24:$AG24,{"0","4","5","6","7","8","9"}))</f>
        <v>18</v>
      </c>
      <c r="AK24" s="283" cm="1">
        <f t="array" ref="AK24">SUM(COUNTIFS($C24:$AG24,{"0","4","5","6","7","8","9"},$C$4:$AG$4,"0"))</f>
        <v>12</v>
      </c>
      <c r="AL24" s="283" cm="1">
        <f t="array" ref="AL24">SUM(COUNTIFS($C24:$AG24,{"0","4","5","6","7","8","9"},$C$4:$AG$4,"1"))</f>
        <v>2</v>
      </c>
      <c r="AM24" s="283" cm="1">
        <f t="array" ref="AM24">SUM(COUNTIFS($C24:$AG24,{"0","4","5","6","7","8","9"},$C$4:$AG$4,"2"))</f>
        <v>2</v>
      </c>
      <c r="AN24" s="283" cm="1">
        <f t="array" ref="AN24">SUM(COUNTIFS($C24:$AG24,{"0","4","5","6","7","8","9"},$C$4:$AG$4,"3"))</f>
        <v>2</v>
      </c>
      <c r="AO24" s="283" cm="1">
        <f t="array" ref="AO24">SUM(COUNTIFS($C24:$AG24,{"1","2","3"}))</f>
        <v>12</v>
      </c>
      <c r="AP24" s="283" cm="1">
        <f t="array" ref="AP24">SUM(COUNTIFS($C24:$AG24,{"4","5","6"}))</f>
        <v>0</v>
      </c>
      <c r="AQ24" s="283">
        <f>AK24*'Spreadsheet Key'!$A$23 + AL24*'Spreadsheet Key'!$A$24 + AM24*'Spreadsheet Key'!$A$25 + AN24*'Spreadsheet Key'!$A$26</f>
        <v>628</v>
      </c>
      <c r="AR24" s="3228">
        <f>(AJ24/('APR Statistics'!$B$28))*ABS(AI24-1)</f>
        <v>0</v>
      </c>
      <c r="AS24" s="3231">
        <f>AT24*AI24</f>
        <v>16.8</v>
      </c>
      <c r="AT24" s="3229">
        <f>(AJ24/'APR Statistics'!$B$6)*'Spreadsheet Key'!$A$32</f>
        <v>16.8</v>
      </c>
      <c r="AU24" s="283"/>
      <c r="AV24" s="283">
        <f t="shared" si="1"/>
        <v>1</v>
      </c>
      <c r="AW24" s="283">
        <f t="shared" si="2"/>
        <v>0</v>
      </c>
      <c r="AX24" s="283">
        <f t="shared" si="3"/>
        <v>1</v>
      </c>
      <c r="AY24" s="283" cm="1">
        <f t="array" ref="AY24">COUNTIFS($C24:$AG24,"9",$C$4:$AG$4,"1")+SUM(COUNTIFS($C24:$AG24,{"8","9"},$C$4:$AG$4,"2"))+COUNTIFS($C24:$AG24,"8",$C$4:$AG$4,"3")</f>
        <v>0</v>
      </c>
      <c r="AZ24" s="283">
        <f t="shared" si="4"/>
        <v>0</v>
      </c>
      <c r="BA24" s="283">
        <f t="shared" si="5"/>
        <v>2</v>
      </c>
      <c r="BB24" s="283">
        <f>AV24*'Spreadsheet Key'!$A$27+AW24*'Spreadsheet Key'!$A$28+AX24*'Spreadsheet Key'!$A$29+AY24*'Spreadsheet Key'!$A$30+AZ24*'Spreadsheet Key'!$A$31</f>
        <v>28</v>
      </c>
      <c r="BC24" s="283"/>
      <c r="BD24" s="283">
        <f t="shared" ref="BD24" si="14">AT24-BB24</f>
        <v>-11.2</v>
      </c>
      <c r="BE24" s="3210"/>
      <c r="BF24" s="3210"/>
      <c r="BG24" s="3210"/>
      <c r="BH24" s="3210"/>
    </row>
    <row r="25" spans="1:60">
      <c r="A25" s="3212"/>
      <c r="B25" s="3212"/>
      <c r="C25" s="6276" t="s">
        <v>375</v>
      </c>
      <c r="D25" s="6276"/>
      <c r="E25" s="6276"/>
      <c r="F25" s="6276"/>
      <c r="G25" s="6276"/>
      <c r="H25" s="6276"/>
      <c r="I25" s="3181"/>
      <c r="J25" s="3181"/>
      <c r="K25" s="3181"/>
      <c r="L25" s="3181"/>
      <c r="M25" s="3181"/>
      <c r="N25" s="3181"/>
      <c r="O25" s="3182" t="s">
        <v>722</v>
      </c>
      <c r="P25" s="3181"/>
      <c r="Q25" s="3190" t="s">
        <v>722</v>
      </c>
      <c r="R25" s="3181"/>
      <c r="S25" s="3181"/>
      <c r="T25" s="3181"/>
      <c r="U25" s="3181"/>
      <c r="V25" s="3181"/>
      <c r="W25" s="3181"/>
      <c r="X25" s="3181"/>
      <c r="Y25" s="3181"/>
      <c r="Z25" s="3181"/>
      <c r="AA25" s="3181"/>
      <c r="AB25" s="3181"/>
      <c r="AC25" s="3181"/>
      <c r="AD25" s="3182"/>
      <c r="AE25" s="3181"/>
      <c r="AF25" s="3181"/>
      <c r="AG25" s="3126"/>
      <c r="AH25" s="3126"/>
      <c r="AI25" s="3230"/>
      <c r="AJ25" s="283" cm="1">
        <f t="array" ref="AJ25">SUM(COUNTIFS($C25:$AG25,{"0","4","5","6","7","8","9"}))</f>
        <v>0</v>
      </c>
      <c r="AK25" s="283" cm="1">
        <f t="array" ref="AK25">SUM(COUNTIFS($C25:$AG25,{"0","4","5","6","7","8","9"},$C$4:$AG$4,"0"))</f>
        <v>0</v>
      </c>
      <c r="AL25" s="283" cm="1">
        <f t="array" ref="AL25">SUM(COUNTIFS($C25:$AG25,{"0","4","5","6","7","8","9"},$C$4:$AG$4,"1"))</f>
        <v>0</v>
      </c>
      <c r="AM25" s="283" cm="1">
        <f t="array" ref="AM25">SUM(COUNTIFS($C25:$AG25,{"0","4","5","6","7","8","9"},$C$4:$AG$4,"2"))</f>
        <v>0</v>
      </c>
      <c r="AN25" s="283" cm="1">
        <f t="array" ref="AN25">SUM(COUNTIFS($C25:$AG25,{"0","4","5","6","7","8","9"},$C$4:$AG$4,"3"))</f>
        <v>0</v>
      </c>
      <c r="AO25" s="283" cm="1">
        <f t="array" ref="AO25">SUM(COUNTIFS($C25:$AG25,{"1","2","3"}))</f>
        <v>0</v>
      </c>
      <c r="AP25" s="283" cm="1">
        <f t="array" ref="AP25">SUM(COUNTIFS($C25:$AG25,{"4","5","6"}))</f>
        <v>0</v>
      </c>
      <c r="AQ25" s="283">
        <f>AK25*'Spreadsheet Key'!$A$23 + AL25*'Spreadsheet Key'!$A$24 + AM25*'Spreadsheet Key'!$A$25 + AN25*'Spreadsheet Key'!$A$26</f>
        <v>0</v>
      </c>
      <c r="AR25" s="3228">
        <f>(AJ25/('APR Statistics'!$B$28))*ABS(AI25-1)</f>
        <v>0</v>
      </c>
      <c r="AS25" s="3231">
        <f t="shared" si="0"/>
        <v>0</v>
      </c>
      <c r="AT25" s="3229">
        <f>AR25*'APR Statistics'!$C$6</f>
        <v>0</v>
      </c>
      <c r="AU25" s="283"/>
      <c r="AV25" s="283">
        <f t="shared" si="1"/>
        <v>0</v>
      </c>
      <c r="AW25" s="283">
        <f t="shared" si="2"/>
        <v>0</v>
      </c>
      <c r="AX25" s="283">
        <f t="shared" si="3"/>
        <v>0</v>
      </c>
      <c r="AY25" s="283" cm="1">
        <f t="array" ref="AY25">COUNTIFS($C25:$AG25,"9",$C$4:$AG$4,"1")+SUM(COUNTIFS($C25:$AG25,{"8","9"},$C$4:$AG$4,"2"))+COUNTIFS($C25:$AG25,"8",$C$4:$AG$4,"3")</f>
        <v>0</v>
      </c>
      <c r="AZ25" s="283">
        <f t="shared" si="4"/>
        <v>0</v>
      </c>
      <c r="BA25" s="283">
        <f t="shared" si="5"/>
        <v>0</v>
      </c>
      <c r="BB25" s="283">
        <f>AV25*'Spreadsheet Key'!$A$27+AW25*'Spreadsheet Key'!$A$28+AX25*'Spreadsheet Key'!$A$29+AY25*'Spreadsheet Key'!$A$30+AZ25*'Spreadsheet Key'!$A$31</f>
        <v>0</v>
      </c>
      <c r="BC25" s="283"/>
      <c r="BD25" s="283"/>
      <c r="BE25" s="283"/>
      <c r="BF25" s="283"/>
      <c r="BG25" s="283"/>
      <c r="BH25" s="283"/>
    </row>
    <row r="26" spans="1:60" s="3211" customFormat="1">
      <c r="A26" s="3187" t="s">
        <v>122</v>
      </c>
      <c r="B26" s="3187" t="s">
        <v>553</v>
      </c>
      <c r="C26" s="3199">
        <v>2</v>
      </c>
      <c r="D26" s="3199">
        <v>2</v>
      </c>
      <c r="E26" s="3199">
        <v>2</v>
      </c>
      <c r="F26" s="3199">
        <v>2</v>
      </c>
      <c r="G26" s="3199">
        <v>2</v>
      </c>
      <c r="H26" s="3199">
        <v>3</v>
      </c>
      <c r="I26" s="3199">
        <v>0</v>
      </c>
      <c r="J26" s="3199">
        <v>0</v>
      </c>
      <c r="K26" s="3199">
        <v>0</v>
      </c>
      <c r="L26" s="3199">
        <v>0</v>
      </c>
      <c r="M26" s="3199">
        <v>0</v>
      </c>
      <c r="N26" s="3199">
        <v>0</v>
      </c>
      <c r="O26" s="3199">
        <v>9</v>
      </c>
      <c r="P26" s="3199">
        <v>0</v>
      </c>
      <c r="Q26" s="3199">
        <v>9</v>
      </c>
      <c r="R26" s="3199">
        <v>0</v>
      </c>
      <c r="S26" s="3199">
        <v>0</v>
      </c>
      <c r="T26" s="3199">
        <v>0</v>
      </c>
      <c r="U26" s="3199">
        <v>0</v>
      </c>
      <c r="V26" s="3199">
        <v>0</v>
      </c>
      <c r="W26" s="3199">
        <v>0</v>
      </c>
      <c r="X26" s="3199">
        <v>0</v>
      </c>
      <c r="Y26" s="3199">
        <v>0</v>
      </c>
      <c r="Z26" s="3199">
        <v>0</v>
      </c>
      <c r="AA26" s="3199">
        <v>0</v>
      </c>
      <c r="AB26" s="3199">
        <v>0</v>
      </c>
      <c r="AC26" s="3199">
        <v>0</v>
      </c>
      <c r="AD26" s="3199">
        <v>0</v>
      </c>
      <c r="AE26" s="3199">
        <v>0</v>
      </c>
      <c r="AF26" s="3199">
        <v>0</v>
      </c>
      <c r="AG26" s="3209"/>
      <c r="AH26" s="3209"/>
      <c r="AI26" s="3230">
        <v>0</v>
      </c>
      <c r="AJ26" s="283" cm="1">
        <f t="array" ref="AJ26">SUM(COUNTIFS($C26:$AG26,{"0","4","5","6","7","8","9"}))</f>
        <v>24</v>
      </c>
      <c r="AK26" s="283" cm="1">
        <f t="array" ref="AK26">SUM(COUNTIFS($C26:$AG26,{"0","4","5","6","7","8","9"},$C$4:$AG$4,"0"))</f>
        <v>14</v>
      </c>
      <c r="AL26" s="283" cm="1">
        <f t="array" ref="AL26">SUM(COUNTIFS($C26:$AG26,{"0","4","5","6","7","8","9"},$C$4:$AG$4,"1"))</f>
        <v>3</v>
      </c>
      <c r="AM26" s="283" cm="1">
        <f t="array" ref="AM26">SUM(COUNTIFS($C26:$AG26,{"0","4","5","6","7","8","9"},$C$4:$AG$4,"2"))</f>
        <v>4</v>
      </c>
      <c r="AN26" s="283" cm="1">
        <f t="array" ref="AN26">SUM(COUNTIFS($C26:$AG26,{"0","4","5","6","7","8","9"},$C$4:$AG$4,"3"))</f>
        <v>3</v>
      </c>
      <c r="AO26" s="283" cm="1">
        <f t="array" ref="AO26">SUM(COUNTIFS($C26:$AG26,{"1","2","3"}))</f>
        <v>6</v>
      </c>
      <c r="AP26" s="283" cm="1">
        <f t="array" ref="AP26">SUM(COUNTIFS($C26:$AG26,{"4","5","6"}))</f>
        <v>0</v>
      </c>
      <c r="AQ26" s="283">
        <f>AK26*'Spreadsheet Key'!$A$23 + AL26*'Spreadsheet Key'!$A$24 + AM26*'Spreadsheet Key'!$A$25 + AN26*'Spreadsheet Key'!$A$26</f>
        <v>926</v>
      </c>
      <c r="AR26" s="3228">
        <f>(AJ26/('APR Statistics'!$B$28))*ABS(AI26-1)</f>
        <v>4.5801526717557252E-2</v>
      </c>
      <c r="AS26" s="3231">
        <f t="shared" si="0"/>
        <v>0</v>
      </c>
      <c r="AT26" s="3229">
        <f>AR26*'APR Statistics'!$C$11</f>
        <v>44.390839694656492</v>
      </c>
      <c r="AU26" s="283"/>
      <c r="AV26" s="283">
        <f t="shared" si="1"/>
        <v>0</v>
      </c>
      <c r="AW26" s="283">
        <f t="shared" si="2"/>
        <v>1</v>
      </c>
      <c r="AX26" s="283">
        <f t="shared" si="3"/>
        <v>0</v>
      </c>
      <c r="AY26" s="283" cm="1">
        <f t="array" ref="AY26">COUNTIFS($C26:$AG26,"9",$C$4:$AG$4,"1")+SUM(COUNTIFS($C26:$AG26,{"8","9"},$C$4:$AG$4,"2"))+COUNTIFS($C26:$AG26,"8",$C$4:$AG$4,"3")</f>
        <v>0</v>
      </c>
      <c r="AZ26" s="283">
        <f t="shared" si="4"/>
        <v>1</v>
      </c>
      <c r="BA26" s="283">
        <f t="shared" si="5"/>
        <v>2</v>
      </c>
      <c r="BB26" s="283">
        <f>AV26*'Spreadsheet Key'!$A$27+AW26*'Spreadsheet Key'!$A$28+AX26*'Spreadsheet Key'!$A$29+AY26*'Spreadsheet Key'!$A$30+AZ26*'Spreadsheet Key'!$A$31</f>
        <v>32</v>
      </c>
      <c r="BC26" s="283"/>
      <c r="BD26" s="283">
        <f t="shared" ref="BD26" si="15">AT26-BB26</f>
        <v>12.390839694656492</v>
      </c>
      <c r="BE26" s="3210"/>
      <c r="BF26" s="3210"/>
      <c r="BG26" s="3210"/>
      <c r="BH26" s="3210"/>
    </row>
    <row r="27" spans="1:60">
      <c r="A27" s="3212"/>
      <c r="B27" s="3181"/>
      <c r="C27" s="3181"/>
      <c r="D27" s="3181"/>
      <c r="E27" s="3181"/>
      <c r="F27" s="3181"/>
      <c r="G27" s="3181"/>
      <c r="H27" s="3181"/>
      <c r="I27" s="3181"/>
      <c r="J27" s="3181"/>
      <c r="K27" s="3181"/>
      <c r="L27" s="3010" t="s">
        <v>1025</v>
      </c>
      <c r="M27" s="6249" t="s">
        <v>1231</v>
      </c>
      <c r="N27" s="6249"/>
      <c r="O27" s="3010" t="s">
        <v>1025</v>
      </c>
      <c r="P27" s="3181"/>
      <c r="Q27" s="3182" t="s">
        <v>720</v>
      </c>
      <c r="R27" s="3181"/>
      <c r="S27" s="3181"/>
      <c r="T27" s="3181"/>
      <c r="U27" s="3181"/>
      <c r="V27" s="3182" t="s">
        <v>722</v>
      </c>
      <c r="W27" s="3181"/>
      <c r="X27" s="3181"/>
      <c r="Y27" s="3181"/>
      <c r="Z27" s="3181"/>
      <c r="AA27" s="3181"/>
      <c r="AB27" s="3181"/>
      <c r="AC27" s="3181"/>
      <c r="AD27" s="3181"/>
      <c r="AE27" s="3181"/>
      <c r="AF27" s="3181"/>
      <c r="AG27" s="3126"/>
      <c r="AH27" s="3126"/>
      <c r="AI27" s="3230"/>
      <c r="AJ27" s="283" cm="1">
        <f t="array" ref="AJ27">SUM(COUNTIFS($C27:$AG27,{"0","4","5","6","7","8","9"}))</f>
        <v>0</v>
      </c>
      <c r="AK27" s="283" cm="1">
        <f t="array" ref="AK27">SUM(COUNTIFS($C27:$AG27,{"0","4","5","6","7","8","9"},$C$4:$AG$4,"0"))</f>
        <v>0</v>
      </c>
      <c r="AL27" s="283" cm="1">
        <f t="array" ref="AL27">SUM(COUNTIFS($C27:$AG27,{"0","4","5","6","7","8","9"},$C$4:$AG$4,"1"))</f>
        <v>0</v>
      </c>
      <c r="AM27" s="283" cm="1">
        <f t="array" ref="AM27">SUM(COUNTIFS($C27:$AG27,{"0","4","5","6","7","8","9"},$C$4:$AG$4,"2"))</f>
        <v>0</v>
      </c>
      <c r="AN27" s="283" cm="1">
        <f t="array" ref="AN27">SUM(COUNTIFS($C27:$AG27,{"0","4","5","6","7","8","9"},$C$4:$AG$4,"3"))</f>
        <v>0</v>
      </c>
      <c r="AO27" s="283" cm="1">
        <f t="array" ref="AO27">SUM(COUNTIFS($C27:$AG27,{"1","2","3"}))</f>
        <v>0</v>
      </c>
      <c r="AP27" s="283" cm="1">
        <f t="array" ref="AP27">SUM(COUNTIFS($C27:$AG27,{"4","5","6"}))</f>
        <v>0</v>
      </c>
      <c r="AQ27" s="283">
        <f>AK27*'Spreadsheet Key'!$A$23 + AL27*'Spreadsheet Key'!$A$24 + AM27*'Spreadsheet Key'!$A$25 + AN27*'Spreadsheet Key'!$A$26</f>
        <v>0</v>
      </c>
      <c r="AR27" s="3228">
        <f>(AJ27/('APR Statistics'!$B$28))*ABS(AI27-1)</f>
        <v>0</v>
      </c>
      <c r="AS27" s="3231">
        <f t="shared" si="0"/>
        <v>0</v>
      </c>
      <c r="AT27" s="3229">
        <f>AR27*'APR Statistics'!$C$11</f>
        <v>0</v>
      </c>
      <c r="AU27" s="283"/>
      <c r="AV27" s="283">
        <f t="shared" si="1"/>
        <v>0</v>
      </c>
      <c r="AW27" s="283">
        <f t="shared" si="2"/>
        <v>0</v>
      </c>
      <c r="AX27" s="283">
        <f t="shared" si="3"/>
        <v>0</v>
      </c>
      <c r="AY27" s="283" cm="1">
        <f t="array" ref="AY27">COUNTIFS($C27:$AG27,"9",$C$4:$AG$4,"1")+SUM(COUNTIFS($C27:$AG27,{"8","9"},$C$4:$AG$4,"2"))+COUNTIFS($C27:$AG27,"8",$C$4:$AG$4,"3")</f>
        <v>0</v>
      </c>
      <c r="AZ27" s="283">
        <f t="shared" si="4"/>
        <v>0</v>
      </c>
      <c r="BA27" s="283">
        <f t="shared" si="5"/>
        <v>0</v>
      </c>
      <c r="BB27" s="283">
        <f>AV27*'Spreadsheet Key'!$A$27+AW27*'Spreadsheet Key'!$A$28+AX27*'Spreadsheet Key'!$A$29+AY27*'Spreadsheet Key'!$A$30+AZ27*'Spreadsheet Key'!$A$31</f>
        <v>0</v>
      </c>
      <c r="BC27" s="283"/>
      <c r="BD27" s="283"/>
      <c r="BE27" s="283"/>
      <c r="BF27" s="283"/>
      <c r="BG27" s="283"/>
      <c r="BH27" s="283"/>
    </row>
    <row r="28" spans="1:60" s="3211" customFormat="1">
      <c r="A28" s="3187" t="s">
        <v>293</v>
      </c>
      <c r="B28" s="3187" t="s">
        <v>733</v>
      </c>
      <c r="C28" s="3199">
        <v>0</v>
      </c>
      <c r="D28" s="3199">
        <v>0</v>
      </c>
      <c r="E28" s="3199">
        <v>0</v>
      </c>
      <c r="F28" s="3199">
        <v>0</v>
      </c>
      <c r="G28" s="3199">
        <v>0</v>
      </c>
      <c r="H28" s="3199">
        <v>0</v>
      </c>
      <c r="I28" s="3199">
        <v>0</v>
      </c>
      <c r="J28" s="3199">
        <v>0</v>
      </c>
      <c r="K28" s="3199">
        <v>0</v>
      </c>
      <c r="L28" s="3199">
        <v>1</v>
      </c>
      <c r="M28" s="3199">
        <v>2</v>
      </c>
      <c r="N28" s="3199">
        <v>2</v>
      </c>
      <c r="O28" s="3199">
        <v>3</v>
      </c>
      <c r="P28" s="3199">
        <v>0</v>
      </c>
      <c r="Q28" s="3199">
        <v>8</v>
      </c>
      <c r="R28" s="3199">
        <v>0</v>
      </c>
      <c r="S28" s="3199">
        <v>0</v>
      </c>
      <c r="T28" s="3199">
        <v>0</v>
      </c>
      <c r="U28" s="3199">
        <v>0</v>
      </c>
      <c r="V28" s="3199">
        <v>9</v>
      </c>
      <c r="W28" s="3199">
        <v>0</v>
      </c>
      <c r="X28" s="3199">
        <v>0</v>
      </c>
      <c r="Y28" s="3199">
        <v>0</v>
      </c>
      <c r="Z28" s="3199">
        <v>0</v>
      </c>
      <c r="AA28" s="3199">
        <v>0</v>
      </c>
      <c r="AB28" s="3199">
        <v>0</v>
      </c>
      <c r="AC28" s="3199">
        <v>0</v>
      </c>
      <c r="AD28" s="3199">
        <v>0</v>
      </c>
      <c r="AE28" s="3199">
        <v>0</v>
      </c>
      <c r="AF28" s="3199">
        <v>0</v>
      </c>
      <c r="AG28" s="3209"/>
      <c r="AH28" s="3209"/>
      <c r="AI28" s="3230">
        <v>0</v>
      </c>
      <c r="AJ28" s="283" cm="1">
        <f t="array" ref="AJ28">SUM(COUNTIFS($C28:$AG28,{"0","4","5","6","7","8","9"}))</f>
        <v>26</v>
      </c>
      <c r="AK28" s="283" cm="1">
        <f t="array" ref="AK28">SUM(COUNTIFS($C28:$AG28,{"0","4","5","6","7","8","9"},$C$4:$AG$4,"0"))</f>
        <v>16</v>
      </c>
      <c r="AL28" s="283" cm="1">
        <f t="array" ref="AL28">SUM(COUNTIFS($C28:$AG28,{"0","4","5","6","7","8","9"},$C$4:$AG$4,"1"))</f>
        <v>3</v>
      </c>
      <c r="AM28" s="283" cm="1">
        <f t="array" ref="AM28">SUM(COUNTIFS($C28:$AG28,{"0","4","5","6","7","8","9"},$C$4:$AG$4,"2"))</f>
        <v>4</v>
      </c>
      <c r="AN28" s="283" cm="1">
        <f t="array" ref="AN28">SUM(COUNTIFS($C28:$AG28,{"0","4","5","6","7","8","9"},$C$4:$AG$4,"3"))</f>
        <v>3</v>
      </c>
      <c r="AO28" s="283" cm="1">
        <f t="array" ref="AO28">SUM(COUNTIFS($C28:$AG28,{"1","2","3"}))</f>
        <v>4</v>
      </c>
      <c r="AP28" s="283" cm="1">
        <f t="array" ref="AP28">SUM(COUNTIFS($C28:$AG28,{"4","5","6"}))</f>
        <v>0</v>
      </c>
      <c r="AQ28" s="283">
        <f>AK28*'Spreadsheet Key'!$A$23 + AL28*'Spreadsheet Key'!$A$24 + AM28*'Spreadsheet Key'!$A$25 + AN28*'Spreadsheet Key'!$A$26</f>
        <v>970</v>
      </c>
      <c r="AR28" s="3228">
        <f>(AJ28/('APR Statistics'!$B$28))*ABS(AI28-1)</f>
        <v>4.9618320610687022E-2</v>
      </c>
      <c r="AS28" s="3231">
        <f t="shared" si="0"/>
        <v>0</v>
      </c>
      <c r="AT28" s="3229">
        <f>AR28*'APR Statistics'!$C$11</f>
        <v>48.090076335877868</v>
      </c>
      <c r="AU28" s="283"/>
      <c r="AV28" s="283">
        <f t="shared" si="1"/>
        <v>1</v>
      </c>
      <c r="AW28" s="283">
        <f t="shared" si="2"/>
        <v>0</v>
      </c>
      <c r="AX28" s="283">
        <f t="shared" si="3"/>
        <v>0</v>
      </c>
      <c r="AY28" s="283" cm="1">
        <f t="array" ref="AY28">COUNTIFS($C28:$AG28,"9",$C$4:$AG$4,"1")+SUM(COUNTIFS($C28:$AG28,{"8","9"},$C$4:$AG$4,"2"))+COUNTIFS($C28:$AG28,"8",$C$4:$AG$4,"3")</f>
        <v>0</v>
      </c>
      <c r="AZ28" s="283">
        <f t="shared" si="4"/>
        <v>1</v>
      </c>
      <c r="BA28" s="283">
        <f t="shared" si="5"/>
        <v>2</v>
      </c>
      <c r="BB28" s="283">
        <f>AV28*'Spreadsheet Key'!$A$27+AW28*'Spreadsheet Key'!$A$28+AX28*'Spreadsheet Key'!$A$29+AY28*'Spreadsheet Key'!$A$30+AZ28*'Spreadsheet Key'!$A$31</f>
        <v>30</v>
      </c>
      <c r="BC28" s="283"/>
      <c r="BD28" s="283">
        <f t="shared" ref="BD28" si="16">AT28-BB28</f>
        <v>18.090076335877868</v>
      </c>
      <c r="BE28" s="3210"/>
      <c r="BF28" s="3210"/>
      <c r="BG28" s="3210"/>
      <c r="BH28" s="3210"/>
    </row>
    <row r="29" spans="1:60">
      <c r="A29" s="3212"/>
      <c r="B29" s="3212"/>
      <c r="C29" s="3182"/>
      <c r="D29" s="3182"/>
      <c r="E29" s="3181"/>
      <c r="F29" s="3218" t="s">
        <v>722</v>
      </c>
      <c r="G29" s="3182"/>
      <c r="H29" s="3189" t="s">
        <v>251</v>
      </c>
      <c r="I29" s="6278" t="s">
        <v>1266</v>
      </c>
      <c r="J29" s="6278"/>
      <c r="K29" s="6278"/>
      <c r="L29" s="6278"/>
      <c r="M29" s="6278"/>
      <c r="N29" s="6278"/>
      <c r="O29" s="6278"/>
      <c r="P29" s="3189" t="s">
        <v>251</v>
      </c>
      <c r="Q29" s="3181"/>
      <c r="R29" s="3181"/>
      <c r="S29" s="3181"/>
      <c r="T29" s="3181"/>
      <c r="U29" s="3181"/>
      <c r="V29" s="3181"/>
      <c r="W29" s="3182" t="s">
        <v>722</v>
      </c>
      <c r="X29" s="3181"/>
      <c r="Y29" s="3181"/>
      <c r="Z29" s="3181"/>
      <c r="AA29" s="3181"/>
      <c r="AB29" s="3181"/>
      <c r="AC29" s="3181"/>
      <c r="AD29" s="3181"/>
      <c r="AE29" s="3181"/>
      <c r="AF29" s="3181"/>
      <c r="AG29" s="3126"/>
      <c r="AH29" s="3126"/>
      <c r="AI29" s="3230"/>
      <c r="AJ29" s="283" cm="1">
        <f t="array" ref="AJ29">SUM(COUNTIFS($C29:$AG29,{"0","4","5","6","7","8","9"}))</f>
        <v>0</v>
      </c>
      <c r="AK29" s="283" cm="1">
        <f t="array" ref="AK29">SUM(COUNTIFS($C29:$AG29,{"0","4","5","6","7","8","9"},$C$4:$AG$4,"0"))</f>
        <v>0</v>
      </c>
      <c r="AL29" s="283" cm="1">
        <f t="array" ref="AL29">SUM(COUNTIFS($C29:$AG29,{"0","4","5","6","7","8","9"},$C$4:$AG$4,"1"))</f>
        <v>0</v>
      </c>
      <c r="AM29" s="283" cm="1">
        <f t="array" ref="AM29">SUM(COUNTIFS($C29:$AG29,{"0","4","5","6","7","8","9"},$C$4:$AG$4,"2"))</f>
        <v>0</v>
      </c>
      <c r="AN29" s="283" cm="1">
        <f t="array" ref="AN29">SUM(COUNTIFS($C29:$AG29,{"0","4","5","6","7","8","9"},$C$4:$AG$4,"3"))</f>
        <v>0</v>
      </c>
      <c r="AO29" s="283" cm="1">
        <f t="array" ref="AO29">SUM(COUNTIFS($C29:$AG29,{"1","2","3"}))</f>
        <v>0</v>
      </c>
      <c r="AP29" s="283" cm="1">
        <f t="array" ref="AP29">SUM(COUNTIFS($C29:$AG29,{"4","5","6"}))</f>
        <v>0</v>
      </c>
      <c r="AQ29" s="283">
        <f>AK29*'Spreadsheet Key'!$A$23 + AL29*'Spreadsheet Key'!$A$24 + AM29*'Spreadsheet Key'!$A$25 + AN29*'Spreadsheet Key'!$A$26</f>
        <v>0</v>
      </c>
      <c r="AR29" s="3228">
        <f>(AJ29/('APR Statistics'!$B$28))*ABS(AI29-1)</f>
        <v>0</v>
      </c>
      <c r="AS29" s="3231">
        <f t="shared" si="0"/>
        <v>0</v>
      </c>
      <c r="AT29" s="3229">
        <f>AR29*'APR Statistics'!$C$11</f>
        <v>0</v>
      </c>
      <c r="AU29" s="283"/>
      <c r="AV29" s="283">
        <f t="shared" si="1"/>
        <v>0</v>
      </c>
      <c r="AW29" s="283">
        <f t="shared" si="2"/>
        <v>0</v>
      </c>
      <c r="AX29" s="283">
        <f t="shared" si="3"/>
        <v>0</v>
      </c>
      <c r="AY29" s="283" cm="1">
        <f t="array" ref="AY29">COUNTIFS($C29:$AG29,"9",$C$4:$AG$4,"1")+SUM(COUNTIFS($C29:$AG29,{"8","9"},$C$4:$AG$4,"2"))+COUNTIFS($C29:$AG29,"8",$C$4:$AG$4,"3")</f>
        <v>0</v>
      </c>
      <c r="AZ29" s="283">
        <f t="shared" si="4"/>
        <v>0</v>
      </c>
      <c r="BA29" s="283">
        <f t="shared" si="5"/>
        <v>0</v>
      </c>
      <c r="BB29" s="283">
        <f>AV29*'Spreadsheet Key'!$A$27+AW29*'Spreadsheet Key'!$A$28+AX29*'Spreadsheet Key'!$A$29+AY29*'Spreadsheet Key'!$A$30+AZ29*'Spreadsheet Key'!$A$31</f>
        <v>0</v>
      </c>
      <c r="BC29" s="283"/>
      <c r="BD29" s="283"/>
      <c r="BE29" s="283"/>
      <c r="BF29" s="283"/>
      <c r="BG29" s="283"/>
      <c r="BH29" s="283"/>
    </row>
    <row r="30" spans="1:60" s="3211" customFormat="1">
      <c r="A30" s="3187" t="s">
        <v>692</v>
      </c>
      <c r="B30" s="3187" t="s">
        <v>693</v>
      </c>
      <c r="C30" s="3206">
        <v>0</v>
      </c>
      <c r="D30" s="3206">
        <v>0</v>
      </c>
      <c r="E30" s="3206">
        <v>0</v>
      </c>
      <c r="F30" s="3206">
        <v>9</v>
      </c>
      <c r="G30" s="3206">
        <v>0</v>
      </c>
      <c r="H30" s="3199">
        <v>1</v>
      </c>
      <c r="I30" s="3199">
        <v>2</v>
      </c>
      <c r="J30" s="3199">
        <v>2</v>
      </c>
      <c r="K30" s="3199">
        <v>2</v>
      </c>
      <c r="L30" s="3199">
        <v>2</v>
      </c>
      <c r="M30" s="3199">
        <v>2</v>
      </c>
      <c r="N30" s="3199">
        <v>2</v>
      </c>
      <c r="O30" s="3199">
        <v>2</v>
      </c>
      <c r="P30" s="3199">
        <v>3</v>
      </c>
      <c r="Q30" s="3206">
        <v>0</v>
      </c>
      <c r="R30" s="3206">
        <v>0</v>
      </c>
      <c r="S30" s="3206">
        <v>0</v>
      </c>
      <c r="T30" s="3206">
        <v>0</v>
      </c>
      <c r="U30" s="3206">
        <v>0</v>
      </c>
      <c r="V30" s="3206">
        <v>0</v>
      </c>
      <c r="W30" s="3206">
        <v>9</v>
      </c>
      <c r="X30" s="3206">
        <v>0</v>
      </c>
      <c r="Y30" s="3206">
        <v>0</v>
      </c>
      <c r="Z30" s="3206">
        <v>0</v>
      </c>
      <c r="AA30" s="3206">
        <v>0</v>
      </c>
      <c r="AB30" s="3206">
        <v>0</v>
      </c>
      <c r="AC30" s="3206">
        <v>0</v>
      </c>
      <c r="AD30" s="3206">
        <v>0</v>
      </c>
      <c r="AE30" s="3206">
        <v>0</v>
      </c>
      <c r="AF30" s="3206">
        <v>0</v>
      </c>
      <c r="AG30" s="3209"/>
      <c r="AH30" s="3209"/>
      <c r="AI30" s="3230">
        <v>0</v>
      </c>
      <c r="AJ30" s="283" cm="1">
        <f t="array" ref="AJ30">SUM(COUNTIFS($C30:$AG30,{"0","4","5","6","7","8","9"}))</f>
        <v>21</v>
      </c>
      <c r="AK30" s="283" cm="1">
        <f t="array" ref="AK30">SUM(COUNTIFS($C30:$AG30,{"0","4","5","6","7","8","9"},$C$4:$AG$4,"0"))</f>
        <v>12</v>
      </c>
      <c r="AL30" s="283" cm="1">
        <f t="array" ref="AL30">SUM(COUNTIFS($C30:$AG30,{"0","4","5","6","7","8","9"},$C$4:$AG$4,"1"))</f>
        <v>3</v>
      </c>
      <c r="AM30" s="283" cm="1">
        <f t="array" ref="AM30">SUM(COUNTIFS($C30:$AG30,{"0","4","5","6","7","8","9"},$C$4:$AG$4,"2"))</f>
        <v>4</v>
      </c>
      <c r="AN30" s="283" cm="1">
        <f t="array" ref="AN30">SUM(COUNTIFS($C30:$AG30,{"0","4","5","6","7","8","9"},$C$4:$AG$4,"3"))</f>
        <v>2</v>
      </c>
      <c r="AO30" s="283" cm="1">
        <f t="array" ref="AO30">SUM(COUNTIFS($C30:$AG30,{"1","2","3"}))</f>
        <v>9</v>
      </c>
      <c r="AP30" s="283" cm="1">
        <f t="array" ref="AP30">SUM(COUNTIFS($C30:$AG30,{"4","5","6"}))</f>
        <v>0</v>
      </c>
      <c r="AQ30" s="283">
        <f>AK30*'Spreadsheet Key'!$A$23 + AL30*'Spreadsheet Key'!$A$24 + AM30*'Spreadsheet Key'!$A$25 + AN30*'Spreadsheet Key'!$A$26</f>
        <v>826</v>
      </c>
      <c r="AR30" s="3228">
        <f>(AJ30/('APR Statistics'!$B$28))*ABS(AI30-1)</f>
        <v>4.0076335877862593E-2</v>
      </c>
      <c r="AS30" s="3231">
        <f t="shared" si="0"/>
        <v>0</v>
      </c>
      <c r="AT30" s="3229">
        <f>AR30*'APR Statistics'!$C$11</f>
        <v>38.841984732824429</v>
      </c>
      <c r="AU30" s="283"/>
      <c r="AV30" s="283">
        <f t="shared" si="1"/>
        <v>0</v>
      </c>
      <c r="AW30" s="283">
        <f t="shared" si="2"/>
        <v>1</v>
      </c>
      <c r="AX30" s="283">
        <f t="shared" si="3"/>
        <v>0</v>
      </c>
      <c r="AY30" s="283" cm="1">
        <f t="array" ref="AY30">COUNTIFS($C30:$AG30,"9",$C$4:$AG$4,"1")+SUM(COUNTIFS($C30:$AG30,{"8","9"},$C$4:$AG$4,"2"))+COUNTIFS($C30:$AG30,"8",$C$4:$AG$4,"3")</f>
        <v>1</v>
      </c>
      <c r="AZ30" s="283">
        <f t="shared" si="4"/>
        <v>0</v>
      </c>
      <c r="BA30" s="283">
        <f t="shared" si="5"/>
        <v>2</v>
      </c>
      <c r="BB30" s="283">
        <f>AV30*'Spreadsheet Key'!$A$27+AW30*'Spreadsheet Key'!$A$28+AX30*'Spreadsheet Key'!$A$29+AY30*'Spreadsheet Key'!$A$30+AZ30*'Spreadsheet Key'!$A$31</f>
        <v>48</v>
      </c>
      <c r="BC30" s="283"/>
      <c r="BD30" s="283">
        <f t="shared" ref="BD30" si="17">AT30-BB30</f>
        <v>-9.1580152671755712</v>
      </c>
      <c r="BE30" s="3210"/>
      <c r="BF30" s="3210"/>
      <c r="BG30" s="3210"/>
      <c r="BH30" s="3210"/>
    </row>
    <row r="31" spans="1:60">
      <c r="A31" s="3212"/>
      <c r="B31" s="3212"/>
      <c r="C31" s="3182" t="s">
        <v>720</v>
      </c>
      <c r="D31" s="3181"/>
      <c r="E31" s="3181"/>
      <c r="F31" s="3181"/>
      <c r="G31" s="3181"/>
      <c r="H31" s="3181"/>
      <c r="I31" s="3181"/>
      <c r="J31" s="3181"/>
      <c r="K31" s="3181"/>
      <c r="L31" s="3181"/>
      <c r="M31" s="3181"/>
      <c r="N31" s="3181"/>
      <c r="O31" s="3181"/>
      <c r="P31" s="3181"/>
      <c r="Q31" s="3181"/>
      <c r="R31" s="3181"/>
      <c r="S31" s="3181"/>
      <c r="T31" s="3181"/>
      <c r="U31" s="3181"/>
      <c r="V31" s="3181"/>
      <c r="W31" s="3181"/>
      <c r="X31" s="3181"/>
      <c r="Y31" s="3181"/>
      <c r="Z31" s="3181"/>
      <c r="AA31" s="3182"/>
      <c r="AB31" s="3181"/>
      <c r="AC31" s="3182" t="s">
        <v>722</v>
      </c>
      <c r="AD31" s="3181"/>
      <c r="AE31" s="3181"/>
      <c r="AF31" s="3181"/>
      <c r="AG31" s="3126"/>
      <c r="AH31" s="3126"/>
      <c r="AI31" s="3230"/>
      <c r="AJ31" s="283" cm="1">
        <f t="array" ref="AJ31">SUM(COUNTIFS($C31:$AG31,{"0","4","5","6","7","8","9"}))</f>
        <v>0</v>
      </c>
      <c r="AK31" s="283" cm="1">
        <f t="array" ref="AK31">SUM(COUNTIFS($C31:$AG31,{"0","4","5","6","7","8","9"},$C$4:$AG$4,"0"))</f>
        <v>0</v>
      </c>
      <c r="AL31" s="283" cm="1">
        <f t="array" ref="AL31">SUM(COUNTIFS($C31:$AG31,{"0","4","5","6","7","8","9"},$C$4:$AG$4,"1"))</f>
        <v>0</v>
      </c>
      <c r="AM31" s="283" cm="1">
        <f t="array" ref="AM31">SUM(COUNTIFS($C31:$AG31,{"0","4","5","6","7","8","9"},$C$4:$AG$4,"2"))</f>
        <v>0</v>
      </c>
      <c r="AN31" s="283" cm="1">
        <f t="array" ref="AN31">SUM(COUNTIFS($C31:$AG31,{"0","4","5","6","7","8","9"},$C$4:$AG$4,"3"))</f>
        <v>0</v>
      </c>
      <c r="AO31" s="283" cm="1">
        <f t="array" ref="AO31">SUM(COUNTIFS($C31:$AG31,{"1","2","3"}))</f>
        <v>0</v>
      </c>
      <c r="AP31" s="283" cm="1">
        <f t="array" ref="AP31">SUM(COUNTIFS($C31:$AG31,{"4","5","6"}))</f>
        <v>0</v>
      </c>
      <c r="AQ31" s="283">
        <f>AK31*'Spreadsheet Key'!$A$23 + AL31*'Spreadsheet Key'!$A$24 + AM31*'Spreadsheet Key'!$A$25 + AN31*'Spreadsheet Key'!$A$26</f>
        <v>0</v>
      </c>
      <c r="AR31" s="3228">
        <f>(AJ31/('APR Statistics'!$B$28))*ABS(AI31-1)</f>
        <v>0</v>
      </c>
      <c r="AS31" s="3231">
        <f t="shared" si="0"/>
        <v>0</v>
      </c>
      <c r="AT31" s="3229">
        <f>AR31*'APR Statistics'!$C$11</f>
        <v>0</v>
      </c>
      <c r="AU31" s="283"/>
      <c r="AV31" s="283">
        <f t="shared" si="1"/>
        <v>0</v>
      </c>
      <c r="AW31" s="283">
        <f t="shared" si="2"/>
        <v>0</v>
      </c>
      <c r="AX31" s="283">
        <f t="shared" si="3"/>
        <v>0</v>
      </c>
      <c r="AY31" s="283" cm="1">
        <f t="array" ref="AY31">COUNTIFS($C31:$AG31,"9",$C$4:$AG$4,"1")+SUM(COUNTIFS($C31:$AG31,{"8","9"},$C$4:$AG$4,"2"))+COUNTIFS($C31:$AG31,"8",$C$4:$AG$4,"3")</f>
        <v>0</v>
      </c>
      <c r="AZ31" s="283">
        <f t="shared" si="4"/>
        <v>0</v>
      </c>
      <c r="BA31" s="283">
        <f t="shared" si="5"/>
        <v>0</v>
      </c>
      <c r="BB31" s="283">
        <f>AV31*'Spreadsheet Key'!$A$27+AW31*'Spreadsheet Key'!$A$28+AX31*'Spreadsheet Key'!$A$29+AY31*'Spreadsheet Key'!$A$30+AZ31*'Spreadsheet Key'!$A$31</f>
        <v>0</v>
      </c>
      <c r="BC31" s="283"/>
      <c r="BD31" s="283"/>
      <c r="BE31" s="283"/>
      <c r="BF31" s="283"/>
      <c r="BG31" s="283"/>
      <c r="BH31" s="283"/>
    </row>
    <row r="32" spans="1:60" s="3211" customFormat="1">
      <c r="A32" s="3187" t="s">
        <v>127</v>
      </c>
      <c r="B32" s="3187" t="s">
        <v>657</v>
      </c>
      <c r="C32" s="3206">
        <v>8</v>
      </c>
      <c r="D32" s="3206">
        <v>0</v>
      </c>
      <c r="E32" s="3206">
        <v>0</v>
      </c>
      <c r="F32" s="3206">
        <v>0</v>
      </c>
      <c r="G32" s="3206">
        <v>0</v>
      </c>
      <c r="H32" s="3206">
        <v>0</v>
      </c>
      <c r="I32" s="3206">
        <v>0</v>
      </c>
      <c r="J32" s="3206">
        <v>0</v>
      </c>
      <c r="K32" s="3206">
        <v>0</v>
      </c>
      <c r="L32" s="3206">
        <v>0</v>
      </c>
      <c r="M32" s="3206">
        <v>0</v>
      </c>
      <c r="N32" s="3206">
        <v>0</v>
      </c>
      <c r="O32" s="3206">
        <v>0</v>
      </c>
      <c r="P32" s="3206">
        <v>0</v>
      </c>
      <c r="Q32" s="3206">
        <v>0</v>
      </c>
      <c r="R32" s="3206">
        <v>0</v>
      </c>
      <c r="S32" s="3206">
        <v>0</v>
      </c>
      <c r="T32" s="3206">
        <v>0</v>
      </c>
      <c r="U32" s="3206">
        <v>0</v>
      </c>
      <c r="V32" s="3206">
        <v>0</v>
      </c>
      <c r="W32" s="3206">
        <v>0</v>
      </c>
      <c r="X32" s="3206">
        <v>0</v>
      </c>
      <c r="Y32" s="3206">
        <v>0</v>
      </c>
      <c r="Z32" s="3206">
        <v>0</v>
      </c>
      <c r="AA32" s="3206">
        <v>0</v>
      </c>
      <c r="AB32" s="3206">
        <v>0</v>
      </c>
      <c r="AC32" s="3206">
        <v>9</v>
      </c>
      <c r="AD32" s="3206">
        <v>0</v>
      </c>
      <c r="AE32" s="3206">
        <v>0</v>
      </c>
      <c r="AF32" s="3206">
        <v>0</v>
      </c>
      <c r="AG32" s="3209"/>
      <c r="AH32" s="3209"/>
      <c r="AI32" s="3230">
        <v>0</v>
      </c>
      <c r="AJ32" s="283" cm="1">
        <f t="array" ref="AJ32">SUM(COUNTIFS($C32:$AG32,{"0","4","5","6","7","8","9"}))</f>
        <v>30</v>
      </c>
      <c r="AK32" s="283" cm="1">
        <f t="array" ref="AK32">SUM(COUNTIFS($C32:$AG32,{"0","4","5","6","7","8","9"},$C$4:$AG$4,"0"))</f>
        <v>17</v>
      </c>
      <c r="AL32" s="283" cm="1">
        <f t="array" ref="AL32">SUM(COUNTIFS($C32:$AG32,{"0","4","5","6","7","8","9"},$C$4:$AG$4,"1"))</f>
        <v>4</v>
      </c>
      <c r="AM32" s="283" cm="1">
        <f t="array" ref="AM32">SUM(COUNTIFS($C32:$AG32,{"0","4","5","6","7","8","9"},$C$4:$AG$4,"2"))</f>
        <v>5</v>
      </c>
      <c r="AN32" s="283" cm="1">
        <f t="array" ref="AN32">SUM(COUNTIFS($C32:$AG32,{"0","4","5","6","7","8","9"},$C$4:$AG$4,"3"))</f>
        <v>4</v>
      </c>
      <c r="AO32" s="283" cm="1">
        <f t="array" ref="AO32">SUM(COUNTIFS($C32:$AG32,{"1","2","3"}))</f>
        <v>0</v>
      </c>
      <c r="AP32" s="283" cm="1">
        <f t="array" ref="AP32">SUM(COUNTIFS($C32:$AG32,{"4","5","6"}))</f>
        <v>0</v>
      </c>
      <c r="AQ32" s="283">
        <f>AK32*'Spreadsheet Key'!$A$23 + AL32*'Spreadsheet Key'!$A$24 + AM32*'Spreadsheet Key'!$A$25 + AN32*'Spreadsheet Key'!$A$26</f>
        <v>1174</v>
      </c>
      <c r="AR32" s="3228">
        <f>(AJ32/('APR Statistics'!$B$28))*ABS(AI32-1)</f>
        <v>5.7251908396946563E-2</v>
      </c>
      <c r="AS32" s="3231">
        <f t="shared" si="0"/>
        <v>0</v>
      </c>
      <c r="AT32" s="3229">
        <f>AR32*'APR Statistics'!$C$11</f>
        <v>55.488549618320612</v>
      </c>
      <c r="AU32" s="283"/>
      <c r="AV32" s="283">
        <f t="shared" si="1"/>
        <v>1</v>
      </c>
      <c r="AW32" s="283">
        <f t="shared" si="2"/>
        <v>0</v>
      </c>
      <c r="AX32" s="283">
        <f t="shared" si="3"/>
        <v>0</v>
      </c>
      <c r="AY32" s="283" cm="1">
        <f t="array" ref="AY32">COUNTIFS($C32:$AG32,"9",$C$4:$AG$4,"1")+SUM(COUNTIFS($C32:$AG32,{"8","9"},$C$4:$AG$4,"2"))+COUNTIFS($C32:$AG32,"8",$C$4:$AG$4,"3")</f>
        <v>0</v>
      </c>
      <c r="AZ32" s="283">
        <f t="shared" si="4"/>
        <v>1</v>
      </c>
      <c r="BA32" s="283">
        <f t="shared" si="5"/>
        <v>2</v>
      </c>
      <c r="BB32" s="283">
        <f>AV32*'Spreadsheet Key'!$A$27+AW32*'Spreadsheet Key'!$A$28+AX32*'Spreadsheet Key'!$A$29+AY32*'Spreadsheet Key'!$A$30+AZ32*'Spreadsheet Key'!$A$31</f>
        <v>30</v>
      </c>
      <c r="BC32" s="283"/>
      <c r="BD32" s="283">
        <f t="shared" ref="BD32" si="18">AT32-BB32</f>
        <v>25.488549618320612</v>
      </c>
      <c r="BE32" s="3210"/>
      <c r="BF32" s="3210"/>
      <c r="BG32" s="3210"/>
      <c r="BH32" s="3210"/>
    </row>
    <row r="33" spans="1:60">
      <c r="A33" s="3212"/>
      <c r="B33" s="3212"/>
      <c r="C33" s="3181"/>
      <c r="D33" s="3181"/>
      <c r="E33" s="3181"/>
      <c r="F33" s="3181"/>
      <c r="G33" s="3181"/>
      <c r="H33" s="3189" t="s">
        <v>251</v>
      </c>
      <c r="I33" s="6278" t="s">
        <v>1266</v>
      </c>
      <c r="J33" s="6278"/>
      <c r="K33" s="6278"/>
      <c r="L33" s="6278"/>
      <c r="M33" s="6278"/>
      <c r="N33" s="6278"/>
      <c r="O33" s="6278"/>
      <c r="P33" s="3189" t="s">
        <v>251</v>
      </c>
      <c r="Q33" s="3181"/>
      <c r="R33" s="3181"/>
      <c r="S33" s="3182" t="s">
        <v>720</v>
      </c>
      <c r="T33" s="3181"/>
      <c r="U33" s="3182" t="s">
        <v>722</v>
      </c>
      <c r="V33" s="3181"/>
      <c r="W33" s="3181"/>
      <c r="X33" s="3181"/>
      <c r="Y33" s="3181"/>
      <c r="Z33" s="5587" t="s">
        <v>1267</v>
      </c>
      <c r="AA33" s="5588"/>
      <c r="AB33" s="5588"/>
      <c r="AC33" s="5588"/>
      <c r="AD33" s="5588"/>
      <c r="AE33" s="5588"/>
      <c r="AF33" s="6188"/>
      <c r="AG33" s="3126"/>
      <c r="AH33" s="3126"/>
      <c r="AI33" s="3230"/>
      <c r="AJ33" s="283" cm="1">
        <f t="array" ref="AJ33">SUM(COUNTIFS($C33:$AG33,{"0","4","5","6","7","8","9"}))</f>
        <v>0</v>
      </c>
      <c r="AK33" s="283" cm="1">
        <f t="array" ref="AK33">SUM(COUNTIFS($C33:$AG33,{"0","4","5","6","7","8","9"},$C$4:$AG$4,"0"))</f>
        <v>0</v>
      </c>
      <c r="AL33" s="283" cm="1">
        <f t="array" ref="AL33">SUM(COUNTIFS($C33:$AG33,{"0","4","5","6","7","8","9"},$C$4:$AG$4,"1"))</f>
        <v>0</v>
      </c>
      <c r="AM33" s="283" cm="1">
        <f t="array" ref="AM33">SUM(COUNTIFS($C33:$AG33,{"0","4","5","6","7","8","9"},$C$4:$AG$4,"2"))</f>
        <v>0</v>
      </c>
      <c r="AN33" s="283" cm="1">
        <f t="array" ref="AN33">SUM(COUNTIFS($C33:$AG33,{"0","4","5","6","7","8","9"},$C$4:$AG$4,"3"))</f>
        <v>0</v>
      </c>
      <c r="AO33" s="283" cm="1">
        <f t="array" ref="AO33">SUM(COUNTIFS($C33:$AG33,{"1","2","3"}))</f>
        <v>0</v>
      </c>
      <c r="AP33" s="283" cm="1">
        <f t="array" ref="AP33">SUM(COUNTIFS($C33:$AG33,{"4","5","6"}))</f>
        <v>0</v>
      </c>
      <c r="AQ33" s="283">
        <f>AK33*'Spreadsheet Key'!$A$23 + AL33*'Spreadsheet Key'!$A$24 + AM33*'Spreadsheet Key'!$A$25 + AN33*'Spreadsheet Key'!$A$26</f>
        <v>0</v>
      </c>
      <c r="AR33" s="3228">
        <f>(AJ33/('APR Statistics'!$B$28))*ABS(AI33-1)</f>
        <v>0</v>
      </c>
      <c r="AS33" s="3231">
        <f t="shared" si="0"/>
        <v>0</v>
      </c>
      <c r="AT33" s="3229">
        <f>AR33*'APR Statistics'!$C$11</f>
        <v>0</v>
      </c>
      <c r="AU33" s="283"/>
      <c r="AV33" s="283">
        <f t="shared" si="1"/>
        <v>0</v>
      </c>
      <c r="AW33" s="283">
        <f t="shared" si="2"/>
        <v>0</v>
      </c>
      <c r="AX33" s="283">
        <f t="shared" si="3"/>
        <v>0</v>
      </c>
      <c r="AY33" s="283" cm="1">
        <f t="array" ref="AY33">COUNTIFS($C33:$AG33,"9",$C$4:$AG$4,"1")+SUM(COUNTIFS($C33:$AG33,{"8","9"},$C$4:$AG$4,"2"))+COUNTIFS($C33:$AG33,"8",$C$4:$AG$4,"3")</f>
        <v>0</v>
      </c>
      <c r="AZ33" s="283">
        <f t="shared" si="4"/>
        <v>0</v>
      </c>
      <c r="BA33" s="283">
        <f t="shared" si="5"/>
        <v>0</v>
      </c>
      <c r="BB33" s="283">
        <f>AV33*'Spreadsheet Key'!$A$27+AW33*'Spreadsheet Key'!$A$28+AX33*'Spreadsheet Key'!$A$29+AY33*'Spreadsheet Key'!$A$30+AZ33*'Spreadsheet Key'!$A$31</f>
        <v>0</v>
      </c>
      <c r="BC33" s="283"/>
      <c r="BD33" s="283"/>
      <c r="BE33" s="3139"/>
      <c r="BF33" s="3139"/>
      <c r="BG33" s="3139"/>
      <c r="BH33" s="3139"/>
    </row>
    <row r="34" spans="1:60" s="3211" customFormat="1">
      <c r="A34" s="3187" t="s">
        <v>155</v>
      </c>
      <c r="B34" s="3187" t="s">
        <v>135</v>
      </c>
      <c r="C34" s="3199">
        <v>0</v>
      </c>
      <c r="D34" s="3199">
        <v>0</v>
      </c>
      <c r="E34" s="3199">
        <v>0</v>
      </c>
      <c r="F34" s="3199">
        <v>0</v>
      </c>
      <c r="G34" s="3199">
        <v>0</v>
      </c>
      <c r="H34" s="3199">
        <v>1</v>
      </c>
      <c r="I34" s="3199">
        <v>2</v>
      </c>
      <c r="J34" s="3199">
        <v>2</v>
      </c>
      <c r="K34" s="3199">
        <v>2</v>
      </c>
      <c r="L34" s="3199">
        <v>2</v>
      </c>
      <c r="M34" s="3199">
        <v>2</v>
      </c>
      <c r="N34" s="3199">
        <v>2</v>
      </c>
      <c r="O34" s="3199">
        <v>2</v>
      </c>
      <c r="P34" s="3199">
        <v>3</v>
      </c>
      <c r="Q34" s="3199">
        <v>0</v>
      </c>
      <c r="R34" s="3199">
        <v>0</v>
      </c>
      <c r="S34" s="3199">
        <v>8</v>
      </c>
      <c r="T34" s="3199">
        <v>0</v>
      </c>
      <c r="U34" s="3206">
        <v>9</v>
      </c>
      <c r="V34" s="3199">
        <v>0</v>
      </c>
      <c r="W34" s="3199">
        <v>0</v>
      </c>
      <c r="X34" s="3199">
        <v>0</v>
      </c>
      <c r="Y34" s="3199">
        <v>0</v>
      </c>
      <c r="Z34" s="3199">
        <v>1</v>
      </c>
      <c r="AA34" s="3199">
        <v>2</v>
      </c>
      <c r="AB34" s="3199">
        <v>2</v>
      </c>
      <c r="AC34" s="3199">
        <v>2</v>
      </c>
      <c r="AD34" s="3199">
        <v>2</v>
      </c>
      <c r="AE34" s="3199">
        <v>2</v>
      </c>
      <c r="AF34" s="3199">
        <v>2</v>
      </c>
      <c r="AG34" s="3209"/>
      <c r="AH34" s="3209"/>
      <c r="AI34" s="3230">
        <v>0</v>
      </c>
      <c r="AJ34" s="283" cm="1">
        <f t="array" ref="AJ34">SUM(COUNTIFS($C34:$AG34,{"0","4","5","6","7","8","9"}))</f>
        <v>14</v>
      </c>
      <c r="AK34" s="283" cm="1">
        <f t="array" ref="AK34">SUM(COUNTIFS($C34:$AG34,{"0","4","5","6","7","8","9"},$C$4:$AG$4,"0"))</f>
        <v>8</v>
      </c>
      <c r="AL34" s="283" cm="1">
        <f t="array" ref="AL34">SUM(COUNTIFS($C34:$AG34,{"0","4","5","6","7","8","9"},$C$4:$AG$4,"1"))</f>
        <v>2</v>
      </c>
      <c r="AM34" s="283" cm="1">
        <f t="array" ref="AM34">SUM(COUNTIFS($C34:$AG34,{"0","4","5","6","7","8","9"},$C$4:$AG$4,"2"))</f>
        <v>3</v>
      </c>
      <c r="AN34" s="283" cm="1">
        <f t="array" ref="AN34">SUM(COUNTIFS($C34:$AG34,{"0","4","5","6","7","8","9"},$C$4:$AG$4,"3"))</f>
        <v>1</v>
      </c>
      <c r="AO34" s="283" cm="1">
        <f t="array" ref="AO34">SUM(COUNTIFS($C34:$AG34,{"1","2","3"}))</f>
        <v>16</v>
      </c>
      <c r="AP34" s="283" cm="1">
        <f t="array" ref="AP34">SUM(COUNTIFS($C34:$AG34,{"4","5","6"}))</f>
        <v>0</v>
      </c>
      <c r="AQ34" s="283">
        <f>AK34*'Spreadsheet Key'!$A$23 + AL34*'Spreadsheet Key'!$A$24 + AM34*'Spreadsheet Key'!$A$25 + AN34*'Spreadsheet Key'!$A$26</f>
        <v>556</v>
      </c>
      <c r="AR34" s="3228">
        <f>(AJ34/('APR Statistics'!$B$28))*ABS(AI34-1)</f>
        <v>2.6717557251908396E-2</v>
      </c>
      <c r="AS34" s="3231">
        <f t="shared" si="0"/>
        <v>0</v>
      </c>
      <c r="AT34" s="3229">
        <f>AR34*'APR Statistics'!$C$11</f>
        <v>25.894656488549618</v>
      </c>
      <c r="AU34" s="283"/>
      <c r="AV34" s="283">
        <f t="shared" si="1"/>
        <v>0</v>
      </c>
      <c r="AW34" s="283">
        <f t="shared" si="2"/>
        <v>0</v>
      </c>
      <c r="AX34" s="283">
        <f t="shared" si="3"/>
        <v>1</v>
      </c>
      <c r="AY34" s="283" cm="1">
        <f t="array" ref="AY34">COUNTIFS($C34:$AG34,"9",$C$4:$AG$4,"1")+SUM(COUNTIFS($C34:$AG34,{"8","9"},$C$4:$AG$4,"2"))+COUNTIFS($C34:$AG34,"8",$C$4:$AG$4,"3")</f>
        <v>1</v>
      </c>
      <c r="AZ34" s="283">
        <f t="shared" si="4"/>
        <v>0</v>
      </c>
      <c r="BA34" s="283">
        <f t="shared" si="5"/>
        <v>2</v>
      </c>
      <c r="BB34" s="283">
        <f>AV34*'Spreadsheet Key'!$A$27+AW34*'Spreadsheet Key'!$A$28+AX34*'Spreadsheet Key'!$A$29+AY34*'Spreadsheet Key'!$A$30+AZ34*'Spreadsheet Key'!$A$31</f>
        <v>54</v>
      </c>
      <c r="BC34" s="283"/>
      <c r="BD34" s="283">
        <f t="shared" ref="BD34" si="19">AT34-BB34</f>
        <v>-28.105343511450382</v>
      </c>
      <c r="BE34" s="3213"/>
      <c r="BF34" s="3213"/>
      <c r="BG34" s="3213"/>
      <c r="BH34" s="3213"/>
    </row>
    <row r="35" spans="1:60">
      <c r="A35" s="3212"/>
      <c r="B35" s="3212"/>
      <c r="C35" s="3181"/>
      <c r="D35" s="3181"/>
      <c r="E35" s="3181"/>
      <c r="F35" s="3182"/>
      <c r="G35" s="3218" t="s">
        <v>722</v>
      </c>
      <c r="H35" s="3181"/>
      <c r="I35" s="3181"/>
      <c r="J35" s="3181"/>
      <c r="K35" s="3181"/>
      <c r="L35" s="3181"/>
      <c r="M35" s="3181"/>
      <c r="N35" s="3181"/>
      <c r="O35" s="3181"/>
      <c r="P35" s="3181"/>
      <c r="Q35" s="3181"/>
      <c r="R35" s="3181"/>
      <c r="S35" s="3181"/>
      <c r="T35" s="3181"/>
      <c r="U35" s="3181"/>
      <c r="V35" s="3181"/>
      <c r="W35" s="3181"/>
      <c r="X35" s="3181"/>
      <c r="Y35" s="3181"/>
      <c r="Z35" s="3181"/>
      <c r="AA35" s="3218" t="s">
        <v>722</v>
      </c>
      <c r="AB35" s="3181"/>
      <c r="AC35" s="3182"/>
      <c r="AD35" s="3181"/>
      <c r="AE35" s="3181"/>
      <c r="AF35" s="3181"/>
      <c r="AG35" s="3126"/>
      <c r="AH35" s="3126"/>
      <c r="AI35" s="3230"/>
      <c r="AJ35" s="283" cm="1">
        <f t="array" ref="AJ35">SUM(COUNTIFS($C35:$AG35,{"0","4","5","6","7","8","9"}))</f>
        <v>0</v>
      </c>
      <c r="AK35" s="283" cm="1">
        <f t="array" ref="AK35">SUM(COUNTIFS($C35:$AG35,{"0","4","5","6","7","8","9"},$C$4:$AG$4,"0"))</f>
        <v>0</v>
      </c>
      <c r="AL35" s="283" cm="1">
        <f t="array" ref="AL35">SUM(COUNTIFS($C35:$AG35,{"0","4","5","6","7","8","9"},$C$4:$AG$4,"1"))</f>
        <v>0</v>
      </c>
      <c r="AM35" s="283" cm="1">
        <f t="array" ref="AM35">SUM(COUNTIFS($C35:$AG35,{"0","4","5","6","7","8","9"},$C$4:$AG$4,"2"))</f>
        <v>0</v>
      </c>
      <c r="AN35" s="283" cm="1">
        <f t="array" ref="AN35">SUM(COUNTIFS($C35:$AG35,{"0","4","5","6","7","8","9"},$C$4:$AG$4,"3"))</f>
        <v>0</v>
      </c>
      <c r="AO35" s="283" cm="1">
        <f t="array" ref="AO35">SUM(COUNTIFS($C35:$AG35,{"1","2","3"}))</f>
        <v>0</v>
      </c>
      <c r="AP35" s="283" cm="1">
        <f t="array" ref="AP35">SUM(COUNTIFS($C35:$AG35,{"4","5","6"}))</f>
        <v>0</v>
      </c>
      <c r="AQ35" s="283">
        <f>AK35*'Spreadsheet Key'!$A$23 + AL35*'Spreadsheet Key'!$A$24 + AM35*'Spreadsheet Key'!$A$25 + AN35*'Spreadsheet Key'!$A$26</f>
        <v>0</v>
      </c>
      <c r="AR35" s="3228">
        <f>(AJ35/('APR Statistics'!$B$28))*ABS(AI35-1)</f>
        <v>0</v>
      </c>
      <c r="AS35" s="3231">
        <f t="shared" si="0"/>
        <v>0</v>
      </c>
      <c r="AT35" s="3229">
        <f>AR35*'APR Statistics'!$C$11</f>
        <v>0</v>
      </c>
      <c r="AU35" s="283"/>
      <c r="AV35" s="283">
        <f t="shared" si="1"/>
        <v>0</v>
      </c>
      <c r="AW35" s="283">
        <f t="shared" si="2"/>
        <v>0</v>
      </c>
      <c r="AX35" s="283">
        <f t="shared" si="3"/>
        <v>0</v>
      </c>
      <c r="AY35" s="283" cm="1">
        <f t="array" ref="AY35">COUNTIFS($C35:$AG35,"9",$C$4:$AG$4,"1")+SUM(COUNTIFS($C35:$AG35,{"8","9"},$C$4:$AG$4,"2"))+COUNTIFS($C35:$AG35,"8",$C$4:$AG$4,"3")</f>
        <v>0</v>
      </c>
      <c r="AZ35" s="283">
        <f t="shared" si="4"/>
        <v>0</v>
      </c>
      <c r="BA35" s="283">
        <f t="shared" si="5"/>
        <v>0</v>
      </c>
      <c r="BB35" s="283">
        <f>AV35*'Spreadsheet Key'!$A$27+AW35*'Spreadsheet Key'!$A$28+AX35*'Spreadsheet Key'!$A$29+AY35*'Spreadsheet Key'!$A$30+AZ35*'Spreadsheet Key'!$A$31</f>
        <v>0</v>
      </c>
      <c r="BC35" s="283"/>
      <c r="BD35" s="283"/>
      <c r="BE35" s="3139"/>
      <c r="BF35" s="3139"/>
      <c r="BG35" s="3139"/>
      <c r="BH35" s="3139"/>
    </row>
    <row r="36" spans="1:60" s="3211" customFormat="1">
      <c r="A36" s="3187" t="s">
        <v>1056</v>
      </c>
      <c r="B36" s="3187" t="s">
        <v>334</v>
      </c>
      <c r="C36" s="3206">
        <v>0</v>
      </c>
      <c r="D36" s="3206">
        <v>0</v>
      </c>
      <c r="E36" s="3206">
        <v>0</v>
      </c>
      <c r="F36" s="3206">
        <v>0</v>
      </c>
      <c r="G36" s="3206">
        <v>9</v>
      </c>
      <c r="H36" s="3206">
        <v>0</v>
      </c>
      <c r="I36" s="3206">
        <v>0</v>
      </c>
      <c r="J36" s="3206">
        <v>0</v>
      </c>
      <c r="K36" s="3206">
        <v>0</v>
      </c>
      <c r="L36" s="3206">
        <v>0</v>
      </c>
      <c r="M36" s="3206">
        <v>0</v>
      </c>
      <c r="N36" s="3206">
        <v>0</v>
      </c>
      <c r="O36" s="3206">
        <v>0</v>
      </c>
      <c r="P36" s="3206">
        <v>0</v>
      </c>
      <c r="Q36" s="3206">
        <v>0</v>
      </c>
      <c r="R36" s="3206">
        <v>0</v>
      </c>
      <c r="S36" s="3206">
        <v>0</v>
      </c>
      <c r="T36" s="3206">
        <v>0</v>
      </c>
      <c r="U36" s="3206">
        <v>0</v>
      </c>
      <c r="V36" s="3206">
        <v>0</v>
      </c>
      <c r="W36" s="3206">
        <v>0</v>
      </c>
      <c r="X36" s="3206">
        <v>0</v>
      </c>
      <c r="Y36" s="3206">
        <v>0</v>
      </c>
      <c r="Z36" s="3206">
        <v>0</v>
      </c>
      <c r="AA36" s="3206">
        <v>9</v>
      </c>
      <c r="AB36" s="3206">
        <v>0</v>
      </c>
      <c r="AC36" s="3206">
        <v>0</v>
      </c>
      <c r="AD36" s="3206">
        <v>0</v>
      </c>
      <c r="AE36" s="3206">
        <v>0</v>
      </c>
      <c r="AF36" s="3206">
        <v>0</v>
      </c>
      <c r="AG36" s="3209"/>
      <c r="AH36" s="3209"/>
      <c r="AI36" s="3230">
        <v>0</v>
      </c>
      <c r="AJ36" s="283" cm="1">
        <f t="array" ref="AJ36">SUM(COUNTIFS($C36:$AG36,{"0","4","5","6","7","8","9"}))</f>
        <v>30</v>
      </c>
      <c r="AK36" s="283" cm="1">
        <f t="array" ref="AK36">SUM(COUNTIFS($C36:$AG36,{"0","4","5","6","7","8","9"},$C$4:$AG$4,"0"))</f>
        <v>17</v>
      </c>
      <c r="AL36" s="283" cm="1">
        <f t="array" ref="AL36">SUM(COUNTIFS($C36:$AG36,{"0","4","5","6","7","8","9"},$C$4:$AG$4,"1"))</f>
        <v>4</v>
      </c>
      <c r="AM36" s="283" cm="1">
        <f t="array" ref="AM36">SUM(COUNTIFS($C36:$AG36,{"0","4","5","6","7","8","9"},$C$4:$AG$4,"2"))</f>
        <v>5</v>
      </c>
      <c r="AN36" s="283" cm="1">
        <f t="array" ref="AN36">SUM(COUNTIFS($C36:$AG36,{"0","4","5","6","7","8","9"},$C$4:$AG$4,"3"))</f>
        <v>4</v>
      </c>
      <c r="AO36" s="283" cm="1">
        <f t="array" ref="AO36">SUM(COUNTIFS($C36:$AG36,{"1","2","3"}))</f>
        <v>0</v>
      </c>
      <c r="AP36" s="283" cm="1">
        <f t="array" ref="AP36">SUM(COUNTIFS($C36:$AG36,{"4","5","6"}))</f>
        <v>0</v>
      </c>
      <c r="AQ36" s="283">
        <f>AK36*'Spreadsheet Key'!$A$23 + AL36*'Spreadsheet Key'!$A$24 + AM36*'Spreadsheet Key'!$A$25 + AN36*'Spreadsheet Key'!$A$26</f>
        <v>1174</v>
      </c>
      <c r="AR36" s="3228">
        <f>(AJ36/('APR Statistics'!$B$28))*ABS(AI36-1)</f>
        <v>5.7251908396946563E-2</v>
      </c>
      <c r="AS36" s="3231">
        <f t="shared" si="0"/>
        <v>0</v>
      </c>
      <c r="AT36" s="3229">
        <f>AR36*'APR Statistics'!$C$11</f>
        <v>55.488549618320612</v>
      </c>
      <c r="AU36" s="283"/>
      <c r="AV36" s="283">
        <f t="shared" si="1"/>
        <v>0</v>
      </c>
      <c r="AW36" s="283">
        <f t="shared" si="2"/>
        <v>0</v>
      </c>
      <c r="AX36" s="283">
        <f t="shared" si="3"/>
        <v>0</v>
      </c>
      <c r="AY36" s="283" cm="1">
        <f t="array" ref="AY36">COUNTIFS($C36:$AG36,"9",$C$4:$AG$4,"1")+SUM(COUNTIFS($C36:$AG36,{"8","9"},$C$4:$AG$4,"2"))+COUNTIFS($C36:$AG36,"8",$C$4:$AG$4,"3")</f>
        <v>2</v>
      </c>
      <c r="AZ36" s="283">
        <f t="shared" si="4"/>
        <v>0</v>
      </c>
      <c r="BA36" s="283">
        <f t="shared" si="5"/>
        <v>2</v>
      </c>
      <c r="BB36" s="283">
        <f>AV36*'Spreadsheet Key'!$A$27+AW36*'Spreadsheet Key'!$A$28+AX36*'Spreadsheet Key'!$A$29+AY36*'Spreadsheet Key'!$A$30+AZ36*'Spreadsheet Key'!$A$31</f>
        <v>72</v>
      </c>
      <c r="BC36" s="283"/>
      <c r="BD36" s="283">
        <f t="shared" ref="BD36:BD38" si="20">AT36-BB36</f>
        <v>-16.511450381679388</v>
      </c>
      <c r="BE36" s="3213"/>
      <c r="BF36" s="3213"/>
      <c r="BG36" s="3213"/>
      <c r="BH36" s="3213"/>
    </row>
    <row r="37" spans="1:60">
      <c r="A37" s="3212"/>
      <c r="B37" s="3212"/>
      <c r="C37" s="3181"/>
      <c r="D37" s="3196"/>
      <c r="E37" s="3182" t="s">
        <v>720</v>
      </c>
      <c r="F37" s="3181"/>
      <c r="G37" s="6276" t="s">
        <v>530</v>
      </c>
      <c r="H37" s="6276"/>
      <c r="I37" s="6276"/>
      <c r="J37" s="6276"/>
      <c r="K37" s="6276"/>
      <c r="L37" s="6276"/>
      <c r="M37" s="5587" t="s">
        <v>1274</v>
      </c>
      <c r="N37" s="5588"/>
      <c r="O37" s="5589"/>
      <c r="P37" s="3181"/>
      <c r="Q37" s="3181"/>
      <c r="R37" s="3181"/>
      <c r="S37" s="3181"/>
      <c r="T37" s="3181"/>
      <c r="U37" s="3181"/>
      <c r="V37" s="3181"/>
      <c r="W37" s="3181"/>
      <c r="X37" s="3182" t="s">
        <v>722</v>
      </c>
      <c r="Y37" s="3181"/>
      <c r="Z37" s="3181"/>
      <c r="AA37" s="3181"/>
      <c r="AB37" s="3181"/>
      <c r="AC37" s="3181"/>
      <c r="AD37" s="3181"/>
      <c r="AE37" s="3181"/>
      <c r="AF37" s="3190"/>
      <c r="AG37" s="3126"/>
      <c r="AH37" s="3126"/>
      <c r="AI37" s="3230"/>
      <c r="AJ37" s="283" cm="1">
        <f t="array" ref="AJ37">SUM(COUNTIFS($C37:$AG37,{"0","4","5","6","7","8","9"}))</f>
        <v>0</v>
      </c>
      <c r="AK37" s="283" cm="1">
        <f t="array" ref="AK37">SUM(COUNTIFS($C37:$AG37,{"0","4","5","6","7","8","9"},$C$4:$AG$4,"0"))</f>
        <v>0</v>
      </c>
      <c r="AL37" s="283" cm="1">
        <f t="array" ref="AL37">SUM(COUNTIFS($C37:$AG37,{"0","4","5","6","7","8","9"},$C$4:$AG$4,"1"))</f>
        <v>0</v>
      </c>
      <c r="AM37" s="283" cm="1">
        <f t="array" ref="AM37">SUM(COUNTIFS($C37:$AG37,{"0","4","5","6","7","8","9"},$C$4:$AG$4,"2"))</f>
        <v>0</v>
      </c>
      <c r="AN37" s="283" cm="1">
        <f t="array" ref="AN37">SUM(COUNTIFS($C37:$AG37,{"0","4","5","6","7","8","9"},$C$4:$AG$4,"3"))</f>
        <v>0</v>
      </c>
      <c r="AO37" s="283" cm="1">
        <f t="array" ref="AO37">SUM(COUNTIFS($C37:$AG37,{"1","2","3"}))</f>
        <v>0</v>
      </c>
      <c r="AP37" s="283" cm="1">
        <f t="array" ref="AP37">SUM(COUNTIFS($C37:$AG37,{"4","5","6"}))</f>
        <v>0</v>
      </c>
      <c r="AQ37" s="283">
        <f>AK37*'Spreadsheet Key'!$A$23 + AL37*'Spreadsheet Key'!$A$24 + AM37*'Spreadsheet Key'!$A$25 + AN37*'Spreadsheet Key'!$A$26</f>
        <v>0</v>
      </c>
      <c r="AR37" s="3228">
        <f>(AJ37/('APR Statistics'!$B$28))*ABS(AI37-1)</f>
        <v>0</v>
      </c>
      <c r="AS37" s="3231">
        <f t="shared" si="0"/>
        <v>0</v>
      </c>
      <c r="AT37" s="3229">
        <f>AR37*'APR Statistics'!$C$11</f>
        <v>0</v>
      </c>
      <c r="AU37" s="283"/>
      <c r="AV37" s="283">
        <f t="shared" si="1"/>
        <v>0</v>
      </c>
      <c r="AW37" s="283">
        <f t="shared" si="2"/>
        <v>0</v>
      </c>
      <c r="AX37" s="283">
        <f t="shared" si="3"/>
        <v>0</v>
      </c>
      <c r="AY37" s="283" cm="1">
        <f t="array" ref="AY37">COUNTIFS($C37:$AG37,"9",$C$4:$AG$4,"1")+SUM(COUNTIFS($C37:$AG37,{"8","9"},$C$4:$AG$4,"2"))+COUNTIFS($C37:$AG37,"8",$C$4:$AG$4,"3")</f>
        <v>0</v>
      </c>
      <c r="AZ37" s="283">
        <f t="shared" si="4"/>
        <v>0</v>
      </c>
      <c r="BA37" s="283">
        <f t="shared" si="5"/>
        <v>0</v>
      </c>
      <c r="BB37" s="283">
        <f>AV37*'Spreadsheet Key'!$A$27+AW37*'Spreadsheet Key'!$A$28+AX37*'Spreadsheet Key'!$A$29+AY37*'Spreadsheet Key'!$A$30+AZ37*'Spreadsheet Key'!$A$31</f>
        <v>0</v>
      </c>
      <c r="BC37" s="283"/>
      <c r="BD37" s="283"/>
      <c r="BE37" s="283"/>
      <c r="BF37" s="283"/>
      <c r="BG37" s="283"/>
      <c r="BH37" s="283"/>
    </row>
    <row r="38" spans="1:60" s="3211" customFormat="1">
      <c r="A38" s="3187" t="s">
        <v>129</v>
      </c>
      <c r="B38" s="3187" t="s">
        <v>474</v>
      </c>
      <c r="C38" s="3199">
        <v>0</v>
      </c>
      <c r="D38" s="3199">
        <v>0</v>
      </c>
      <c r="E38" s="3199">
        <v>8</v>
      </c>
      <c r="F38" s="3199">
        <v>0</v>
      </c>
      <c r="G38" s="3199">
        <v>1</v>
      </c>
      <c r="H38" s="3199">
        <v>2</v>
      </c>
      <c r="I38" s="3199">
        <v>2</v>
      </c>
      <c r="J38" s="3199">
        <v>2</v>
      </c>
      <c r="K38" s="3199">
        <v>2</v>
      </c>
      <c r="L38" s="3199">
        <v>2</v>
      </c>
      <c r="M38" s="3219">
        <v>2</v>
      </c>
      <c r="N38" s="3219">
        <v>2</v>
      </c>
      <c r="O38" s="3219">
        <v>3</v>
      </c>
      <c r="P38" s="3199">
        <v>0</v>
      </c>
      <c r="Q38" s="3199">
        <v>0</v>
      </c>
      <c r="R38" s="3199">
        <v>0</v>
      </c>
      <c r="S38" s="3199">
        <v>0</v>
      </c>
      <c r="T38" s="3199">
        <v>0</v>
      </c>
      <c r="U38" s="3199">
        <v>0</v>
      </c>
      <c r="V38" s="3199">
        <v>0</v>
      </c>
      <c r="W38" s="3199">
        <v>0</v>
      </c>
      <c r="X38" s="3199">
        <v>9</v>
      </c>
      <c r="Y38" s="3199">
        <v>0</v>
      </c>
      <c r="Z38" s="3199">
        <v>0</v>
      </c>
      <c r="AA38" s="3199">
        <v>0</v>
      </c>
      <c r="AB38" s="3199">
        <v>0</v>
      </c>
      <c r="AC38" s="3199">
        <v>0</v>
      </c>
      <c r="AD38" s="3199">
        <v>0</v>
      </c>
      <c r="AE38" s="3199">
        <v>0</v>
      </c>
      <c r="AF38" s="3199">
        <v>0</v>
      </c>
      <c r="AG38" s="3209"/>
      <c r="AH38" s="3209"/>
      <c r="AI38" s="3230">
        <v>0</v>
      </c>
      <c r="AJ38" s="283" cm="1">
        <f t="array" ref="AJ38">SUM(COUNTIFS($C38:$AG38,{"0","4","5","6","7","8","9"}))</f>
        <v>21</v>
      </c>
      <c r="AK38" s="283" cm="1">
        <f t="array" ref="AK38">SUM(COUNTIFS($C38:$AG38,{"0","4","5","6","7","8","9"},$C$4:$AG$4,"0"))</f>
        <v>13</v>
      </c>
      <c r="AL38" s="283" cm="1">
        <f t="array" ref="AL38">SUM(COUNTIFS($C38:$AG38,{"0","4","5","6","7","8","9"},$C$4:$AG$4,"1"))</f>
        <v>3</v>
      </c>
      <c r="AM38" s="283" cm="1">
        <f t="array" ref="AM38">SUM(COUNTIFS($C38:$AG38,{"0","4","5","6","7","8","9"},$C$4:$AG$4,"2"))</f>
        <v>3</v>
      </c>
      <c r="AN38" s="283" cm="1">
        <f t="array" ref="AN38">SUM(COUNTIFS($C38:$AG38,{"0","4","5","6","7","8","9"},$C$4:$AG$4,"3"))</f>
        <v>2</v>
      </c>
      <c r="AO38" s="283" cm="1">
        <f t="array" ref="AO38">SUM(COUNTIFS($C38:$AG38,{"1","2","3"}))</f>
        <v>9</v>
      </c>
      <c r="AP38" s="283" cm="1">
        <f t="array" ref="AP38">SUM(COUNTIFS($C38:$AG38,{"4","5","6"}))</f>
        <v>0</v>
      </c>
      <c r="AQ38" s="283">
        <f>AK38*'Spreadsheet Key'!$A$23 + AL38*'Spreadsheet Key'!$A$24 + AM38*'Spreadsheet Key'!$A$25 + AN38*'Spreadsheet Key'!$A$26</f>
        <v>776</v>
      </c>
      <c r="AR38" s="3228">
        <f>(AJ38/('APR Statistics'!$B$28))*ABS(AI38-1)</f>
        <v>4.0076335877862593E-2</v>
      </c>
      <c r="AS38" s="3231">
        <f t="shared" si="0"/>
        <v>0</v>
      </c>
      <c r="AT38" s="3229">
        <f>AR38*'APR Statistics'!$C$11</f>
        <v>38.841984732824429</v>
      </c>
      <c r="AU38" s="283"/>
      <c r="AV38" s="283">
        <f t="shared" si="1"/>
        <v>1</v>
      </c>
      <c r="AW38" s="283">
        <f t="shared" si="2"/>
        <v>1</v>
      </c>
      <c r="AX38" s="283">
        <f t="shared" si="3"/>
        <v>0</v>
      </c>
      <c r="AY38" s="283" cm="1">
        <f t="array" ref="AY38">COUNTIFS($C38:$AG38,"9",$C$4:$AG$4,"1")+SUM(COUNTIFS($C38:$AG38,{"8","9"},$C$4:$AG$4,"2"))+COUNTIFS($C38:$AG38,"8",$C$4:$AG$4,"3")</f>
        <v>0</v>
      </c>
      <c r="AZ38" s="283">
        <f t="shared" si="4"/>
        <v>0</v>
      </c>
      <c r="BA38" s="283">
        <f t="shared" si="5"/>
        <v>2</v>
      </c>
      <c r="BB38" s="283">
        <f>AV38*'Spreadsheet Key'!$A$27+AW38*'Spreadsheet Key'!$A$28+AX38*'Spreadsheet Key'!$A$29+AY38*'Spreadsheet Key'!$A$30+AZ38*'Spreadsheet Key'!$A$31</f>
        <v>22</v>
      </c>
      <c r="BC38" s="283"/>
      <c r="BD38" s="283">
        <f t="shared" ref="BD38:BD40" si="21">AT38-BB38</f>
        <v>16.841984732824429</v>
      </c>
      <c r="BE38" s="3210"/>
      <c r="BF38" s="3210"/>
      <c r="BG38" s="3210"/>
      <c r="BH38" s="3210"/>
    </row>
    <row r="39" spans="1:60">
      <c r="A39" s="3212"/>
      <c r="B39" s="3212"/>
      <c r="C39" s="6279" t="s">
        <v>1268</v>
      </c>
      <c r="D39" s="6279"/>
      <c r="E39" s="6279"/>
      <c r="F39" s="6279"/>
      <c r="G39" s="3183" t="s">
        <v>1025</v>
      </c>
      <c r="H39" s="3181"/>
      <c r="I39" s="3181"/>
      <c r="J39" s="3182"/>
      <c r="K39" s="3182" t="s">
        <v>720</v>
      </c>
      <c r="L39" s="3181"/>
      <c r="M39" s="3181"/>
      <c r="N39" s="3181"/>
      <c r="O39" s="3181"/>
      <c r="P39" s="3182" t="s">
        <v>720</v>
      </c>
      <c r="Q39" s="6268" t="s">
        <v>1263</v>
      </c>
      <c r="R39" s="6268"/>
      <c r="S39" s="3181"/>
      <c r="T39" s="3181"/>
      <c r="U39" s="3181"/>
      <c r="V39" s="3181"/>
      <c r="W39" s="3181"/>
      <c r="X39" s="3182" t="s">
        <v>720</v>
      </c>
      <c r="Y39" s="3181"/>
      <c r="Z39" s="3181"/>
      <c r="AA39" s="3182"/>
      <c r="AB39" s="3181"/>
      <c r="AC39" s="3181"/>
      <c r="AD39" s="3181"/>
      <c r="AE39" s="3181"/>
      <c r="AF39" s="3183" t="s">
        <v>1025</v>
      </c>
      <c r="AG39" s="3126"/>
      <c r="AH39" s="3126"/>
      <c r="AI39" s="3230"/>
      <c r="AJ39" s="283" cm="1">
        <f t="array" ref="AJ39">SUM(COUNTIFS($C39:$AG39,{"0","4","5","6","7","8","9"}))</f>
        <v>0</v>
      </c>
      <c r="AK39" s="283" cm="1">
        <f t="array" ref="AK39">SUM(COUNTIFS($C39:$AG39,{"0","4","5","6","7","8","9"},$C$4:$AG$4,"0"))</f>
        <v>0</v>
      </c>
      <c r="AL39" s="283" cm="1">
        <f t="array" ref="AL39">SUM(COUNTIFS($C39:$AG39,{"0","4","5","6","7","8","9"},$C$4:$AG$4,"1"))</f>
        <v>0</v>
      </c>
      <c r="AM39" s="283" cm="1">
        <f t="array" ref="AM39">SUM(COUNTIFS($C39:$AG39,{"0","4","5","6","7","8","9"},$C$4:$AG$4,"2"))</f>
        <v>0</v>
      </c>
      <c r="AN39" s="283" cm="1">
        <f t="array" ref="AN39">SUM(COUNTIFS($C39:$AG39,{"0","4","5","6","7","8","9"},$C$4:$AG$4,"3"))</f>
        <v>0</v>
      </c>
      <c r="AO39" s="283" cm="1">
        <f t="array" ref="AO39">SUM(COUNTIFS($C39:$AG39,{"1","2","3"}))</f>
        <v>0</v>
      </c>
      <c r="AP39" s="283" cm="1">
        <f t="array" ref="AP39">SUM(COUNTIFS($C39:$AG39,{"4","5","6"}))</f>
        <v>0</v>
      </c>
      <c r="AQ39" s="283">
        <f>AK39*'Spreadsheet Key'!$A$23 + AL39*'Spreadsheet Key'!$A$24 + AM39*'Spreadsheet Key'!$A$25 + AN39*'Spreadsheet Key'!$A$26</f>
        <v>0</v>
      </c>
      <c r="AR39" s="3228">
        <f>(AJ39/('APR Statistics'!$B$28))*ABS(AI39-1)</f>
        <v>0</v>
      </c>
      <c r="AS39" s="3231">
        <f t="shared" si="0"/>
        <v>0</v>
      </c>
      <c r="AT39" s="3229">
        <f>AR39*'APR Statistics'!$C$11</f>
        <v>0</v>
      </c>
      <c r="AU39" s="283"/>
      <c r="AV39" s="283">
        <f t="shared" si="1"/>
        <v>0</v>
      </c>
      <c r="AW39" s="283">
        <f t="shared" si="2"/>
        <v>0</v>
      </c>
      <c r="AX39" s="283">
        <f t="shared" si="3"/>
        <v>0</v>
      </c>
      <c r="AY39" s="283" cm="1">
        <f t="array" ref="AY39">COUNTIFS($C39:$AG39,"9",$C$4:$AG$4,"1")+SUM(COUNTIFS($C39:$AG39,{"8","9"},$C$4:$AG$4,"2"))+COUNTIFS($C39:$AG39,"8",$C$4:$AG$4,"3")</f>
        <v>0</v>
      </c>
      <c r="AZ39" s="283">
        <f t="shared" si="4"/>
        <v>0</v>
      </c>
      <c r="BA39" s="283">
        <f t="shared" si="5"/>
        <v>0</v>
      </c>
      <c r="BB39" s="283">
        <f>AV39*'Spreadsheet Key'!$A$27+AW39*'Spreadsheet Key'!$A$28+AX39*'Spreadsheet Key'!$A$29+AY39*'Spreadsheet Key'!$A$30+AZ39*'Spreadsheet Key'!$A$31</f>
        <v>0</v>
      </c>
      <c r="BC39" s="283"/>
      <c r="BD39" s="283"/>
      <c r="BE39" s="283"/>
      <c r="BF39" s="283"/>
      <c r="BG39" s="283"/>
      <c r="BH39" s="283"/>
    </row>
    <row r="40" spans="1:60" s="3211" customFormat="1">
      <c r="A40" s="3180" t="s">
        <v>283</v>
      </c>
      <c r="B40" s="3180" t="s">
        <v>1036</v>
      </c>
      <c r="C40" s="3199">
        <v>2</v>
      </c>
      <c r="D40" s="3199">
        <v>2</v>
      </c>
      <c r="E40" s="3199">
        <v>2</v>
      </c>
      <c r="F40" s="3199">
        <v>2</v>
      </c>
      <c r="G40" s="3199">
        <v>3</v>
      </c>
      <c r="H40" s="3199">
        <v>0</v>
      </c>
      <c r="I40" s="3199">
        <v>0</v>
      </c>
      <c r="J40" s="3199">
        <v>0</v>
      </c>
      <c r="K40" s="3199">
        <v>8</v>
      </c>
      <c r="L40" s="3199">
        <v>0</v>
      </c>
      <c r="M40" s="3199">
        <v>0</v>
      </c>
      <c r="N40" s="3199">
        <v>0</v>
      </c>
      <c r="O40" s="3199">
        <v>0</v>
      </c>
      <c r="P40" s="3199">
        <v>8</v>
      </c>
      <c r="Q40" s="3199">
        <v>7</v>
      </c>
      <c r="R40" s="3199">
        <v>7</v>
      </c>
      <c r="S40" s="3199">
        <v>0</v>
      </c>
      <c r="T40" s="3199">
        <v>0</v>
      </c>
      <c r="U40" s="3199">
        <v>0</v>
      </c>
      <c r="V40" s="3199">
        <v>0</v>
      </c>
      <c r="W40" s="3199">
        <v>0</v>
      </c>
      <c r="X40" s="3199">
        <v>8</v>
      </c>
      <c r="Y40" s="3199">
        <v>0</v>
      </c>
      <c r="Z40" s="3199">
        <v>0</v>
      </c>
      <c r="AA40" s="3199">
        <v>0</v>
      </c>
      <c r="AB40" s="3199">
        <v>0</v>
      </c>
      <c r="AC40" s="3199">
        <v>0</v>
      </c>
      <c r="AD40" s="3199">
        <v>0</v>
      </c>
      <c r="AE40" s="3199">
        <v>0</v>
      </c>
      <c r="AF40" s="3199">
        <v>1</v>
      </c>
      <c r="AG40" s="3209"/>
      <c r="AH40" s="3209"/>
      <c r="AI40" s="3230">
        <v>1</v>
      </c>
      <c r="AJ40" s="283" cm="1">
        <f t="array" ref="AJ40">SUM(COUNTIFS($C40:$AG40,{"0","4","5","6","7","8","9"}))</f>
        <v>24</v>
      </c>
      <c r="AK40" s="283" cm="1">
        <f t="array" ref="AK40">SUM(COUNTIFS($C40:$AG40,{"0","4","5","6","7","8","9"},$C$4:$AG$4,"0"))</f>
        <v>13</v>
      </c>
      <c r="AL40" s="283" cm="1">
        <f t="array" ref="AL40">SUM(COUNTIFS($C40:$AG40,{"0","4","5","6","7","8","9"},$C$4:$AG$4,"1"))</f>
        <v>3</v>
      </c>
      <c r="AM40" s="283" cm="1">
        <f t="array" ref="AM40">SUM(COUNTIFS($C40:$AG40,{"0","4","5","6","7","8","9"},$C$4:$AG$4,"2"))</f>
        <v>4</v>
      </c>
      <c r="AN40" s="283" cm="1">
        <f t="array" ref="AN40">SUM(COUNTIFS($C40:$AG40,{"0","4","5","6","7","8","9"},$C$4:$AG$4,"3"))</f>
        <v>4</v>
      </c>
      <c r="AO40" s="283" cm="1">
        <f t="array" ref="AO40">SUM(COUNTIFS($C40:$AG40,{"1","2","3"}))</f>
        <v>6</v>
      </c>
      <c r="AP40" s="283" cm="1">
        <f t="array" ref="AP40">SUM(COUNTIFS($C40:$AG40,{"4","5","6"}))</f>
        <v>0</v>
      </c>
      <c r="AQ40" s="283">
        <f>AK40*'Spreadsheet Key'!$A$23 + AL40*'Spreadsheet Key'!$A$24 + AM40*'Spreadsheet Key'!$A$25 + AN40*'Spreadsheet Key'!$A$26</f>
        <v>960</v>
      </c>
      <c r="AR40" s="3228">
        <f>(AJ40/('APR Statistics'!$B$28))*ABS(AI40-1)</f>
        <v>0</v>
      </c>
      <c r="AS40" s="3231">
        <f t="shared" si="0"/>
        <v>22.400000000000002</v>
      </c>
      <c r="AT40" s="3229">
        <f>(AJ40/'APR Statistics'!$B$6)*'Spreadsheet Key'!$A$32</f>
        <v>22.400000000000002</v>
      </c>
      <c r="AU40" s="283"/>
      <c r="AV40" s="283">
        <f t="shared" si="1"/>
        <v>3</v>
      </c>
      <c r="AW40" s="283">
        <f t="shared" si="2"/>
        <v>0</v>
      </c>
      <c r="AX40" s="283">
        <f t="shared" si="3"/>
        <v>0</v>
      </c>
      <c r="AY40" s="283" cm="1">
        <f t="array" ref="AY40">COUNTIFS($C40:$AG40,"9",$C$4:$AG$4,"1")+SUM(COUNTIFS($C40:$AG40,{"8","9"},$C$4:$AG$4,"2"))+COUNTIFS($C40:$AG40,"8",$C$4:$AG$4,"3")</f>
        <v>0</v>
      </c>
      <c r="AZ40" s="283">
        <f t="shared" si="4"/>
        <v>0</v>
      </c>
      <c r="BA40" s="283">
        <f t="shared" si="5"/>
        <v>3</v>
      </c>
      <c r="BB40" s="283">
        <f>AV40*'Spreadsheet Key'!$A$27+AW40*'Spreadsheet Key'!$A$28+AX40*'Spreadsheet Key'!$A$29+AY40*'Spreadsheet Key'!$A$30+AZ40*'Spreadsheet Key'!$A$31</f>
        <v>30</v>
      </c>
      <c r="BC40" s="283"/>
      <c r="BD40" s="283">
        <f t="shared" ref="BD40" si="22">AT40-BB40</f>
        <v>-7.5999999999999979</v>
      </c>
      <c r="BE40" s="3210"/>
      <c r="BF40" s="3210"/>
      <c r="BG40" s="3210"/>
      <c r="BH40" s="3210"/>
    </row>
    <row r="41" spans="1:60">
      <c r="A41" s="3208"/>
      <c r="B41" s="3208"/>
      <c r="C41" s="6276" t="s">
        <v>1269</v>
      </c>
      <c r="D41" s="6276"/>
      <c r="E41" s="6276"/>
      <c r="F41" s="6276"/>
      <c r="G41" s="3183" t="s">
        <v>1025</v>
      </c>
      <c r="H41" s="3181"/>
      <c r="I41" s="3181"/>
      <c r="J41" s="3182" t="s">
        <v>720</v>
      </c>
      <c r="K41" s="3181"/>
      <c r="L41" s="3181"/>
      <c r="M41" s="3181"/>
      <c r="N41" s="3182"/>
      <c r="O41" s="3182"/>
      <c r="P41" s="3181"/>
      <c r="Q41" s="6268" t="s">
        <v>1263</v>
      </c>
      <c r="R41" s="6268"/>
      <c r="S41" s="3181"/>
      <c r="T41" s="3181"/>
      <c r="U41" s="3183" t="s">
        <v>1025</v>
      </c>
      <c r="V41" s="6280" t="s">
        <v>1270</v>
      </c>
      <c r="W41" s="6280"/>
      <c r="X41" s="6280"/>
      <c r="Y41" s="6280"/>
      <c r="Z41" s="6280"/>
      <c r="AA41" s="6280"/>
      <c r="AB41" s="6280"/>
      <c r="AC41" s="6280"/>
      <c r="AD41" s="6280"/>
      <c r="AE41" s="3191"/>
      <c r="AF41" s="3191"/>
      <c r="AG41" s="3126"/>
      <c r="AH41" s="3126"/>
      <c r="AI41" s="3230"/>
      <c r="AJ41" s="283" cm="1">
        <f t="array" ref="AJ41">SUM(COUNTIFS($C41:$AG41,{"0","4","5","6","7","8","9"}))</f>
        <v>0</v>
      </c>
      <c r="AK41" s="283" cm="1">
        <f t="array" ref="AK41">SUM(COUNTIFS($C41:$AG41,{"0","4","5","6","7","8","9"},$C$4:$AG$4,"0"))</f>
        <v>0</v>
      </c>
      <c r="AL41" s="283" cm="1">
        <f t="array" ref="AL41">SUM(COUNTIFS($C41:$AG41,{"0","4","5","6","7","8","9"},$C$4:$AG$4,"1"))</f>
        <v>0</v>
      </c>
      <c r="AM41" s="283" cm="1">
        <f t="array" ref="AM41">SUM(COUNTIFS($C41:$AG41,{"0","4","5","6","7","8","9"},$C$4:$AG$4,"2"))</f>
        <v>0</v>
      </c>
      <c r="AN41" s="283" cm="1">
        <f t="array" ref="AN41">SUM(COUNTIFS($C41:$AG41,{"0","4","5","6","7","8","9"},$C$4:$AG$4,"3"))</f>
        <v>0</v>
      </c>
      <c r="AO41" s="283" cm="1">
        <f t="array" ref="AO41">SUM(COUNTIFS($C41:$AG41,{"1","2","3"}))</f>
        <v>0</v>
      </c>
      <c r="AP41" s="283" cm="1">
        <f t="array" ref="AP41">SUM(COUNTIFS($C41:$AG41,{"4","5","6"}))</f>
        <v>0</v>
      </c>
      <c r="AQ41" s="283">
        <f>AK41*'Spreadsheet Key'!$A$23 + AL41*'Spreadsheet Key'!$A$24 + AM41*'Spreadsheet Key'!$A$25 + AN41*'Spreadsheet Key'!$A$26</f>
        <v>0</v>
      </c>
      <c r="AR41" s="3228">
        <f>(AJ41/('APR Statistics'!$B$28))*ABS(AI41-1)</f>
        <v>0</v>
      </c>
      <c r="AS41" s="3231">
        <f t="shared" si="0"/>
        <v>0</v>
      </c>
      <c r="AT41" s="3229">
        <f>AR41*'APR Statistics'!$C$6</f>
        <v>0</v>
      </c>
      <c r="AU41" s="283"/>
      <c r="AV41" s="283">
        <f t="shared" si="1"/>
        <v>0</v>
      </c>
      <c r="AW41" s="283">
        <f t="shared" si="2"/>
        <v>0</v>
      </c>
      <c r="AX41" s="283">
        <f t="shared" si="3"/>
        <v>0</v>
      </c>
      <c r="AY41" s="283" cm="1">
        <f t="array" ref="AY41">COUNTIFS($C41:$AG41,"9",$C$4:$AG$4,"1")+SUM(COUNTIFS($C41:$AG41,{"8","9"},$C$4:$AG$4,"2"))+COUNTIFS($C41:$AG41,"8",$C$4:$AG$4,"3")</f>
        <v>0</v>
      </c>
      <c r="AZ41" s="283">
        <f t="shared" si="4"/>
        <v>0</v>
      </c>
      <c r="BA41" s="283">
        <f t="shared" si="5"/>
        <v>0</v>
      </c>
      <c r="BB41" s="283">
        <f>AV41*'Spreadsheet Key'!$A$27+AW41*'Spreadsheet Key'!$A$28+AX41*'Spreadsheet Key'!$A$29+AY41*'Spreadsheet Key'!$A$30+AZ41*'Spreadsheet Key'!$A$31</f>
        <v>0</v>
      </c>
      <c r="BC41" s="283"/>
      <c r="BD41" s="283"/>
      <c r="BE41" s="283"/>
      <c r="BF41" s="283"/>
      <c r="BG41" s="283"/>
      <c r="BH41" s="283"/>
    </row>
    <row r="42" spans="1:60" s="3211" customFormat="1">
      <c r="A42" s="3180" t="s">
        <v>95</v>
      </c>
      <c r="B42" s="3180" t="s">
        <v>1058</v>
      </c>
      <c r="C42" s="3199">
        <v>2</v>
      </c>
      <c r="D42" s="3199">
        <v>2</v>
      </c>
      <c r="E42" s="3199">
        <v>2</v>
      </c>
      <c r="F42" s="3199">
        <v>2</v>
      </c>
      <c r="G42" s="3199">
        <v>3</v>
      </c>
      <c r="H42" s="3199">
        <v>0</v>
      </c>
      <c r="I42" s="3199">
        <v>0</v>
      </c>
      <c r="J42" s="3199">
        <v>8</v>
      </c>
      <c r="K42" s="3199">
        <v>0</v>
      </c>
      <c r="L42" s="3199">
        <v>0</v>
      </c>
      <c r="M42" s="3199">
        <v>0</v>
      </c>
      <c r="N42" s="3199">
        <v>0</v>
      </c>
      <c r="O42" s="3199">
        <v>0</v>
      </c>
      <c r="P42" s="3199">
        <v>0</v>
      </c>
      <c r="Q42" s="3199">
        <v>7</v>
      </c>
      <c r="R42" s="3199">
        <v>7</v>
      </c>
      <c r="S42" s="3199">
        <v>0</v>
      </c>
      <c r="T42" s="3199">
        <v>0</v>
      </c>
      <c r="U42" s="3199">
        <v>1</v>
      </c>
      <c r="V42" s="3199">
        <v>2</v>
      </c>
      <c r="W42" s="3199">
        <v>2</v>
      </c>
      <c r="X42" s="3199">
        <v>2</v>
      </c>
      <c r="Y42" s="3199">
        <v>2</v>
      </c>
      <c r="Z42" s="3199">
        <v>2</v>
      </c>
      <c r="AA42" s="3199">
        <v>2</v>
      </c>
      <c r="AB42" s="3199">
        <v>2</v>
      </c>
      <c r="AC42" s="3199">
        <v>2</v>
      </c>
      <c r="AD42" s="3199">
        <v>2</v>
      </c>
      <c r="AE42" s="3199">
        <v>2</v>
      </c>
      <c r="AF42" s="3199">
        <v>2</v>
      </c>
      <c r="AG42" s="3209"/>
      <c r="AH42" s="3209"/>
      <c r="AI42" s="3230">
        <v>0</v>
      </c>
      <c r="AJ42" s="283" cm="1">
        <f t="array" ref="AJ42">SUM(COUNTIFS($C42:$AG42,{"0","4","5","6","7","8","9"}))</f>
        <v>13</v>
      </c>
      <c r="AK42" s="283" cm="1">
        <f t="array" ref="AK42">SUM(COUNTIFS($C42:$AG42,{"0","4","5","6","7","8","9"},$C$4:$AG$4,"0"))</f>
        <v>7</v>
      </c>
      <c r="AL42" s="283" cm="1">
        <f t="array" ref="AL42">SUM(COUNTIFS($C42:$AG42,{"0","4","5","6","7","8","9"},$C$4:$AG$4,"1"))</f>
        <v>2</v>
      </c>
      <c r="AM42" s="283" cm="1">
        <f t="array" ref="AM42">SUM(COUNTIFS($C42:$AG42,{"0","4","5","6","7","8","9"},$C$4:$AG$4,"2"))</f>
        <v>2</v>
      </c>
      <c r="AN42" s="283" cm="1">
        <f t="array" ref="AN42">SUM(COUNTIFS($C42:$AG42,{"0","4","5","6","7","8","9"},$C$4:$AG$4,"3"))</f>
        <v>2</v>
      </c>
      <c r="AO42" s="283" cm="1">
        <f t="array" ref="AO42">SUM(COUNTIFS($C42:$AG42,{"1","2","3"}))</f>
        <v>17</v>
      </c>
      <c r="AP42" s="283" cm="1">
        <f t="array" ref="AP42">SUM(COUNTIFS($C42:$AG42,{"4","5","6"}))</f>
        <v>0</v>
      </c>
      <c r="AQ42" s="283">
        <f>AK42*'Spreadsheet Key'!$A$23 + AL42*'Spreadsheet Key'!$A$24 + AM42*'Spreadsheet Key'!$A$25 + AN42*'Spreadsheet Key'!$A$26</f>
        <v>518</v>
      </c>
      <c r="AR42" s="3228">
        <f>(AJ42/('APR Statistics'!$B$28))*ABS(AI42-1)</f>
        <v>2.4809160305343511E-2</v>
      </c>
      <c r="AS42" s="3231">
        <f t="shared" si="0"/>
        <v>0</v>
      </c>
      <c r="AT42" s="3229">
        <f>AR42*'APR Statistics'!$C$11</f>
        <v>24.045038167938934</v>
      </c>
      <c r="AU42" s="283"/>
      <c r="AV42" s="283">
        <f t="shared" si="1"/>
        <v>1</v>
      </c>
      <c r="AW42" s="283">
        <f t="shared" si="2"/>
        <v>0</v>
      </c>
      <c r="AX42" s="283">
        <f t="shared" si="3"/>
        <v>0</v>
      </c>
      <c r="AY42" s="283" cm="1">
        <f t="array" ref="AY42">COUNTIFS($C42:$AG42,"9",$C$4:$AG$4,"1")+SUM(COUNTIFS($C42:$AG42,{"8","9"},$C$4:$AG$4,"2"))+COUNTIFS($C42:$AG42,"8",$C$4:$AG$4,"3")</f>
        <v>0</v>
      </c>
      <c r="AZ42" s="283">
        <f t="shared" si="4"/>
        <v>0</v>
      </c>
      <c r="BA42" s="283">
        <f t="shared" si="5"/>
        <v>1</v>
      </c>
      <c r="BB42" s="283">
        <f>AV42*'Spreadsheet Key'!$A$27+AW42*'Spreadsheet Key'!$A$28+AX42*'Spreadsheet Key'!$A$29+AY42*'Spreadsheet Key'!$A$30+AZ42*'Spreadsheet Key'!$A$31</f>
        <v>10</v>
      </c>
      <c r="BC42" s="283"/>
      <c r="BD42" s="283">
        <f t="shared" ref="BD42" si="23">AT42-BB42</f>
        <v>14.045038167938934</v>
      </c>
      <c r="BE42" s="3210"/>
      <c r="BF42" s="3210"/>
      <c r="BG42" s="3210"/>
      <c r="BH42" s="3210"/>
    </row>
    <row r="43" spans="1:60">
      <c r="A43" s="3208"/>
      <c r="B43" s="3208"/>
      <c r="C43" s="3181"/>
      <c r="D43" s="3181"/>
      <c r="E43" s="3184"/>
      <c r="F43" s="3181"/>
      <c r="G43" s="3181"/>
      <c r="H43" s="3182" t="s">
        <v>722</v>
      </c>
      <c r="I43" s="3181"/>
      <c r="J43" s="3181"/>
      <c r="K43" s="3181"/>
      <c r="L43" s="3181"/>
      <c r="M43" s="3181"/>
      <c r="N43" s="3181"/>
      <c r="O43" s="3181"/>
      <c r="P43" s="3181"/>
      <c r="Q43" s="6268" t="s">
        <v>1263</v>
      </c>
      <c r="R43" s="6268"/>
      <c r="S43" s="3192"/>
      <c r="T43" s="3182" t="s">
        <v>720</v>
      </c>
      <c r="U43" s="3181"/>
      <c r="V43" s="3181"/>
      <c r="W43" s="6276" t="s">
        <v>438</v>
      </c>
      <c r="X43" s="6277"/>
      <c r="Y43" s="6277"/>
      <c r="Z43" s="6277"/>
      <c r="AA43" s="6277"/>
      <c r="AB43" s="6277"/>
      <c r="AC43" s="6277"/>
      <c r="AD43" s="6277"/>
      <c r="AE43" s="6277"/>
      <c r="AF43" s="6277"/>
      <c r="AG43" s="3126"/>
      <c r="AH43" s="3126"/>
      <c r="AI43" s="3230"/>
      <c r="AJ43" s="283" cm="1">
        <f t="array" ref="AJ43">SUM(COUNTIFS($C43:$AG43,{"0","4","5","6","7","8","9"}))</f>
        <v>0</v>
      </c>
      <c r="AK43" s="283" cm="1">
        <f t="array" ref="AK43">SUM(COUNTIFS($C43:$AG43,{"0","4","5","6","7","8","9"},$C$4:$AG$4,"0"))</f>
        <v>0</v>
      </c>
      <c r="AL43" s="283" cm="1">
        <f t="array" ref="AL43">SUM(COUNTIFS($C43:$AG43,{"0","4","5","6","7","8","9"},$C$4:$AG$4,"1"))</f>
        <v>0</v>
      </c>
      <c r="AM43" s="283" cm="1">
        <f t="array" ref="AM43">SUM(COUNTIFS($C43:$AG43,{"0","4","5","6","7","8","9"},$C$4:$AG$4,"2"))</f>
        <v>0</v>
      </c>
      <c r="AN43" s="283" cm="1">
        <f t="array" ref="AN43">SUM(COUNTIFS($C43:$AG43,{"0","4","5","6","7","8","9"},$C$4:$AG$4,"3"))</f>
        <v>0</v>
      </c>
      <c r="AO43" s="283" cm="1">
        <f t="array" ref="AO43">SUM(COUNTIFS($C43:$AG43,{"1","2","3"}))</f>
        <v>0</v>
      </c>
      <c r="AP43" s="283" cm="1">
        <f t="array" ref="AP43">SUM(COUNTIFS($C43:$AG43,{"4","5","6"}))</f>
        <v>0</v>
      </c>
      <c r="AQ43" s="283">
        <f>AK43*'Spreadsheet Key'!$A$23 + AL43*'Spreadsheet Key'!$A$24 + AM43*'Spreadsheet Key'!$A$25 + AN43*'Spreadsheet Key'!$A$26</f>
        <v>0</v>
      </c>
      <c r="AR43" s="3228">
        <f>(AJ43/('APR Statistics'!$B$28))*ABS(AI43-1)</f>
        <v>0</v>
      </c>
      <c r="AS43" s="3231">
        <f t="shared" si="0"/>
        <v>0</v>
      </c>
      <c r="AT43" s="3229">
        <f>AR43*'APR Statistics'!$C$11</f>
        <v>0</v>
      </c>
      <c r="AU43" s="283"/>
      <c r="AV43" s="283">
        <f t="shared" si="1"/>
        <v>0</v>
      </c>
      <c r="AW43" s="283">
        <f t="shared" si="2"/>
        <v>0</v>
      </c>
      <c r="AX43" s="283">
        <f t="shared" si="3"/>
        <v>0</v>
      </c>
      <c r="AY43" s="283" cm="1">
        <f t="array" ref="AY43">COUNTIFS($C43:$AG43,"9",$C$4:$AG$4,"1")+SUM(COUNTIFS($C43:$AG43,{"8","9"},$C$4:$AG$4,"2"))+COUNTIFS($C43:$AG43,"8",$C$4:$AG$4,"3")</f>
        <v>0</v>
      </c>
      <c r="AZ43" s="283">
        <f t="shared" si="4"/>
        <v>0</v>
      </c>
      <c r="BA43" s="283">
        <f t="shared" si="5"/>
        <v>0</v>
      </c>
      <c r="BB43" s="283">
        <f>AV43*'Spreadsheet Key'!$A$27+AW43*'Spreadsheet Key'!$A$28+AX43*'Spreadsheet Key'!$A$29+AY43*'Spreadsheet Key'!$A$30+AZ43*'Spreadsheet Key'!$A$31</f>
        <v>0</v>
      </c>
      <c r="BC43" s="283"/>
      <c r="BD43" s="283"/>
      <c r="BE43" s="283"/>
      <c r="BF43" s="283"/>
      <c r="BG43" s="283"/>
      <c r="BH43" s="283"/>
    </row>
    <row r="44" spans="1:60" s="3211" customFormat="1">
      <c r="A44" s="3180" t="s">
        <v>95</v>
      </c>
      <c r="B44" s="3180" t="s">
        <v>620</v>
      </c>
      <c r="C44" s="3199">
        <v>0</v>
      </c>
      <c r="D44" s="3199">
        <v>0</v>
      </c>
      <c r="E44" s="3203">
        <v>0</v>
      </c>
      <c r="F44" s="3199">
        <v>0</v>
      </c>
      <c r="G44" s="3199">
        <v>0</v>
      </c>
      <c r="H44" s="3199">
        <v>9</v>
      </c>
      <c r="I44" s="3199">
        <v>0</v>
      </c>
      <c r="J44" s="3199">
        <v>0</v>
      </c>
      <c r="K44" s="3199">
        <v>0</v>
      </c>
      <c r="L44" s="3199">
        <v>0</v>
      </c>
      <c r="M44" s="3199">
        <v>0</v>
      </c>
      <c r="N44" s="3199">
        <v>0</v>
      </c>
      <c r="O44" s="3199">
        <v>0</v>
      </c>
      <c r="P44" s="3199">
        <v>0</v>
      </c>
      <c r="Q44" s="3199">
        <v>7</v>
      </c>
      <c r="R44" s="3199">
        <v>7</v>
      </c>
      <c r="S44" s="3199">
        <v>0</v>
      </c>
      <c r="T44" s="3199">
        <v>8</v>
      </c>
      <c r="U44" s="3199">
        <v>0</v>
      </c>
      <c r="V44" s="3199">
        <v>0</v>
      </c>
      <c r="W44" s="3199">
        <v>1</v>
      </c>
      <c r="X44" s="3199">
        <v>2</v>
      </c>
      <c r="Y44" s="3199">
        <v>2</v>
      </c>
      <c r="Z44" s="3199">
        <v>2</v>
      </c>
      <c r="AA44" s="3199">
        <v>2</v>
      </c>
      <c r="AB44" s="3199">
        <v>2</v>
      </c>
      <c r="AC44" s="3199">
        <v>2</v>
      </c>
      <c r="AD44" s="3199">
        <v>2</v>
      </c>
      <c r="AE44" s="3199">
        <v>2</v>
      </c>
      <c r="AF44" s="3199">
        <v>2</v>
      </c>
      <c r="AG44" s="3209"/>
      <c r="AH44" s="3209"/>
      <c r="AI44" s="3230">
        <v>0</v>
      </c>
      <c r="AJ44" s="283" cm="1">
        <f t="array" ref="AJ44">SUM(COUNTIFS($C44:$AG44,{"0","4","5","6","7","8","9"}))</f>
        <v>20</v>
      </c>
      <c r="AK44" s="283" cm="1">
        <f t="array" ref="AK44">SUM(COUNTIFS($C44:$AG44,{"0","4","5","6","7","8","9"},$C$4:$AG$4,"0"))</f>
        <v>10</v>
      </c>
      <c r="AL44" s="283" cm="1">
        <f t="array" ref="AL44">SUM(COUNTIFS($C44:$AG44,{"0","4","5","6","7","8","9"},$C$4:$AG$4,"1"))</f>
        <v>3</v>
      </c>
      <c r="AM44" s="283" cm="1">
        <f t="array" ref="AM44">SUM(COUNTIFS($C44:$AG44,{"0","4","5","6","7","8","9"},$C$4:$AG$4,"2"))</f>
        <v>4</v>
      </c>
      <c r="AN44" s="283" cm="1">
        <f t="array" ref="AN44">SUM(COUNTIFS($C44:$AG44,{"0","4","5","6","7","8","9"},$C$4:$AG$4,"3"))</f>
        <v>3</v>
      </c>
      <c r="AO44" s="283" cm="1">
        <f t="array" ref="AO44">SUM(COUNTIFS($C44:$AG44,{"1","2","3"}))</f>
        <v>10</v>
      </c>
      <c r="AP44" s="283" cm="1">
        <f t="array" ref="AP44">SUM(COUNTIFS($C44:$AG44,{"4","5","6"}))</f>
        <v>0</v>
      </c>
      <c r="AQ44" s="283">
        <f>AK44*'Spreadsheet Key'!$A$23 + AL44*'Spreadsheet Key'!$A$24 + AM44*'Spreadsheet Key'!$A$25 + AN44*'Spreadsheet Key'!$A$26</f>
        <v>838</v>
      </c>
      <c r="AR44" s="3228">
        <f>(AJ44/('APR Statistics'!$B$28))*ABS(AI44-1)</f>
        <v>3.8167938931297711E-2</v>
      </c>
      <c r="AS44" s="3231">
        <f t="shared" si="0"/>
        <v>0</v>
      </c>
      <c r="AT44" s="3229">
        <f>AR44*'APR Statistics'!$C$11</f>
        <v>36.992366412213741</v>
      </c>
      <c r="AU44" s="283"/>
      <c r="AV44" s="283">
        <f t="shared" si="1"/>
        <v>0</v>
      </c>
      <c r="AW44" s="283">
        <f t="shared" si="2"/>
        <v>0</v>
      </c>
      <c r="AX44" s="283">
        <f t="shared" si="3"/>
        <v>0</v>
      </c>
      <c r="AY44" s="283" cm="1">
        <f t="array" ref="AY44">COUNTIFS($C44:$AG44,"9",$C$4:$AG$4,"1")+SUM(COUNTIFS($C44:$AG44,{"8","9"},$C$4:$AG$4,"2"))+COUNTIFS($C44:$AG44,"8",$C$4:$AG$4,"3")</f>
        <v>1</v>
      </c>
      <c r="AZ44" s="283">
        <f t="shared" si="4"/>
        <v>1</v>
      </c>
      <c r="BA44" s="283">
        <f t="shared" si="5"/>
        <v>2</v>
      </c>
      <c r="BB44" s="283">
        <f>AV44*'Spreadsheet Key'!$A$27+AW44*'Spreadsheet Key'!$A$28+AX44*'Spreadsheet Key'!$A$29+AY44*'Spreadsheet Key'!$A$30+AZ44*'Spreadsheet Key'!$A$31</f>
        <v>56</v>
      </c>
      <c r="BC44" s="283"/>
      <c r="BD44" s="283">
        <f t="shared" ref="BD44" si="24">AT44-BB44</f>
        <v>-19.007633587786259</v>
      </c>
      <c r="BE44" s="3210"/>
      <c r="BF44" s="3210"/>
      <c r="BG44" s="3210"/>
      <c r="BH44" s="3210"/>
    </row>
    <row r="45" spans="1:60">
      <c r="A45" s="3208"/>
      <c r="B45" s="3208"/>
      <c r="C45" s="6276" t="s">
        <v>1250</v>
      </c>
      <c r="D45" s="6276"/>
      <c r="E45" s="6276"/>
      <c r="F45" s="6276"/>
      <c r="G45" s="6276"/>
      <c r="H45" s="6276"/>
      <c r="I45" s="6276"/>
      <c r="J45" s="6276"/>
      <c r="K45" s="6276"/>
      <c r="L45" s="6276"/>
      <c r="M45" s="6276"/>
      <c r="N45" s="6276"/>
      <c r="O45" s="3181"/>
      <c r="P45" s="3181"/>
      <c r="Q45" s="3181"/>
      <c r="R45" s="3181"/>
      <c r="S45" s="3181"/>
      <c r="T45" s="3181"/>
      <c r="U45" s="3181"/>
      <c r="V45" s="3181"/>
      <c r="W45" s="3181"/>
      <c r="X45" s="3181"/>
      <c r="Y45" s="3182" t="s">
        <v>722</v>
      </c>
      <c r="Z45" s="3181"/>
      <c r="AA45" s="3181"/>
      <c r="AB45" s="3181"/>
      <c r="AC45" s="3182" t="s">
        <v>720</v>
      </c>
      <c r="AD45" s="3181"/>
      <c r="AE45" s="3181"/>
      <c r="AF45" s="3183" t="s">
        <v>1025</v>
      </c>
      <c r="AG45" s="3126"/>
      <c r="AH45" s="3126"/>
      <c r="AI45" s="3230"/>
      <c r="AJ45" s="283" cm="1">
        <f t="array" ref="AJ45">SUM(COUNTIFS($C45:$AG45,{"0","4","5","6","7","8","9"}))</f>
        <v>0</v>
      </c>
      <c r="AK45" s="283" cm="1">
        <f t="array" ref="AK45">SUM(COUNTIFS($C45:$AG45,{"0","4","5","6","7","8","9"},$C$4:$AG$4,"0"))</f>
        <v>0</v>
      </c>
      <c r="AL45" s="283" cm="1">
        <f t="array" ref="AL45">SUM(COUNTIFS($C45:$AG45,{"0","4","5","6","7","8","9"},$C$4:$AG$4,"1"))</f>
        <v>0</v>
      </c>
      <c r="AM45" s="283" cm="1">
        <f t="array" ref="AM45">SUM(COUNTIFS($C45:$AG45,{"0","4","5","6","7","8","9"},$C$4:$AG$4,"2"))</f>
        <v>0</v>
      </c>
      <c r="AN45" s="283" cm="1">
        <f t="array" ref="AN45">SUM(COUNTIFS($C45:$AG45,{"0","4","5","6","7","8","9"},$C$4:$AG$4,"3"))</f>
        <v>0</v>
      </c>
      <c r="AO45" s="283" cm="1">
        <f t="array" ref="AO45">SUM(COUNTIFS($C45:$AG45,{"1","2","3"}))</f>
        <v>0</v>
      </c>
      <c r="AP45" s="283" cm="1">
        <f t="array" ref="AP45">SUM(COUNTIFS($C45:$AG45,{"4","5","6"}))</f>
        <v>0</v>
      </c>
      <c r="AQ45" s="283">
        <f>AK45*'Spreadsheet Key'!$A$23 + AL45*'Spreadsheet Key'!$A$24 + AM45*'Spreadsheet Key'!$A$25 + AN45*'Spreadsheet Key'!$A$26</f>
        <v>0</v>
      </c>
      <c r="AR45" s="3228">
        <f>(AJ45/('APR Statistics'!$B$28))*ABS(AI45-1)</f>
        <v>0</v>
      </c>
      <c r="AS45" s="3231">
        <f t="shared" si="0"/>
        <v>0</v>
      </c>
      <c r="AT45" s="3229">
        <f>AR45*'APR Statistics'!$C$11</f>
        <v>0</v>
      </c>
      <c r="AU45" s="283"/>
      <c r="AV45" s="283">
        <f t="shared" si="1"/>
        <v>0</v>
      </c>
      <c r="AW45" s="283">
        <f t="shared" si="2"/>
        <v>0</v>
      </c>
      <c r="AX45" s="283">
        <f t="shared" si="3"/>
        <v>0</v>
      </c>
      <c r="AY45" s="283" cm="1">
        <f t="array" ref="AY45">COUNTIFS($C45:$AG45,"9",$C$4:$AG$4,"1")+SUM(COUNTIFS($C45:$AG45,{"8","9"},$C$4:$AG$4,"2"))+COUNTIFS($C45:$AG45,"8",$C$4:$AG$4,"3")</f>
        <v>0</v>
      </c>
      <c r="AZ45" s="283">
        <f t="shared" si="4"/>
        <v>0</v>
      </c>
      <c r="BA45" s="283">
        <f t="shared" si="5"/>
        <v>0</v>
      </c>
      <c r="BB45" s="283">
        <f>AV45*'Spreadsheet Key'!$A$27+AW45*'Spreadsheet Key'!$A$28+AX45*'Spreadsheet Key'!$A$29+AY45*'Spreadsheet Key'!$A$30+AZ45*'Spreadsheet Key'!$A$31</f>
        <v>0</v>
      </c>
      <c r="BC45" s="283"/>
      <c r="BD45" s="283"/>
      <c r="BE45" s="283"/>
      <c r="BF45" s="283"/>
      <c r="BG45" s="283"/>
      <c r="BH45" s="283"/>
    </row>
    <row r="46" spans="1:60" s="3211" customFormat="1" ht="15.75">
      <c r="A46" s="3180" t="s">
        <v>95</v>
      </c>
      <c r="B46" s="3180" t="s">
        <v>1037</v>
      </c>
      <c r="C46" s="3199">
        <v>2</v>
      </c>
      <c r="D46" s="3199">
        <v>2</v>
      </c>
      <c r="E46" s="3199">
        <v>2</v>
      </c>
      <c r="F46" s="3199">
        <v>2</v>
      </c>
      <c r="G46" s="3199">
        <v>2</v>
      </c>
      <c r="H46" s="3199">
        <v>2</v>
      </c>
      <c r="I46" s="3199">
        <v>2</v>
      </c>
      <c r="J46" s="3199">
        <v>2</v>
      </c>
      <c r="K46" s="3199">
        <v>2</v>
      </c>
      <c r="L46" s="3199">
        <v>2</v>
      </c>
      <c r="M46" s="3199">
        <v>2</v>
      </c>
      <c r="N46" s="3199">
        <v>3</v>
      </c>
      <c r="O46" s="3199">
        <v>0</v>
      </c>
      <c r="P46" s="3204">
        <v>0</v>
      </c>
      <c r="Q46" s="3204">
        <v>0</v>
      </c>
      <c r="R46" s="3199">
        <v>0</v>
      </c>
      <c r="S46" s="3199">
        <v>0</v>
      </c>
      <c r="T46" s="3199">
        <v>0</v>
      </c>
      <c r="U46" s="3199">
        <v>0</v>
      </c>
      <c r="V46" s="3199">
        <v>0</v>
      </c>
      <c r="W46" s="3199">
        <v>0</v>
      </c>
      <c r="X46" s="3199">
        <v>0</v>
      </c>
      <c r="Y46" s="3199">
        <v>9</v>
      </c>
      <c r="Z46" s="3199">
        <v>0</v>
      </c>
      <c r="AA46" s="3199">
        <v>0</v>
      </c>
      <c r="AB46" s="3199">
        <v>0</v>
      </c>
      <c r="AC46" s="3199">
        <v>8</v>
      </c>
      <c r="AD46" s="3199">
        <v>0</v>
      </c>
      <c r="AE46" s="3199">
        <v>0</v>
      </c>
      <c r="AF46" s="3199">
        <v>1</v>
      </c>
      <c r="AG46" s="3209"/>
      <c r="AH46" s="3209"/>
      <c r="AI46" s="3230">
        <v>0</v>
      </c>
      <c r="AJ46" s="283" cm="1">
        <f t="array" ref="AJ46">SUM(COUNTIFS($C46:$AG46,{"0","4","5","6","7","8","9"}))</f>
        <v>17</v>
      </c>
      <c r="AK46" s="283" cm="1">
        <f t="array" ref="AK46">SUM(COUNTIFS($C46:$AG46,{"0","4","5","6","7","8","9"},$C$4:$AG$4,"0"))</f>
        <v>9</v>
      </c>
      <c r="AL46" s="283" cm="1">
        <f t="array" ref="AL46">SUM(COUNTIFS($C46:$AG46,{"0","4","5","6","7","8","9"},$C$4:$AG$4,"1"))</f>
        <v>2</v>
      </c>
      <c r="AM46" s="283" cm="1">
        <f t="array" ref="AM46">SUM(COUNTIFS($C46:$AG46,{"0","4","5","6","7","8","9"},$C$4:$AG$4,"2"))</f>
        <v>3</v>
      </c>
      <c r="AN46" s="283" cm="1">
        <f t="array" ref="AN46">SUM(COUNTIFS($C46:$AG46,{"0","4","5","6","7","8","9"},$C$4:$AG$4,"3"))</f>
        <v>3</v>
      </c>
      <c r="AO46" s="283" cm="1">
        <f t="array" ref="AO46">SUM(COUNTIFS($C46:$AG46,{"1","2","3"}))</f>
        <v>13</v>
      </c>
      <c r="AP46" s="283" cm="1">
        <f t="array" ref="AP46">SUM(COUNTIFS($C46:$AG46,{"4","5","6"}))</f>
        <v>0</v>
      </c>
      <c r="AQ46" s="283">
        <f>AK46*'Spreadsheet Key'!$A$23 + AL46*'Spreadsheet Key'!$A$24 + AM46*'Spreadsheet Key'!$A$25 + AN46*'Spreadsheet Key'!$A$26</f>
        <v>690</v>
      </c>
      <c r="AR46" s="3228">
        <f>(AJ46/('APR Statistics'!$B$28))*ABS(AI46-1)</f>
        <v>3.2442748091603052E-2</v>
      </c>
      <c r="AS46" s="3231">
        <f t="shared" si="0"/>
        <v>0</v>
      </c>
      <c r="AT46" s="3229">
        <f>AR46*'APR Statistics'!$C$11</f>
        <v>31.443511450381678</v>
      </c>
      <c r="AU46" s="283"/>
      <c r="AV46" s="283">
        <f t="shared" si="1"/>
        <v>0</v>
      </c>
      <c r="AW46" s="283">
        <f t="shared" si="2"/>
        <v>1</v>
      </c>
      <c r="AX46" s="283">
        <f t="shared" si="3"/>
        <v>0</v>
      </c>
      <c r="AY46" s="283" cm="1">
        <f t="array" ref="AY46">COUNTIFS($C46:$AG46,"9",$C$4:$AG$4,"1")+SUM(COUNTIFS($C46:$AG46,{"8","9"},$C$4:$AG$4,"2"))+COUNTIFS($C46:$AG46,"8",$C$4:$AG$4,"3")</f>
        <v>1</v>
      </c>
      <c r="AZ46" s="283">
        <f t="shared" si="4"/>
        <v>0</v>
      </c>
      <c r="BA46" s="283">
        <f t="shared" si="5"/>
        <v>2</v>
      </c>
      <c r="BB46" s="283">
        <f>AV46*'Spreadsheet Key'!$A$27+AW46*'Spreadsheet Key'!$A$28+AX46*'Spreadsheet Key'!$A$29+AY46*'Spreadsheet Key'!$A$30+AZ46*'Spreadsheet Key'!$A$31</f>
        <v>48</v>
      </c>
      <c r="BC46" s="283"/>
      <c r="BD46" s="283">
        <f t="shared" ref="BD46" si="25">AT46-BB46</f>
        <v>-16.556488549618322</v>
      </c>
      <c r="BE46" s="3210"/>
      <c r="BF46" s="3210"/>
      <c r="BG46" s="3210"/>
      <c r="BH46" s="3210"/>
    </row>
    <row r="47" spans="1:60">
      <c r="A47" s="3208"/>
      <c r="B47" s="3208"/>
      <c r="C47" s="4333" t="s">
        <v>112</v>
      </c>
      <c r="D47" s="4411"/>
      <c r="E47" s="4411"/>
      <c r="F47" s="4411"/>
      <c r="G47" s="4411"/>
      <c r="H47" s="4411"/>
      <c r="I47" s="4411"/>
      <c r="J47" s="4411"/>
      <c r="K47" s="4411"/>
      <c r="L47" s="4334"/>
      <c r="M47" s="3181"/>
      <c r="N47" s="3181"/>
      <c r="O47" s="3181"/>
      <c r="P47" s="3181"/>
      <c r="Q47" s="6268" t="s">
        <v>1263</v>
      </c>
      <c r="R47" s="6268"/>
      <c r="S47" s="3182" t="s">
        <v>722</v>
      </c>
      <c r="T47" s="3181"/>
      <c r="U47" s="3181"/>
      <c r="V47" s="3181"/>
      <c r="W47" s="3181"/>
      <c r="X47" s="3181"/>
      <c r="Y47" s="3181"/>
      <c r="Z47" s="3181"/>
      <c r="AA47" s="3181"/>
      <c r="AB47" s="3181"/>
      <c r="AC47" s="3181"/>
      <c r="AD47" s="3181"/>
      <c r="AE47" s="3181"/>
      <c r="AF47" s="3182" t="s">
        <v>722</v>
      </c>
      <c r="AG47" s="3126"/>
      <c r="AH47" s="3126"/>
      <c r="AI47" s="3230"/>
      <c r="AJ47" s="283" cm="1">
        <f t="array" ref="AJ47">SUM(COUNTIFS($C47:$AG47,{"0","4","5","6","7","8","9"}))</f>
        <v>0</v>
      </c>
      <c r="AK47" s="283" cm="1">
        <f t="array" ref="AK47">SUM(COUNTIFS($C47:$AG47,{"0","4","5","6","7","8","9"},$C$4:$AG$4,"0"))</f>
        <v>0</v>
      </c>
      <c r="AL47" s="283" cm="1">
        <f t="array" ref="AL47">SUM(COUNTIFS($C47:$AG47,{"0","4","5","6","7","8","9"},$C$4:$AG$4,"1"))</f>
        <v>0</v>
      </c>
      <c r="AM47" s="283" cm="1">
        <f t="array" ref="AM47">SUM(COUNTIFS($C47:$AG47,{"0","4","5","6","7","8","9"},$C$4:$AG$4,"2"))</f>
        <v>0</v>
      </c>
      <c r="AN47" s="283" cm="1">
        <f t="array" ref="AN47">SUM(COUNTIFS($C47:$AG47,{"0","4","5","6","7","8","9"},$C$4:$AG$4,"3"))</f>
        <v>0</v>
      </c>
      <c r="AO47" s="283" cm="1">
        <f t="array" ref="AO47">SUM(COUNTIFS($C47:$AG47,{"1","2","3"}))</f>
        <v>0</v>
      </c>
      <c r="AP47" s="283" cm="1">
        <f t="array" ref="AP47">SUM(COUNTIFS($C47:$AG47,{"4","5","6"}))</f>
        <v>0</v>
      </c>
      <c r="AQ47" s="283">
        <f>AK47*'Spreadsheet Key'!$A$23 + AL47*'Spreadsheet Key'!$A$24 + AM47*'Spreadsheet Key'!$A$25 + AN47*'Spreadsheet Key'!$A$26</f>
        <v>0</v>
      </c>
      <c r="AR47" s="3228">
        <f>(AJ47/('APR Statistics'!$B$28))*ABS(AI47-1)</f>
        <v>0</v>
      </c>
      <c r="AS47" s="3231">
        <f t="shared" si="0"/>
        <v>0</v>
      </c>
      <c r="AT47" s="3229">
        <f>AR47*'APR Statistics'!$C$11</f>
        <v>0</v>
      </c>
      <c r="AU47" s="283"/>
      <c r="AV47" s="283">
        <f t="shared" si="1"/>
        <v>0</v>
      </c>
      <c r="AW47" s="283">
        <f t="shared" si="2"/>
        <v>0</v>
      </c>
      <c r="AX47" s="283">
        <f t="shared" si="3"/>
        <v>0</v>
      </c>
      <c r="AY47" s="283" cm="1">
        <f t="array" ref="AY47">COUNTIFS($C47:$AG47,"9",$C$4:$AG$4,"1")+SUM(COUNTIFS($C47:$AG47,{"8","9"},$C$4:$AG$4,"2"))+COUNTIFS($C47:$AG47,"8",$C$4:$AG$4,"3")</f>
        <v>0</v>
      </c>
      <c r="AZ47" s="283">
        <f t="shared" si="4"/>
        <v>0</v>
      </c>
      <c r="BA47" s="283">
        <f t="shared" si="5"/>
        <v>0</v>
      </c>
      <c r="BB47" s="283">
        <f>AV47*'Spreadsheet Key'!$A$27+AW47*'Spreadsheet Key'!$A$28+AX47*'Spreadsheet Key'!$A$29+AY47*'Spreadsheet Key'!$A$30+AZ47*'Spreadsheet Key'!$A$31</f>
        <v>0</v>
      </c>
      <c r="BC47" s="283"/>
      <c r="BD47" s="283"/>
      <c r="BE47" s="283"/>
      <c r="BF47" s="283"/>
      <c r="BG47" s="283"/>
      <c r="BH47" s="283"/>
    </row>
    <row r="48" spans="1:60" s="3211" customFormat="1">
      <c r="A48" s="3180" t="s">
        <v>739</v>
      </c>
      <c r="B48" s="3180" t="s">
        <v>740</v>
      </c>
      <c r="C48" s="3199">
        <v>2</v>
      </c>
      <c r="D48" s="3199">
        <v>2</v>
      </c>
      <c r="E48" s="3199">
        <v>2</v>
      </c>
      <c r="F48" s="3199">
        <v>2</v>
      </c>
      <c r="G48" s="3199">
        <v>2</v>
      </c>
      <c r="H48" s="3199">
        <v>2</v>
      </c>
      <c r="I48" s="3199">
        <v>2</v>
      </c>
      <c r="J48" s="3199">
        <v>2</v>
      </c>
      <c r="K48" s="3199">
        <v>2</v>
      </c>
      <c r="L48" s="3199">
        <v>3</v>
      </c>
      <c r="M48" s="3199">
        <v>0</v>
      </c>
      <c r="N48" s="3199">
        <v>0</v>
      </c>
      <c r="O48" s="3199">
        <v>0</v>
      </c>
      <c r="P48" s="3199">
        <v>0</v>
      </c>
      <c r="Q48" s="3199">
        <v>7</v>
      </c>
      <c r="R48" s="3199">
        <v>7</v>
      </c>
      <c r="S48" s="3199">
        <v>9</v>
      </c>
      <c r="T48" s="3199">
        <v>0</v>
      </c>
      <c r="U48" s="3199">
        <v>0</v>
      </c>
      <c r="V48" s="3199">
        <v>0</v>
      </c>
      <c r="W48" s="3199">
        <v>0</v>
      </c>
      <c r="X48" s="3199">
        <v>0</v>
      </c>
      <c r="Y48" s="3199">
        <v>0</v>
      </c>
      <c r="Z48" s="3199">
        <v>0</v>
      </c>
      <c r="AA48" s="3199">
        <v>0</v>
      </c>
      <c r="AB48" s="3199">
        <v>0</v>
      </c>
      <c r="AC48" s="3199">
        <v>0</v>
      </c>
      <c r="AD48" s="3199">
        <v>0</v>
      </c>
      <c r="AE48" s="3199">
        <v>0</v>
      </c>
      <c r="AF48" s="3199">
        <v>9</v>
      </c>
      <c r="AG48" s="3209"/>
      <c r="AH48" s="3209"/>
      <c r="AI48" s="3230">
        <v>0</v>
      </c>
      <c r="AJ48" s="283" cm="1">
        <f t="array" ref="AJ48">SUM(COUNTIFS($C48:$AG48,{"0","4","5","6","7","8","9"}))</f>
        <v>20</v>
      </c>
      <c r="AK48" s="283" cm="1">
        <f t="array" ref="AK48">SUM(COUNTIFS($C48:$AG48,{"0","4","5","6","7","8","9"},$C$4:$AG$4,"0"))</f>
        <v>10</v>
      </c>
      <c r="AL48" s="283" cm="1">
        <f t="array" ref="AL48">SUM(COUNTIFS($C48:$AG48,{"0","4","5","6","7","8","9"},$C$4:$AG$4,"1"))</f>
        <v>3</v>
      </c>
      <c r="AM48" s="283" cm="1">
        <f t="array" ref="AM48">SUM(COUNTIFS($C48:$AG48,{"0","4","5","6","7","8","9"},$C$4:$AG$4,"2"))</f>
        <v>4</v>
      </c>
      <c r="AN48" s="283" cm="1">
        <f t="array" ref="AN48">SUM(COUNTIFS($C48:$AG48,{"0","4","5","6","7","8","9"},$C$4:$AG$4,"3"))</f>
        <v>3</v>
      </c>
      <c r="AO48" s="283" cm="1">
        <f t="array" ref="AO48">SUM(COUNTIFS($C48:$AG48,{"1","2","3"}))</f>
        <v>10</v>
      </c>
      <c r="AP48" s="283" cm="1">
        <f t="array" ref="AP48">SUM(COUNTIFS($C48:$AG48,{"4","5","6"}))</f>
        <v>0</v>
      </c>
      <c r="AQ48" s="283">
        <f>AK48*'Spreadsheet Key'!$A$23 + AL48*'Spreadsheet Key'!$A$24 + AM48*'Spreadsheet Key'!$A$25 + AN48*'Spreadsheet Key'!$A$26</f>
        <v>838</v>
      </c>
      <c r="AR48" s="3228">
        <f>(AJ48/('APR Statistics'!$B$28))*ABS(AI48-1)</f>
        <v>3.8167938931297711E-2</v>
      </c>
      <c r="AS48" s="3231">
        <f t="shared" si="0"/>
        <v>0</v>
      </c>
      <c r="AT48" s="3229">
        <f>AR48*'APR Statistics'!$C$11</f>
        <v>36.992366412213741</v>
      </c>
      <c r="AU48" s="283"/>
      <c r="AV48" s="283">
        <f t="shared" si="1"/>
        <v>0</v>
      </c>
      <c r="AW48" s="283">
        <f t="shared" si="2"/>
        <v>1</v>
      </c>
      <c r="AX48" s="283">
        <f t="shared" si="3"/>
        <v>0</v>
      </c>
      <c r="AY48" s="283" cm="1">
        <f t="array" ref="AY48">COUNTIFS($C48:$AG48,"9",$C$4:$AG$4,"1")+SUM(COUNTIFS($C48:$AG48,{"8","9"},$C$4:$AG$4,"2"))+COUNTIFS($C48:$AG48,"8",$C$4:$AG$4,"3")</f>
        <v>1</v>
      </c>
      <c r="AZ48" s="283">
        <f t="shared" si="4"/>
        <v>0</v>
      </c>
      <c r="BA48" s="283">
        <f t="shared" si="5"/>
        <v>2</v>
      </c>
      <c r="BB48" s="283">
        <f>AV48*'Spreadsheet Key'!$A$27+AW48*'Spreadsheet Key'!$A$28+AX48*'Spreadsheet Key'!$A$29+AY48*'Spreadsheet Key'!$A$30+AZ48*'Spreadsheet Key'!$A$31</f>
        <v>48</v>
      </c>
      <c r="BC48" s="283"/>
      <c r="BD48" s="283">
        <f t="shared" ref="BD48" si="26">AT48-BB48</f>
        <v>-11.007633587786259</v>
      </c>
      <c r="BE48" s="3210"/>
      <c r="BF48" s="3210"/>
      <c r="BG48" s="3210"/>
      <c r="BH48" s="3210"/>
    </row>
    <row r="49" spans="1:60">
      <c r="A49" s="3208"/>
      <c r="B49" s="3208"/>
      <c r="C49" s="3181"/>
      <c r="D49" s="3181"/>
      <c r="E49" s="3181"/>
      <c r="F49" s="3181"/>
      <c r="G49" s="3181"/>
      <c r="H49" s="3181"/>
      <c r="I49" s="3181"/>
      <c r="J49" s="3181"/>
      <c r="K49" s="3181"/>
      <c r="L49" s="3010" t="s">
        <v>1025</v>
      </c>
      <c r="M49" s="6249" t="s">
        <v>1231</v>
      </c>
      <c r="N49" s="6249"/>
      <c r="O49" s="3010" t="s">
        <v>1025</v>
      </c>
      <c r="P49" s="3194"/>
      <c r="Q49" s="6268" t="s">
        <v>1263</v>
      </c>
      <c r="R49" s="6268"/>
      <c r="S49" s="3181"/>
      <c r="T49" s="3181"/>
      <c r="U49" s="3181"/>
      <c r="V49" s="3181"/>
      <c r="W49" s="3181"/>
      <c r="X49" s="3181"/>
      <c r="Y49" s="3181"/>
      <c r="Z49" s="3181"/>
      <c r="AA49" s="3181"/>
      <c r="AB49" s="3181"/>
      <c r="AC49" s="3181"/>
      <c r="AD49" s="3181"/>
      <c r="AE49" s="3181"/>
      <c r="AF49" s="3181"/>
      <c r="AG49" s="3126"/>
      <c r="AH49" s="3126"/>
      <c r="AI49" s="3230"/>
      <c r="AJ49" s="283" cm="1">
        <f t="array" ref="AJ49">SUM(COUNTIFS($C49:$AG49,{"0","4","5","6","7","8","9"}))</f>
        <v>0</v>
      </c>
      <c r="AK49" s="283" cm="1">
        <f t="array" ref="AK49">SUM(COUNTIFS($C49:$AG49,{"0","4","5","6","7","8","9"},$C$4:$AG$4,"0"))</f>
        <v>0</v>
      </c>
      <c r="AL49" s="283" cm="1">
        <f t="array" ref="AL49">SUM(COUNTIFS($C49:$AG49,{"0","4","5","6","7","8","9"},$C$4:$AG$4,"1"))</f>
        <v>0</v>
      </c>
      <c r="AM49" s="283" cm="1">
        <f t="array" ref="AM49">SUM(COUNTIFS($C49:$AG49,{"0","4","5","6","7","8","9"},$C$4:$AG$4,"2"))</f>
        <v>0</v>
      </c>
      <c r="AN49" s="283" cm="1">
        <f t="array" ref="AN49">SUM(COUNTIFS($C49:$AG49,{"0","4","5","6","7","8","9"},$C$4:$AG$4,"3"))</f>
        <v>0</v>
      </c>
      <c r="AO49" s="283" cm="1">
        <f t="array" ref="AO49">SUM(COUNTIFS($C49:$AG49,{"1","2","3"}))</f>
        <v>0</v>
      </c>
      <c r="AP49" s="283" cm="1">
        <f t="array" ref="AP49">SUM(COUNTIFS($C49:$AG49,{"4","5","6"}))</f>
        <v>0</v>
      </c>
      <c r="AQ49" s="283">
        <f>AK49*'Spreadsheet Key'!$A$23 + AL49*'Spreadsheet Key'!$A$24 + AM49*'Spreadsheet Key'!$A$25 + AN49*'Spreadsheet Key'!$A$26</f>
        <v>0</v>
      </c>
      <c r="AR49" s="3228">
        <f>(AJ49/('APR Statistics'!$B$28))*ABS(AI49-1)</f>
        <v>0</v>
      </c>
      <c r="AS49" s="3231">
        <f t="shared" si="0"/>
        <v>0</v>
      </c>
      <c r="AT49" s="3229">
        <f>AR49*'APR Statistics'!$C$11</f>
        <v>0</v>
      </c>
      <c r="AU49" s="283"/>
      <c r="AV49" s="283">
        <f t="shared" si="1"/>
        <v>0</v>
      </c>
      <c r="AW49" s="283">
        <f t="shared" si="2"/>
        <v>0</v>
      </c>
      <c r="AX49" s="283">
        <f t="shared" si="3"/>
        <v>0</v>
      </c>
      <c r="AY49" s="283" cm="1">
        <f t="array" ref="AY49">COUNTIFS($C49:$AG49,"9",$C$4:$AG$4,"1")+SUM(COUNTIFS($C49:$AG49,{"8","9"},$C$4:$AG$4,"2"))+COUNTIFS($C49:$AG49,"8",$C$4:$AG$4,"3")</f>
        <v>0</v>
      </c>
      <c r="AZ49" s="283">
        <f t="shared" si="4"/>
        <v>0</v>
      </c>
      <c r="BA49" s="283">
        <f t="shared" si="5"/>
        <v>0</v>
      </c>
      <c r="BB49" s="283">
        <f>AV49*'Spreadsheet Key'!$A$27+AW49*'Spreadsheet Key'!$A$28+AX49*'Spreadsheet Key'!$A$29+AY49*'Spreadsheet Key'!$A$30+AZ49*'Spreadsheet Key'!$A$31</f>
        <v>0</v>
      </c>
      <c r="BC49" s="283"/>
      <c r="BD49" s="283"/>
      <c r="BE49" s="283"/>
      <c r="BF49" s="283"/>
      <c r="BG49" s="283"/>
      <c r="BH49" s="283"/>
    </row>
    <row r="50" spans="1:60" s="3211" customFormat="1">
      <c r="A50" s="3180" t="s">
        <v>108</v>
      </c>
      <c r="B50" s="3180" t="s">
        <v>1106</v>
      </c>
      <c r="C50" s="3199">
        <v>2</v>
      </c>
      <c r="D50" s="3199">
        <v>2</v>
      </c>
      <c r="E50" s="3199">
        <v>2</v>
      </c>
      <c r="F50" s="3199">
        <v>2</v>
      </c>
      <c r="G50" s="3199">
        <v>2</v>
      </c>
      <c r="H50" s="3199">
        <v>2</v>
      </c>
      <c r="I50" s="3199">
        <v>2</v>
      </c>
      <c r="J50" s="3199">
        <v>2</v>
      </c>
      <c r="K50" s="3199">
        <v>2</v>
      </c>
      <c r="L50" s="3199">
        <v>2</v>
      </c>
      <c r="M50" s="3199">
        <v>2</v>
      </c>
      <c r="N50" s="3199">
        <v>2</v>
      </c>
      <c r="O50" s="3199">
        <v>2</v>
      </c>
      <c r="P50" s="3199">
        <v>2</v>
      </c>
      <c r="Q50" s="3199">
        <v>2</v>
      </c>
      <c r="R50" s="3199">
        <v>2</v>
      </c>
      <c r="S50" s="3199">
        <v>2</v>
      </c>
      <c r="T50" s="3199">
        <v>2</v>
      </c>
      <c r="U50" s="3199">
        <v>2</v>
      </c>
      <c r="V50" s="3199">
        <v>2</v>
      </c>
      <c r="W50" s="3199">
        <v>2</v>
      </c>
      <c r="X50" s="3199">
        <v>2</v>
      </c>
      <c r="Y50" s="3199">
        <v>2</v>
      </c>
      <c r="Z50" s="3199">
        <v>2</v>
      </c>
      <c r="AA50" s="3199">
        <v>2</v>
      </c>
      <c r="AB50" s="3199">
        <v>2</v>
      </c>
      <c r="AC50" s="3199">
        <v>2</v>
      </c>
      <c r="AD50" s="3199">
        <v>2</v>
      </c>
      <c r="AE50" s="3199">
        <v>2</v>
      </c>
      <c r="AF50" s="3199">
        <v>2</v>
      </c>
      <c r="AG50" s="3209"/>
      <c r="AH50" s="3209"/>
      <c r="AI50" s="3230">
        <v>0</v>
      </c>
      <c r="AJ50" s="283" cm="1">
        <f t="array" ref="AJ50">SUM(COUNTIFS($C50:$AG50,{"0","4","5","6","7","8","9"}))</f>
        <v>0</v>
      </c>
      <c r="AK50" s="283" cm="1">
        <f t="array" ref="AK50">SUM(COUNTIFS($C50:$AG50,{"0","4","5","6","7","8","9"},$C$4:$AG$4,"0"))</f>
        <v>0</v>
      </c>
      <c r="AL50" s="283" cm="1">
        <f t="array" ref="AL50">SUM(COUNTIFS($C50:$AG50,{"0","4","5","6","7","8","9"},$C$4:$AG$4,"1"))</f>
        <v>0</v>
      </c>
      <c r="AM50" s="283" cm="1">
        <f t="array" ref="AM50">SUM(COUNTIFS($C50:$AG50,{"0","4","5","6","7","8","9"},$C$4:$AG$4,"2"))</f>
        <v>0</v>
      </c>
      <c r="AN50" s="283" cm="1">
        <f t="array" ref="AN50">SUM(COUNTIFS($C50:$AG50,{"0","4","5","6","7","8","9"},$C$4:$AG$4,"3"))</f>
        <v>0</v>
      </c>
      <c r="AO50" s="283" cm="1">
        <f t="array" ref="AO50">SUM(COUNTIFS($C50:$AG50,{"1","2","3"}))</f>
        <v>30</v>
      </c>
      <c r="AP50" s="283" cm="1">
        <f t="array" ref="AP50">SUM(COUNTIFS($C50:$AG50,{"4","5","6"}))</f>
        <v>0</v>
      </c>
      <c r="AQ50" s="283">
        <f>AK50*'Spreadsheet Key'!$A$23 + AL50*'Spreadsheet Key'!$A$24 + AM50*'Spreadsheet Key'!$A$25 + AN50*'Spreadsheet Key'!$A$26</f>
        <v>0</v>
      </c>
      <c r="AR50" s="3228">
        <f>(AJ50/('APR Statistics'!$B$28))*ABS(AI50-1)</f>
        <v>0</v>
      </c>
      <c r="AS50" s="3231">
        <f t="shared" si="0"/>
        <v>0</v>
      </c>
      <c r="AT50" s="3229">
        <f>AR50*'APR Statistics'!$C$11</f>
        <v>0</v>
      </c>
      <c r="AU50" s="283"/>
      <c r="AV50" s="283">
        <f t="shared" si="1"/>
        <v>0</v>
      </c>
      <c r="AW50" s="283">
        <f t="shared" si="2"/>
        <v>0</v>
      </c>
      <c r="AX50" s="283">
        <f t="shared" si="3"/>
        <v>0</v>
      </c>
      <c r="AY50" s="283" cm="1">
        <f t="array" ref="AY50">COUNTIFS($C50:$AG50,"9",$C$4:$AG$4,"1")+SUM(COUNTIFS($C50:$AG50,{"8","9"},$C$4:$AG$4,"2"))+COUNTIFS($C50:$AG50,"8",$C$4:$AG$4,"3")</f>
        <v>0</v>
      </c>
      <c r="AZ50" s="283">
        <f t="shared" si="4"/>
        <v>0</v>
      </c>
      <c r="BA50" s="283">
        <f t="shared" si="5"/>
        <v>0</v>
      </c>
      <c r="BB50" s="283">
        <f>AV50*'Spreadsheet Key'!$A$27+AW50*'Spreadsheet Key'!$A$28+AX50*'Spreadsheet Key'!$A$29+AY50*'Spreadsheet Key'!$A$30+AZ50*'Spreadsheet Key'!$A$31</f>
        <v>0</v>
      </c>
      <c r="BC50" s="283"/>
      <c r="BD50" s="283">
        <f t="shared" ref="BD50" si="27">AT50-BB50</f>
        <v>0</v>
      </c>
      <c r="BE50" s="3210"/>
      <c r="BF50" s="3210"/>
      <c r="BG50" s="3210"/>
      <c r="BH50" s="3210"/>
    </row>
    <row r="51" spans="1:60">
      <c r="A51" s="3208"/>
      <c r="B51" s="3208"/>
      <c r="C51" s="3181"/>
      <c r="D51" s="3182" t="s">
        <v>720</v>
      </c>
      <c r="E51" s="3181"/>
      <c r="F51" s="3182"/>
      <c r="G51" s="3181"/>
      <c r="H51" s="3181"/>
      <c r="I51" s="3181"/>
      <c r="J51" s="3181"/>
      <c r="K51" s="3181"/>
      <c r="L51" s="3181"/>
      <c r="M51" s="3181"/>
      <c r="N51" s="3182"/>
      <c r="O51" s="3182" t="s">
        <v>720</v>
      </c>
      <c r="P51" s="3181"/>
      <c r="Q51" s="6268" t="s">
        <v>1263</v>
      </c>
      <c r="R51" s="6268"/>
      <c r="S51" s="3181"/>
      <c r="T51" s="3181"/>
      <c r="U51" s="3181"/>
      <c r="V51" s="3181"/>
      <c r="W51" s="3183" t="s">
        <v>1025</v>
      </c>
      <c r="X51" s="6269" t="s">
        <v>667</v>
      </c>
      <c r="Y51" s="6269"/>
      <c r="Z51" s="6269"/>
      <c r="AA51" s="3183" t="s">
        <v>1025</v>
      </c>
      <c r="AB51" s="3181"/>
      <c r="AC51" s="3181"/>
      <c r="AD51" s="3181"/>
      <c r="AE51" s="3181"/>
      <c r="AF51" s="3181"/>
      <c r="AG51" s="3126"/>
      <c r="AH51" s="3126"/>
      <c r="AI51" s="3230"/>
      <c r="AJ51" s="283" cm="1">
        <f t="array" ref="AJ51">SUM(COUNTIFS($C51:$AG51,{"0","4","5","6","7","8","9"}))</f>
        <v>0</v>
      </c>
      <c r="AK51" s="283" cm="1">
        <f t="array" ref="AK51">SUM(COUNTIFS($C51:$AG51,{"0","4","5","6","7","8","9"},$C$4:$AG$4,"0"))</f>
        <v>0</v>
      </c>
      <c r="AL51" s="283" cm="1">
        <f t="array" ref="AL51">SUM(COUNTIFS($C51:$AG51,{"0","4","5","6","7","8","9"},$C$4:$AG$4,"1"))</f>
        <v>0</v>
      </c>
      <c r="AM51" s="283" cm="1">
        <f t="array" ref="AM51">SUM(COUNTIFS($C51:$AG51,{"0","4","5","6","7","8","9"},$C$4:$AG$4,"2"))</f>
        <v>0</v>
      </c>
      <c r="AN51" s="283" cm="1">
        <f t="array" ref="AN51">SUM(COUNTIFS($C51:$AG51,{"0","4","5","6","7","8","9"},$C$4:$AG$4,"3"))</f>
        <v>0</v>
      </c>
      <c r="AO51" s="283" cm="1">
        <f t="array" ref="AO51">SUM(COUNTIFS($C51:$AG51,{"1","2","3"}))</f>
        <v>0</v>
      </c>
      <c r="AP51" s="283" cm="1">
        <f t="array" ref="AP51">SUM(COUNTIFS($C51:$AG51,{"4","5","6"}))</f>
        <v>0</v>
      </c>
      <c r="AQ51" s="283">
        <f>AK51*'Spreadsheet Key'!$A$23 + AL51*'Spreadsheet Key'!$A$24 + AM51*'Spreadsheet Key'!$A$25 + AN51*'Spreadsheet Key'!$A$26</f>
        <v>0</v>
      </c>
      <c r="AR51" s="3228">
        <f>(AJ51/('APR Statistics'!$B$28))*ABS(AI51-1)</f>
        <v>0</v>
      </c>
      <c r="AS51" s="3231">
        <f t="shared" si="0"/>
        <v>0</v>
      </c>
      <c r="AT51" s="3229">
        <f>AR51*'APR Statistics'!$C$11</f>
        <v>0</v>
      </c>
      <c r="AU51" s="283"/>
      <c r="AV51" s="283">
        <f t="shared" si="1"/>
        <v>0</v>
      </c>
      <c r="AW51" s="283">
        <f t="shared" si="2"/>
        <v>0</v>
      </c>
      <c r="AX51" s="283">
        <f t="shared" si="3"/>
        <v>0</v>
      </c>
      <c r="AY51" s="283" cm="1">
        <f t="array" ref="AY51">COUNTIFS($C51:$AG51,"9",$C$4:$AG$4,"1")+SUM(COUNTIFS($C51:$AG51,{"8","9"},$C$4:$AG$4,"2"))+COUNTIFS($C51:$AG51,"8",$C$4:$AG$4,"3")</f>
        <v>0</v>
      </c>
      <c r="AZ51" s="283">
        <f t="shared" si="4"/>
        <v>0</v>
      </c>
      <c r="BA51" s="283">
        <f t="shared" si="5"/>
        <v>0</v>
      </c>
      <c r="BB51" s="283">
        <f>AV51*'Spreadsheet Key'!$A$27+AW51*'Spreadsheet Key'!$A$28+AX51*'Spreadsheet Key'!$A$29+AY51*'Spreadsheet Key'!$A$30+AZ51*'Spreadsheet Key'!$A$31</f>
        <v>0</v>
      </c>
      <c r="BC51" s="283"/>
      <c r="BD51" s="283"/>
      <c r="BE51" s="283"/>
      <c r="BF51" s="283"/>
      <c r="BG51" s="283"/>
      <c r="BH51" s="283"/>
    </row>
    <row r="52" spans="1:60" s="3211" customFormat="1">
      <c r="A52" s="3180" t="s">
        <v>145</v>
      </c>
      <c r="B52" s="3180" t="s">
        <v>148</v>
      </c>
      <c r="C52" s="3199">
        <v>0</v>
      </c>
      <c r="D52" s="3199">
        <v>8</v>
      </c>
      <c r="E52" s="3199">
        <v>0</v>
      </c>
      <c r="F52" s="3199">
        <v>0</v>
      </c>
      <c r="G52" s="3199">
        <v>0</v>
      </c>
      <c r="H52" s="3199">
        <v>0</v>
      </c>
      <c r="I52" s="3199">
        <v>0</v>
      </c>
      <c r="J52" s="3199">
        <v>0</v>
      </c>
      <c r="K52" s="3199">
        <v>0</v>
      </c>
      <c r="L52" s="3199">
        <v>0</v>
      </c>
      <c r="M52" s="3199">
        <v>0</v>
      </c>
      <c r="N52" s="3199">
        <v>0</v>
      </c>
      <c r="O52" s="3199">
        <v>8</v>
      </c>
      <c r="P52" s="3199">
        <v>0</v>
      </c>
      <c r="Q52" s="3199">
        <v>7</v>
      </c>
      <c r="R52" s="3199">
        <v>7</v>
      </c>
      <c r="S52" s="3199">
        <v>0</v>
      </c>
      <c r="T52" s="3199">
        <v>0</v>
      </c>
      <c r="U52" s="3199">
        <v>0</v>
      </c>
      <c r="V52" s="3199">
        <v>0</v>
      </c>
      <c r="W52" s="3199">
        <v>1</v>
      </c>
      <c r="X52" s="3199">
        <v>2</v>
      </c>
      <c r="Y52" s="3199">
        <v>2</v>
      </c>
      <c r="Z52" s="3199">
        <v>2</v>
      </c>
      <c r="AA52" s="3199">
        <v>3</v>
      </c>
      <c r="AB52" s="3199">
        <v>0</v>
      </c>
      <c r="AC52" s="3199">
        <v>0</v>
      </c>
      <c r="AD52" s="3199">
        <v>0</v>
      </c>
      <c r="AE52" s="3199">
        <v>0</v>
      </c>
      <c r="AF52" s="3199">
        <v>0</v>
      </c>
      <c r="AG52" s="3209"/>
      <c r="AH52" s="3209"/>
      <c r="AI52" s="3230">
        <v>0</v>
      </c>
      <c r="AJ52" s="283" cm="1">
        <f t="array" ref="AJ52">SUM(COUNTIFS($C52:$AG52,{"0","4","5","6","7","8","9"}))</f>
        <v>25</v>
      </c>
      <c r="AK52" s="283" cm="1">
        <f t="array" ref="AK52">SUM(COUNTIFS($C52:$AG52,{"0","4","5","6","7","8","9"},$C$4:$AG$4,"0"))</f>
        <v>13</v>
      </c>
      <c r="AL52" s="283" cm="1">
        <f t="array" ref="AL52">SUM(COUNTIFS($C52:$AG52,{"0","4","5","6","7","8","9"},$C$4:$AG$4,"1"))</f>
        <v>3</v>
      </c>
      <c r="AM52" s="283" cm="1">
        <f t="array" ref="AM52">SUM(COUNTIFS($C52:$AG52,{"0","4","5","6","7","8","9"},$C$4:$AG$4,"2"))</f>
        <v>5</v>
      </c>
      <c r="AN52" s="283" cm="1">
        <f t="array" ref="AN52">SUM(COUNTIFS($C52:$AG52,{"0","4","5","6","7","8","9"},$C$4:$AG$4,"3"))</f>
        <v>4</v>
      </c>
      <c r="AO52" s="283" cm="1">
        <f t="array" ref="AO52">SUM(COUNTIFS($C52:$AG52,{"1","2","3"}))</f>
        <v>5</v>
      </c>
      <c r="AP52" s="283" cm="1">
        <f t="array" ref="AP52">SUM(COUNTIFS($C52:$AG52,{"4","5","6"}))</f>
        <v>0</v>
      </c>
      <c r="AQ52" s="283">
        <f>AK52*'Spreadsheet Key'!$A$23 + AL52*'Spreadsheet Key'!$A$24 + AM52*'Spreadsheet Key'!$A$25 + AN52*'Spreadsheet Key'!$A$26</f>
        <v>1032</v>
      </c>
      <c r="AR52" s="3228">
        <f>(AJ52/('APR Statistics'!$B$28))*ABS(AI52-1)</f>
        <v>4.7709923664122141E-2</v>
      </c>
      <c r="AS52" s="3231">
        <f t="shared" si="0"/>
        <v>0</v>
      </c>
      <c r="AT52" s="3229">
        <f>AR52*'APR Statistics'!$C$11</f>
        <v>46.24045801526718</v>
      </c>
      <c r="AU52" s="283"/>
      <c r="AV52" s="283">
        <f t="shared" si="1"/>
        <v>1</v>
      </c>
      <c r="AW52" s="283">
        <f t="shared" si="2"/>
        <v>0</v>
      </c>
      <c r="AX52" s="283">
        <f t="shared" si="3"/>
        <v>0</v>
      </c>
      <c r="AY52" s="283" cm="1">
        <f t="array" ref="AY52">COUNTIFS($C52:$AG52,"9",$C$4:$AG$4,"1")+SUM(COUNTIFS($C52:$AG52,{"8","9"},$C$4:$AG$4,"2"))+COUNTIFS($C52:$AG52,"8",$C$4:$AG$4,"3")</f>
        <v>1</v>
      </c>
      <c r="AZ52" s="283">
        <f t="shared" si="4"/>
        <v>0</v>
      </c>
      <c r="BA52" s="283">
        <f t="shared" si="5"/>
        <v>2</v>
      </c>
      <c r="BB52" s="283">
        <f>AV52*'Spreadsheet Key'!$A$27+AW52*'Spreadsheet Key'!$A$28+AX52*'Spreadsheet Key'!$A$29+AY52*'Spreadsheet Key'!$A$30+AZ52*'Spreadsheet Key'!$A$31</f>
        <v>46</v>
      </c>
      <c r="BC52" s="283"/>
      <c r="BD52" s="283">
        <f t="shared" ref="BD52" si="28">AT52-BB52</f>
        <v>0.2404580152671798</v>
      </c>
      <c r="BE52" s="3210"/>
      <c r="BF52" s="3210"/>
      <c r="BG52" s="3210"/>
      <c r="BH52" s="3210"/>
    </row>
    <row r="53" spans="1:60">
      <c r="A53" s="3208"/>
      <c r="B53" s="3208"/>
      <c r="C53" s="3181"/>
      <c r="D53" s="3181"/>
      <c r="E53" s="3181"/>
      <c r="F53" s="3181"/>
      <c r="G53" s="3181"/>
      <c r="H53" s="3181"/>
      <c r="I53" s="3181"/>
      <c r="J53" s="3181"/>
      <c r="K53" s="3181"/>
      <c r="L53" s="3181"/>
      <c r="M53" s="3190"/>
      <c r="N53" s="3181"/>
      <c r="O53" s="3181"/>
      <c r="P53" s="3182"/>
      <c r="Q53" s="3181"/>
      <c r="R53" s="3181"/>
      <c r="S53" s="3181"/>
      <c r="T53" s="3181"/>
      <c r="U53" s="3181"/>
      <c r="V53" s="3181"/>
      <c r="W53" s="3181"/>
      <c r="X53" s="3182"/>
      <c r="Y53" s="3181"/>
      <c r="Z53" s="3181"/>
      <c r="AA53" s="3181"/>
      <c r="AB53" s="3182"/>
      <c r="AC53" s="3181"/>
      <c r="AD53" s="3181"/>
      <c r="AE53" s="3190" t="s">
        <v>720</v>
      </c>
      <c r="AF53" s="3181"/>
      <c r="AG53" s="3126"/>
      <c r="AH53" s="3126"/>
      <c r="AI53" s="3230"/>
      <c r="AJ53" s="283" cm="1">
        <f t="array" ref="AJ53">SUM(COUNTIFS($C53:$AG53,{"0","4","5","6","7","8","9"}))</f>
        <v>0</v>
      </c>
      <c r="AK53" s="283" cm="1">
        <f t="array" ref="AK53">SUM(COUNTIFS($C53:$AG53,{"0","4","5","6","7","8","9"},$C$4:$AG$4,"0"))</f>
        <v>0</v>
      </c>
      <c r="AL53" s="283" cm="1">
        <f t="array" ref="AL53">SUM(COUNTIFS($C53:$AG53,{"0","4","5","6","7","8","9"},$C$4:$AG$4,"1"))</f>
        <v>0</v>
      </c>
      <c r="AM53" s="283" cm="1">
        <f t="array" ref="AM53">SUM(COUNTIFS($C53:$AG53,{"0","4","5","6","7","8","9"},$C$4:$AG$4,"2"))</f>
        <v>0</v>
      </c>
      <c r="AN53" s="283" cm="1">
        <f t="array" ref="AN53">SUM(COUNTIFS($C53:$AG53,{"0","4","5","6","7","8","9"},$C$4:$AG$4,"3"))</f>
        <v>0</v>
      </c>
      <c r="AO53" s="283" cm="1">
        <f t="array" ref="AO53">SUM(COUNTIFS($C53:$AG53,{"1","2","3"}))</f>
        <v>0</v>
      </c>
      <c r="AP53" s="283" cm="1">
        <f t="array" ref="AP53">SUM(COUNTIFS($C53:$AG53,{"4","5","6"}))</f>
        <v>0</v>
      </c>
      <c r="AQ53" s="283">
        <f>AK53*'Spreadsheet Key'!$A$23 + AL53*'Spreadsheet Key'!$A$24 + AM53*'Spreadsheet Key'!$A$25 + AN53*'Spreadsheet Key'!$A$26</f>
        <v>0</v>
      </c>
      <c r="AR53" s="3228">
        <f>(AJ53/('APR Statistics'!$B$28))*ABS(AI53-1)</f>
        <v>0</v>
      </c>
      <c r="AS53" s="3231">
        <f t="shared" si="0"/>
        <v>0</v>
      </c>
      <c r="AT53" s="3229">
        <f>AR53*'APR Statistics'!$C$11</f>
        <v>0</v>
      </c>
      <c r="AU53" s="283"/>
      <c r="AV53" s="283">
        <f t="shared" si="1"/>
        <v>0</v>
      </c>
      <c r="AW53" s="283">
        <f t="shared" si="2"/>
        <v>0</v>
      </c>
      <c r="AX53" s="283">
        <f t="shared" si="3"/>
        <v>0</v>
      </c>
      <c r="AY53" s="283" cm="1">
        <f t="array" ref="AY53">COUNTIFS($C53:$AG53,"9",$C$4:$AG$4,"1")+SUM(COUNTIFS($C53:$AG53,{"8","9"},$C$4:$AG$4,"2"))+COUNTIFS($C53:$AG53,"8",$C$4:$AG$4,"3")</f>
        <v>0</v>
      </c>
      <c r="AZ53" s="283">
        <f t="shared" si="4"/>
        <v>0</v>
      </c>
      <c r="BA53" s="283">
        <f t="shared" si="5"/>
        <v>0</v>
      </c>
      <c r="BB53" s="283">
        <f>AV53*'Spreadsheet Key'!$A$27+AW53*'Spreadsheet Key'!$A$28+AX53*'Spreadsheet Key'!$A$29+AY53*'Spreadsheet Key'!$A$30+AZ53*'Spreadsheet Key'!$A$31</f>
        <v>0</v>
      </c>
      <c r="BC53" s="283"/>
      <c r="BD53" s="283"/>
      <c r="BE53" s="283"/>
      <c r="BF53" s="283"/>
      <c r="BG53" s="283"/>
      <c r="BH53" s="283"/>
    </row>
    <row r="54" spans="1:60" s="3211" customFormat="1">
      <c r="A54" s="3180" t="s">
        <v>1272</v>
      </c>
      <c r="B54" s="3180" t="s">
        <v>618</v>
      </c>
      <c r="C54" s="3199">
        <v>0</v>
      </c>
      <c r="D54" s="3199">
        <v>0</v>
      </c>
      <c r="E54" s="3199">
        <v>0</v>
      </c>
      <c r="F54" s="3199">
        <v>0</v>
      </c>
      <c r="G54" s="3199">
        <v>0</v>
      </c>
      <c r="H54" s="3199">
        <v>0</v>
      </c>
      <c r="I54" s="3199">
        <v>0</v>
      </c>
      <c r="J54" s="3199">
        <v>0</v>
      </c>
      <c r="K54" s="3199">
        <v>0</v>
      </c>
      <c r="L54" s="3199">
        <v>0</v>
      </c>
      <c r="M54" s="3199">
        <v>0</v>
      </c>
      <c r="N54" s="3199">
        <v>0</v>
      </c>
      <c r="O54" s="3199">
        <v>0</v>
      </c>
      <c r="P54" s="3199">
        <v>0</v>
      </c>
      <c r="Q54" s="3199">
        <v>0</v>
      </c>
      <c r="R54" s="3199">
        <v>0</v>
      </c>
      <c r="S54" s="3199">
        <v>0</v>
      </c>
      <c r="T54" s="3199">
        <v>0</v>
      </c>
      <c r="U54" s="3199">
        <v>0</v>
      </c>
      <c r="V54" s="3199">
        <v>0</v>
      </c>
      <c r="W54" s="3199">
        <v>0</v>
      </c>
      <c r="X54" s="3199">
        <v>0</v>
      </c>
      <c r="Y54" s="3199">
        <v>0</v>
      </c>
      <c r="Z54" s="3199">
        <v>0</v>
      </c>
      <c r="AA54" s="3199">
        <v>0</v>
      </c>
      <c r="AB54" s="3199">
        <v>0</v>
      </c>
      <c r="AC54" s="3199">
        <v>0</v>
      </c>
      <c r="AD54" s="3199">
        <v>0</v>
      </c>
      <c r="AE54" s="3199">
        <v>8</v>
      </c>
      <c r="AF54" s="3199">
        <v>0</v>
      </c>
      <c r="AG54" s="3209"/>
      <c r="AH54" s="3209"/>
      <c r="AI54" s="3230">
        <v>0</v>
      </c>
      <c r="AJ54" s="283" cm="1">
        <f t="array" ref="AJ54">SUM(COUNTIFS($C54:$AG54,{"0","4","5","6","7","8","9"}))</f>
        <v>30</v>
      </c>
      <c r="AK54" s="283" cm="1">
        <f t="array" ref="AK54">SUM(COUNTIFS($C54:$AG54,{"0","4","5","6","7","8","9"},$C$4:$AG$4,"0"))</f>
        <v>17</v>
      </c>
      <c r="AL54" s="283" cm="1">
        <f t="array" ref="AL54">SUM(COUNTIFS($C54:$AG54,{"0","4","5","6","7","8","9"},$C$4:$AG$4,"1"))</f>
        <v>4</v>
      </c>
      <c r="AM54" s="283" cm="1">
        <f t="array" ref="AM54">SUM(COUNTIFS($C54:$AG54,{"0","4","5","6","7","8","9"},$C$4:$AG$4,"2"))</f>
        <v>5</v>
      </c>
      <c r="AN54" s="283" cm="1">
        <f t="array" ref="AN54">SUM(COUNTIFS($C54:$AG54,{"0","4","5","6","7","8","9"},$C$4:$AG$4,"3"))</f>
        <v>4</v>
      </c>
      <c r="AO54" s="283" cm="1">
        <f t="array" ref="AO54">SUM(COUNTIFS($C54:$AG54,{"1","2","3"}))</f>
        <v>0</v>
      </c>
      <c r="AP54" s="283" cm="1">
        <f t="array" ref="AP54">SUM(COUNTIFS($C54:$AG54,{"4","5","6"}))</f>
        <v>0</v>
      </c>
      <c r="AQ54" s="283">
        <f>AK54*'Spreadsheet Key'!$A$23 + AL54*'Spreadsheet Key'!$A$24 + AM54*'Spreadsheet Key'!$A$25 + AN54*'Spreadsheet Key'!$A$26</f>
        <v>1174</v>
      </c>
      <c r="AR54" s="3228">
        <f>(AJ54/('APR Statistics'!$B$28))*ABS(AI54-1)</f>
        <v>5.7251908396946563E-2</v>
      </c>
      <c r="AS54" s="3231">
        <f t="shared" si="0"/>
        <v>0</v>
      </c>
      <c r="AT54" s="3229">
        <f>AR54*'APR Statistics'!$C$11</f>
        <v>55.488549618320612</v>
      </c>
      <c r="AU54" s="283"/>
      <c r="AV54" s="283">
        <f t="shared" si="1"/>
        <v>1</v>
      </c>
      <c r="AW54" s="283">
        <f t="shared" si="2"/>
        <v>0</v>
      </c>
      <c r="AX54" s="283">
        <f t="shared" si="3"/>
        <v>0</v>
      </c>
      <c r="AY54" s="283" cm="1">
        <f t="array" ref="AY54">COUNTIFS($C54:$AG54,"9",$C$4:$AG$4,"1")+SUM(COUNTIFS($C54:$AG54,{"8","9"},$C$4:$AG$4,"2"))+COUNTIFS($C54:$AG54,"8",$C$4:$AG$4,"3")</f>
        <v>0</v>
      </c>
      <c r="AZ54" s="283">
        <f t="shared" si="4"/>
        <v>0</v>
      </c>
      <c r="BA54" s="283">
        <f t="shared" si="5"/>
        <v>1</v>
      </c>
      <c r="BB54" s="283">
        <f>AV54*'Spreadsheet Key'!$A$27+AW54*'Spreadsheet Key'!$A$28+AX54*'Spreadsheet Key'!$A$29+AY54*'Spreadsheet Key'!$A$30+AZ54*'Spreadsheet Key'!$A$31</f>
        <v>10</v>
      </c>
      <c r="BC54" s="283"/>
      <c r="BD54" s="283">
        <f t="shared" ref="BD54:BD66" si="29">AT54-BB54</f>
        <v>45.488549618320612</v>
      </c>
    </row>
    <row r="55" spans="1:60">
      <c r="A55" s="3208"/>
      <c r="B55" s="3208"/>
      <c r="C55" s="3182" t="s">
        <v>722</v>
      </c>
      <c r="D55" s="3181"/>
      <c r="E55" s="3181"/>
      <c r="F55" s="3181"/>
      <c r="G55" s="3181"/>
      <c r="H55" s="3181"/>
      <c r="I55" s="3181"/>
      <c r="J55" s="3181"/>
      <c r="K55" s="3181"/>
      <c r="L55" s="3010" t="s">
        <v>1025</v>
      </c>
      <c r="M55" s="6294" t="s">
        <v>1231</v>
      </c>
      <c r="N55" s="6295"/>
      <c r="O55" s="6296"/>
      <c r="P55" s="3010" t="s">
        <v>1025</v>
      </c>
      <c r="Q55" s="3181"/>
      <c r="R55" s="3181"/>
      <c r="S55" s="3181"/>
      <c r="T55" s="3181"/>
      <c r="U55" s="3181"/>
      <c r="V55" s="3181"/>
      <c r="W55" s="3181"/>
      <c r="X55" s="3181"/>
      <c r="Y55" s="3181"/>
      <c r="Z55" s="3182" t="s">
        <v>722</v>
      </c>
      <c r="AA55" s="3181"/>
      <c r="AB55" s="3181"/>
      <c r="AC55" s="3181"/>
      <c r="AD55" s="3181"/>
      <c r="AE55" s="3181"/>
      <c r="AF55" s="3181"/>
      <c r="AG55" s="3126"/>
      <c r="AH55" s="3126"/>
      <c r="AI55" s="3230"/>
      <c r="AJ55" s="283" cm="1">
        <f t="array" ref="AJ55">SUM(COUNTIFS($C55:$AG55,{"0","4","5","6","7","8","9"}))</f>
        <v>0</v>
      </c>
      <c r="AK55" s="283" cm="1">
        <f t="array" ref="AK55">SUM(COUNTIFS($C55:$AG55,{"0","4","5","6","7","8","9"},$C$4:$AG$4,"0"))</f>
        <v>0</v>
      </c>
      <c r="AL55" s="283" cm="1">
        <f t="array" ref="AL55">SUM(COUNTIFS($C55:$AG55,{"0","4","5","6","7","8","9"},$C$4:$AG$4,"1"))</f>
        <v>0</v>
      </c>
      <c r="AM55" s="283" cm="1">
        <f t="array" ref="AM55">SUM(COUNTIFS($C55:$AG55,{"0","4","5","6","7","8","9"},$C$4:$AG$4,"2"))</f>
        <v>0</v>
      </c>
      <c r="AN55" s="283" cm="1">
        <f t="array" ref="AN55">SUM(COUNTIFS($C55:$AG55,{"0","4","5","6","7","8","9"},$C$4:$AG$4,"3"))</f>
        <v>0</v>
      </c>
      <c r="AO55" s="283" cm="1">
        <f t="array" ref="AO55">SUM(COUNTIFS($C55:$AG55,{"1","2","3"}))</f>
        <v>0</v>
      </c>
      <c r="AP55" s="283" cm="1">
        <f t="array" ref="AP55">SUM(COUNTIFS($C55:$AG55,{"4","5","6"}))</f>
        <v>0</v>
      </c>
      <c r="AQ55" s="283">
        <f>AK55*'Spreadsheet Key'!$A$23 + AL55*'Spreadsheet Key'!$A$24 + AM55*'Spreadsheet Key'!$A$25 + AN55*'Spreadsheet Key'!$A$26</f>
        <v>0</v>
      </c>
      <c r="AR55" s="3228">
        <f>(AJ55/('APR Statistics'!$B$28))*ABS(AI55-1)</f>
        <v>0</v>
      </c>
      <c r="AS55" s="3231">
        <f t="shared" si="0"/>
        <v>0</v>
      </c>
      <c r="AT55" s="3229">
        <f>AR55*'APR Statistics'!$C$11</f>
        <v>0</v>
      </c>
      <c r="AU55" s="283"/>
      <c r="AV55" s="283">
        <f t="shared" si="1"/>
        <v>0</v>
      </c>
      <c r="AW55" s="283">
        <f t="shared" si="2"/>
        <v>0</v>
      </c>
      <c r="AX55" s="283">
        <f t="shared" si="3"/>
        <v>0</v>
      </c>
      <c r="AY55" s="283" cm="1">
        <f t="array" ref="AY55">COUNTIFS($C55:$AG55,"9",$C$4:$AG$4,"1")+SUM(COUNTIFS($C55:$AG55,{"8","9"},$C$4:$AG$4,"2"))+COUNTIFS($C55:$AG55,"8",$C$4:$AG$4,"3")</f>
        <v>0</v>
      </c>
      <c r="AZ55" s="283">
        <f t="shared" si="4"/>
        <v>0</v>
      </c>
      <c r="BA55" s="283">
        <f t="shared" si="5"/>
        <v>0</v>
      </c>
      <c r="BB55" s="283">
        <f>AV55*'Spreadsheet Key'!$A$27+AW55*'Spreadsheet Key'!$A$28+AX55*'Spreadsheet Key'!$A$29+AY55*'Spreadsheet Key'!$A$30+AZ55*'Spreadsheet Key'!$A$31</f>
        <v>0</v>
      </c>
      <c r="BC55" s="283"/>
      <c r="BD55" s="283"/>
    </row>
    <row r="56" spans="1:60" s="3211" customFormat="1">
      <c r="A56" s="3180" t="s">
        <v>149</v>
      </c>
      <c r="B56" s="3180" t="s">
        <v>151</v>
      </c>
      <c r="C56" s="3206">
        <v>9</v>
      </c>
      <c r="D56" s="3206">
        <v>0</v>
      </c>
      <c r="E56" s="3206">
        <v>0</v>
      </c>
      <c r="F56" s="3206">
        <v>0</v>
      </c>
      <c r="G56" s="3206">
        <v>0</v>
      </c>
      <c r="H56" s="3206">
        <v>0</v>
      </c>
      <c r="I56" s="3206">
        <v>0</v>
      </c>
      <c r="J56" s="3206">
        <v>0</v>
      </c>
      <c r="K56" s="3206">
        <v>0</v>
      </c>
      <c r="L56" s="3206">
        <v>1</v>
      </c>
      <c r="M56" s="3206">
        <v>2</v>
      </c>
      <c r="N56" s="3206">
        <v>2</v>
      </c>
      <c r="O56" s="3206">
        <v>2</v>
      </c>
      <c r="P56" s="3206">
        <v>3</v>
      </c>
      <c r="Q56" s="3206">
        <v>0</v>
      </c>
      <c r="R56" s="3206">
        <v>0</v>
      </c>
      <c r="S56" s="3206">
        <v>0</v>
      </c>
      <c r="T56" s="3206">
        <v>0</v>
      </c>
      <c r="U56" s="3206">
        <v>0</v>
      </c>
      <c r="V56" s="3206">
        <v>0</v>
      </c>
      <c r="W56" s="3206">
        <v>0</v>
      </c>
      <c r="X56" s="3206">
        <v>0</v>
      </c>
      <c r="Y56" s="3206">
        <v>0</v>
      </c>
      <c r="Z56" s="3206">
        <v>9</v>
      </c>
      <c r="AA56" s="3206">
        <v>0</v>
      </c>
      <c r="AB56" s="3206">
        <v>0</v>
      </c>
      <c r="AC56" s="3206">
        <v>0</v>
      </c>
      <c r="AD56" s="3206">
        <v>0</v>
      </c>
      <c r="AE56" s="3206">
        <v>0</v>
      </c>
      <c r="AF56" s="3206">
        <v>0</v>
      </c>
      <c r="AG56" s="3209"/>
      <c r="AH56" s="3209"/>
      <c r="AI56" s="3230">
        <v>0</v>
      </c>
      <c r="AJ56" s="283" cm="1">
        <f t="array" ref="AJ56">SUM(COUNTIFS($C56:$AG56,{"0","4","5","6","7","8","9"}))</f>
        <v>25</v>
      </c>
      <c r="AK56" s="283" cm="1">
        <f t="array" ref="AK56">SUM(COUNTIFS($C56:$AG56,{"0","4","5","6","7","8","9"},$C$4:$AG$4,"0"))</f>
        <v>15</v>
      </c>
      <c r="AL56" s="283" cm="1">
        <f t="array" ref="AL56">SUM(COUNTIFS($C56:$AG56,{"0","4","5","6","7","8","9"},$C$4:$AG$4,"1"))</f>
        <v>3</v>
      </c>
      <c r="AM56" s="283" cm="1">
        <f t="array" ref="AM56">SUM(COUNTIFS($C56:$AG56,{"0","4","5","6","7","8","9"},$C$4:$AG$4,"2"))</f>
        <v>4</v>
      </c>
      <c r="AN56" s="283" cm="1">
        <f t="array" ref="AN56">SUM(COUNTIFS($C56:$AG56,{"0","4","5","6","7","8","9"},$C$4:$AG$4,"3"))</f>
        <v>3</v>
      </c>
      <c r="AO56" s="283" cm="1">
        <f t="array" ref="AO56">SUM(COUNTIFS($C56:$AG56,{"1","2","3"}))</f>
        <v>5</v>
      </c>
      <c r="AP56" s="283" cm="1">
        <f t="array" ref="AP56">SUM(COUNTIFS($C56:$AG56,{"4","5","6"}))</f>
        <v>0</v>
      </c>
      <c r="AQ56" s="283">
        <f>AK56*'Spreadsheet Key'!$A$23 + AL56*'Spreadsheet Key'!$A$24 + AM56*'Spreadsheet Key'!$A$25 + AN56*'Spreadsheet Key'!$A$26</f>
        <v>948</v>
      </c>
      <c r="AR56" s="3228">
        <f>(AJ56/('APR Statistics'!$B$28))*ABS(AI56-1)</f>
        <v>4.7709923664122141E-2</v>
      </c>
      <c r="AS56" s="3231">
        <f t="shared" si="0"/>
        <v>0</v>
      </c>
      <c r="AT56" s="3229">
        <f>AR56*'APR Statistics'!$C$11</f>
        <v>46.24045801526718</v>
      </c>
      <c r="AU56" s="283"/>
      <c r="AV56" s="283">
        <f t="shared" si="1"/>
        <v>0</v>
      </c>
      <c r="AW56" s="283">
        <f t="shared" si="2"/>
        <v>2</v>
      </c>
      <c r="AX56" s="283">
        <f t="shared" si="3"/>
        <v>0</v>
      </c>
      <c r="AY56" s="283" cm="1">
        <f t="array" ref="AY56">COUNTIFS($C56:$AG56,"9",$C$4:$AG$4,"1")+SUM(COUNTIFS($C56:$AG56,{"8","9"},$C$4:$AG$4,"2"))+COUNTIFS($C56:$AG56,"8",$C$4:$AG$4,"3")</f>
        <v>0</v>
      </c>
      <c r="AZ56" s="283">
        <f t="shared" si="4"/>
        <v>0</v>
      </c>
      <c r="BA56" s="283">
        <f t="shared" si="5"/>
        <v>2</v>
      </c>
      <c r="BB56" s="283">
        <f>AV56*'Spreadsheet Key'!$A$27+AW56*'Spreadsheet Key'!$A$28+AX56*'Spreadsheet Key'!$A$29+AY56*'Spreadsheet Key'!$A$30+AZ56*'Spreadsheet Key'!$A$31</f>
        <v>24</v>
      </c>
      <c r="BC56" s="283"/>
      <c r="BD56" s="283">
        <f t="shared" ref="BD56:BD68" si="30">AT56-BB56</f>
        <v>22.24045801526718</v>
      </c>
    </row>
    <row r="57" spans="1:60" ht="15.75">
      <c r="A57" s="3208"/>
      <c r="B57" s="3208"/>
      <c r="C57" s="6267" t="s">
        <v>1260</v>
      </c>
      <c r="D57" s="6267"/>
      <c r="E57" s="3183" t="s">
        <v>1025</v>
      </c>
      <c r="F57" s="3184"/>
      <c r="G57" s="3181"/>
      <c r="H57" s="3184"/>
      <c r="I57" s="3182" t="s">
        <v>720</v>
      </c>
      <c r="J57" s="3181"/>
      <c r="K57" s="3181"/>
      <c r="L57" s="3181"/>
      <c r="M57" s="3181"/>
      <c r="N57" s="3181"/>
      <c r="O57" s="3181"/>
      <c r="P57" s="3181"/>
      <c r="Q57" s="3181"/>
      <c r="R57" s="3181"/>
      <c r="S57" s="3181"/>
      <c r="T57" s="3181"/>
      <c r="U57" s="3181"/>
      <c r="V57" s="3181"/>
      <c r="W57" s="3183" t="s">
        <v>1025</v>
      </c>
      <c r="X57" s="6269" t="s">
        <v>667</v>
      </c>
      <c r="Y57" s="6269"/>
      <c r="Z57" s="6269"/>
      <c r="AA57" s="3183" t="s">
        <v>1025</v>
      </c>
      <c r="AB57" s="3181"/>
      <c r="AC57" s="3181"/>
      <c r="AD57" s="3010" t="s">
        <v>1025</v>
      </c>
      <c r="AE57" s="4850" t="s">
        <v>1271</v>
      </c>
      <c r="AF57" s="5950"/>
      <c r="AG57" s="3126"/>
      <c r="AH57" s="3126"/>
      <c r="AI57" s="3230"/>
      <c r="AJ57" s="283" cm="1">
        <f t="array" ref="AJ57">SUM(COUNTIFS($C57:$AG57,{"0","4","5","6","7","8","9"}))</f>
        <v>0</v>
      </c>
      <c r="AK57" s="283" cm="1">
        <f t="array" ref="AK57">SUM(COUNTIFS($C57:$AG57,{"0","4","5","6","7","8","9"},$C$4:$AG$4,"0"))</f>
        <v>0</v>
      </c>
      <c r="AL57" s="283" cm="1">
        <f t="array" ref="AL57">SUM(COUNTIFS($C57:$AG57,{"0","4","5","6","7","8","9"},$C$4:$AG$4,"1"))</f>
        <v>0</v>
      </c>
      <c r="AM57" s="283" cm="1">
        <f t="array" ref="AM57">SUM(COUNTIFS($C57:$AG57,{"0","4","5","6","7","8","9"},$C$4:$AG$4,"2"))</f>
        <v>0</v>
      </c>
      <c r="AN57" s="283" cm="1">
        <f t="array" ref="AN57">SUM(COUNTIFS($C57:$AG57,{"0","4","5","6","7","8","9"},$C$4:$AG$4,"3"))</f>
        <v>0</v>
      </c>
      <c r="AO57" s="283" cm="1">
        <f t="array" ref="AO57">SUM(COUNTIFS($C57:$AG57,{"1","2","3"}))</f>
        <v>0</v>
      </c>
      <c r="AP57" s="283" cm="1">
        <f t="array" ref="AP57">SUM(COUNTIFS($C57:$AG57,{"4","5","6"}))</f>
        <v>0</v>
      </c>
      <c r="AQ57" s="283">
        <f>AK57*'Spreadsheet Key'!$A$23 + AL57*'Spreadsheet Key'!$A$24 + AM57*'Spreadsheet Key'!$A$25 + AN57*'Spreadsheet Key'!$A$26</f>
        <v>0</v>
      </c>
      <c r="AR57" s="3228">
        <f>(AJ57/('APR Statistics'!$B$28))*ABS(AI57-1)</f>
        <v>0</v>
      </c>
      <c r="AS57" s="3231">
        <f t="shared" si="0"/>
        <v>0</v>
      </c>
      <c r="AT57" s="3229">
        <f>AR57*'APR Statistics'!$C$11</f>
        <v>0</v>
      </c>
      <c r="AU57" s="283"/>
      <c r="AV57" s="283">
        <f t="shared" si="1"/>
        <v>0</v>
      </c>
      <c r="AW57" s="283">
        <f t="shared" si="2"/>
        <v>0</v>
      </c>
      <c r="AX57" s="283">
        <f t="shared" si="3"/>
        <v>0</v>
      </c>
      <c r="AY57" s="283" cm="1">
        <f t="array" ref="AY57">COUNTIFS($C57:$AG57,"9",$C$4:$AG$4,"1")+SUM(COUNTIFS($C57:$AG57,{"8","9"},$C$4:$AG$4,"2"))+COUNTIFS($C57:$AG57,"8",$C$4:$AG$4,"3")</f>
        <v>0</v>
      </c>
      <c r="AZ57" s="283">
        <f t="shared" si="4"/>
        <v>0</v>
      </c>
      <c r="BA57" s="283">
        <f t="shared" si="5"/>
        <v>0</v>
      </c>
      <c r="BB57" s="283">
        <f>AV57*'Spreadsheet Key'!$A$27+AW57*'Spreadsheet Key'!$A$28+AX57*'Spreadsheet Key'!$A$29+AY57*'Spreadsheet Key'!$A$30+AZ57*'Spreadsheet Key'!$A$31</f>
        <v>0</v>
      </c>
      <c r="BC57" s="283"/>
      <c r="BD57" s="283"/>
    </row>
    <row r="58" spans="1:60" s="3211" customFormat="1" ht="15.75">
      <c r="A58" s="3180" t="s">
        <v>283</v>
      </c>
      <c r="B58" s="3180" t="s">
        <v>1005</v>
      </c>
      <c r="C58" s="3205">
        <v>2</v>
      </c>
      <c r="D58" s="3205">
        <v>2</v>
      </c>
      <c r="E58" s="3199">
        <v>3</v>
      </c>
      <c r="F58" s="3203">
        <v>0</v>
      </c>
      <c r="G58" s="3199">
        <v>0</v>
      </c>
      <c r="H58" s="3203">
        <v>0</v>
      </c>
      <c r="I58" s="3199">
        <v>8</v>
      </c>
      <c r="J58" s="3199">
        <v>0</v>
      </c>
      <c r="K58" s="3199">
        <v>0</v>
      </c>
      <c r="L58" s="3199">
        <v>0</v>
      </c>
      <c r="M58" s="3199">
        <v>0</v>
      </c>
      <c r="N58" s="3199">
        <v>0</v>
      </c>
      <c r="O58" s="3199">
        <v>0</v>
      </c>
      <c r="P58" s="3204">
        <v>0</v>
      </c>
      <c r="Q58" s="3204">
        <v>0</v>
      </c>
      <c r="R58" s="3199">
        <v>0</v>
      </c>
      <c r="S58" s="3199">
        <v>0</v>
      </c>
      <c r="T58" s="3199">
        <v>0</v>
      </c>
      <c r="U58" s="3199">
        <v>0</v>
      </c>
      <c r="V58" s="3199">
        <v>0</v>
      </c>
      <c r="W58" s="3199">
        <v>1</v>
      </c>
      <c r="X58" s="3199">
        <v>2</v>
      </c>
      <c r="Y58" s="3199">
        <v>2</v>
      </c>
      <c r="Z58" s="3199">
        <v>2</v>
      </c>
      <c r="AA58" s="3199">
        <v>3</v>
      </c>
      <c r="AB58" s="3199">
        <v>0</v>
      </c>
      <c r="AC58" s="3199">
        <v>0</v>
      </c>
      <c r="AD58" s="3199">
        <v>1</v>
      </c>
      <c r="AE58" s="3199">
        <v>2</v>
      </c>
      <c r="AF58" s="3199">
        <v>2</v>
      </c>
      <c r="AG58" s="3209"/>
      <c r="AH58" s="3209"/>
      <c r="AI58" s="3230">
        <v>1</v>
      </c>
      <c r="AJ58" s="283" cm="1">
        <f t="array" ref="AJ58">SUM(COUNTIFS($C58:$AG58,{"0","4","5","6","7","8","9"}))</f>
        <v>19</v>
      </c>
      <c r="AK58" s="283" cm="1">
        <f t="array" ref="AK58">SUM(COUNTIFS($C58:$AG58,{"0","4","5","6","7","8","9"},$C$4:$AG$4,"0"))</f>
        <v>7</v>
      </c>
      <c r="AL58" s="283" cm="1">
        <f t="array" ref="AL58">SUM(COUNTIFS($C58:$AG58,{"0","4","5","6","7","8","9"},$C$4:$AG$4,"1"))</f>
        <v>3</v>
      </c>
      <c r="AM58" s="283" cm="1">
        <f t="array" ref="AM58">SUM(COUNTIFS($C58:$AG58,{"0","4","5","6","7","8","9"},$C$4:$AG$4,"2"))</f>
        <v>5</v>
      </c>
      <c r="AN58" s="283" cm="1">
        <f t="array" ref="AN58">SUM(COUNTIFS($C58:$AG58,{"0","4","5","6","7","8","9"},$C$4:$AG$4,"3"))</f>
        <v>4</v>
      </c>
      <c r="AO58" s="283" cm="1">
        <f t="array" ref="AO58">SUM(COUNTIFS($C58:$AG58,{"1","2","3"}))</f>
        <v>11</v>
      </c>
      <c r="AP58" s="283" cm="1">
        <f t="array" ref="AP58">SUM(COUNTIFS($C58:$AG58,{"4","5","6"}))</f>
        <v>0</v>
      </c>
      <c r="AQ58" s="283">
        <f>AK58*'Spreadsheet Key'!$A$23 + AL58*'Spreadsheet Key'!$A$24 + AM58*'Spreadsheet Key'!$A$25 + AN58*'Spreadsheet Key'!$A$26</f>
        <v>900</v>
      </c>
      <c r="AR58" s="3228">
        <f>(AJ58/('APR Statistics'!$B$28))*ABS(AI58-1)</f>
        <v>0</v>
      </c>
      <c r="AS58" s="3231">
        <f>AT58*AI58</f>
        <v>17.733333333333334</v>
      </c>
      <c r="AT58" s="3229">
        <f>(AJ58/'APR Statistics'!$B$6)*'Spreadsheet Key'!$A$32</f>
        <v>17.733333333333334</v>
      </c>
      <c r="AU58" s="283"/>
      <c r="AV58" s="283">
        <f t="shared" si="1"/>
        <v>1</v>
      </c>
      <c r="AW58" s="283">
        <f t="shared" si="2"/>
        <v>0</v>
      </c>
      <c r="AX58" s="283">
        <f t="shared" si="3"/>
        <v>0</v>
      </c>
      <c r="AY58" s="283" cm="1">
        <f t="array" ref="AY58">COUNTIFS($C58:$AG58,"9",$C$4:$AG$4,"1")+SUM(COUNTIFS($C58:$AG58,{"8","9"},$C$4:$AG$4,"2"))+COUNTIFS($C58:$AG58,"8",$C$4:$AG$4,"3")</f>
        <v>0</v>
      </c>
      <c r="AZ58" s="283">
        <f t="shared" si="4"/>
        <v>0</v>
      </c>
      <c r="BA58" s="283">
        <f t="shared" si="5"/>
        <v>1</v>
      </c>
      <c r="BB58" s="283">
        <f>AV58*'Spreadsheet Key'!$A$27+AW58*'Spreadsheet Key'!$A$28+AX58*'Spreadsheet Key'!$A$29+AY58*'Spreadsheet Key'!$A$30+AZ58*'Spreadsheet Key'!$A$31</f>
        <v>10</v>
      </c>
      <c r="BC58" s="283"/>
      <c r="BD58" s="283">
        <f t="shared" ref="BD58:BD72" si="31">AT58-BB58</f>
        <v>7.7333333333333343</v>
      </c>
    </row>
    <row r="59" spans="1:60">
      <c r="A59" s="3208"/>
      <c r="B59" s="3208"/>
      <c r="C59" s="3181"/>
      <c r="D59" s="3182"/>
      <c r="E59" s="3182" t="s">
        <v>722</v>
      </c>
      <c r="F59" s="3181"/>
      <c r="G59" s="3181"/>
      <c r="H59" s="3181"/>
      <c r="I59" s="3181"/>
      <c r="J59" s="3181"/>
      <c r="K59" s="3181"/>
      <c r="L59" s="3181"/>
      <c r="M59" s="3181"/>
      <c r="N59" s="3181"/>
      <c r="O59" s="3181"/>
      <c r="P59" s="3181"/>
      <c r="Q59" s="3182"/>
      <c r="R59" s="3181"/>
      <c r="S59" s="3181"/>
      <c r="T59" s="3181"/>
      <c r="U59" s="3181"/>
      <c r="V59" s="3181"/>
      <c r="W59" s="3181"/>
      <c r="X59" s="3181"/>
      <c r="Y59" s="3181"/>
      <c r="Z59" s="3181"/>
      <c r="AA59" s="3181"/>
      <c r="AB59" s="3182" t="s">
        <v>722</v>
      </c>
      <c r="AC59" s="3181"/>
      <c r="AD59" s="3181"/>
      <c r="AE59" s="3181"/>
      <c r="AF59" s="3181"/>
      <c r="AG59" s="3126"/>
      <c r="AH59" s="3126"/>
      <c r="AI59" s="3230"/>
      <c r="AJ59" s="283" cm="1">
        <f t="array" ref="AJ59">SUM(COUNTIFS($C59:$AG59,{"0","4","5","6","7","8","9"}))</f>
        <v>0</v>
      </c>
      <c r="AK59" s="283" cm="1">
        <f t="array" ref="AK59">SUM(COUNTIFS($C59:$AG59,{"0","4","5","6","7","8","9"},$C$4:$AG$4,"0"))</f>
        <v>0</v>
      </c>
      <c r="AL59" s="283" cm="1">
        <f t="array" ref="AL59">SUM(COUNTIFS($C59:$AG59,{"0","4","5","6","7","8","9"},$C$4:$AG$4,"1"))</f>
        <v>0</v>
      </c>
      <c r="AM59" s="283" cm="1">
        <f t="array" ref="AM59">SUM(COUNTIFS($C59:$AG59,{"0","4","5","6","7","8","9"},$C$4:$AG$4,"2"))</f>
        <v>0</v>
      </c>
      <c r="AN59" s="283" cm="1">
        <f t="array" ref="AN59">SUM(COUNTIFS($C59:$AG59,{"0","4","5","6","7","8","9"},$C$4:$AG$4,"3"))</f>
        <v>0</v>
      </c>
      <c r="AO59" s="283" cm="1">
        <f t="array" ref="AO59">SUM(COUNTIFS($C59:$AG59,{"1","2","3"}))</f>
        <v>0</v>
      </c>
      <c r="AP59" s="283" cm="1">
        <f t="array" ref="AP59">SUM(COUNTIFS($C59:$AG59,{"4","5","6"}))</f>
        <v>0</v>
      </c>
      <c r="AQ59" s="283">
        <f>AK59*'Spreadsheet Key'!$A$23 + AL59*'Spreadsheet Key'!$A$24 + AM59*'Spreadsheet Key'!$A$25 + AN59*'Spreadsheet Key'!$A$26</f>
        <v>0</v>
      </c>
      <c r="AR59" s="3228">
        <f>(AJ59/('APR Statistics'!$B$28))*ABS(AI59-1)</f>
        <v>0</v>
      </c>
      <c r="AS59" s="3231">
        <f t="shared" si="0"/>
        <v>0</v>
      </c>
      <c r="AT59" s="3229">
        <f>AR59*'APR Statistics'!$C$6</f>
        <v>0</v>
      </c>
      <c r="AU59" s="283"/>
      <c r="AV59" s="283">
        <f t="shared" si="1"/>
        <v>0</v>
      </c>
      <c r="AW59" s="283">
        <f t="shared" si="2"/>
        <v>0</v>
      </c>
      <c r="AX59" s="283">
        <f t="shared" si="3"/>
        <v>0</v>
      </c>
      <c r="AY59" s="283" cm="1">
        <f t="array" ref="AY59">COUNTIFS($C59:$AG59,"9",$C$4:$AG$4,"1")+SUM(COUNTIFS($C59:$AG59,{"8","9"},$C$4:$AG$4,"2"))+COUNTIFS($C59:$AG59,"8",$C$4:$AG$4,"3")</f>
        <v>0</v>
      </c>
      <c r="AZ59" s="283">
        <f t="shared" si="4"/>
        <v>0</v>
      </c>
      <c r="BA59" s="283">
        <f t="shared" si="5"/>
        <v>0</v>
      </c>
      <c r="BB59" s="283">
        <f>AV59*'Spreadsheet Key'!$A$27+AW59*'Spreadsheet Key'!$A$28+AX59*'Spreadsheet Key'!$A$29+AY59*'Spreadsheet Key'!$A$30+AZ59*'Spreadsheet Key'!$A$31</f>
        <v>0</v>
      </c>
      <c r="BC59" s="283"/>
      <c r="BD59" s="283"/>
    </row>
    <row r="60" spans="1:60" s="3211" customFormat="1">
      <c r="A60" s="3180" t="s">
        <v>602</v>
      </c>
      <c r="B60" s="3216" t="s">
        <v>660</v>
      </c>
      <c r="C60" s="3206">
        <v>0</v>
      </c>
      <c r="D60" s="3206">
        <v>0</v>
      </c>
      <c r="E60" s="3206">
        <v>9</v>
      </c>
      <c r="F60" s="3206">
        <v>0</v>
      </c>
      <c r="G60" s="3206">
        <v>0</v>
      </c>
      <c r="H60" s="3206">
        <v>0</v>
      </c>
      <c r="I60" s="3206">
        <v>0</v>
      </c>
      <c r="J60" s="3206">
        <v>0</v>
      </c>
      <c r="K60" s="3206">
        <v>0</v>
      </c>
      <c r="L60" s="3206">
        <v>0</v>
      </c>
      <c r="M60" s="3206">
        <v>0</v>
      </c>
      <c r="N60" s="3206">
        <v>0</v>
      </c>
      <c r="O60" s="3206">
        <v>0</v>
      </c>
      <c r="P60" s="3206">
        <v>0</v>
      </c>
      <c r="Q60" s="3206">
        <v>0</v>
      </c>
      <c r="R60" s="3206">
        <v>0</v>
      </c>
      <c r="S60" s="3206">
        <v>0</v>
      </c>
      <c r="T60" s="3206">
        <v>0</v>
      </c>
      <c r="U60" s="3206">
        <v>0</v>
      </c>
      <c r="V60" s="3206">
        <v>0</v>
      </c>
      <c r="W60" s="3206">
        <v>0</v>
      </c>
      <c r="X60" s="3206">
        <v>0</v>
      </c>
      <c r="Y60" s="3206">
        <v>0</v>
      </c>
      <c r="Z60" s="3206">
        <v>0</v>
      </c>
      <c r="AA60" s="3206">
        <v>0</v>
      </c>
      <c r="AB60" s="3199">
        <v>9</v>
      </c>
      <c r="AC60" s="3206">
        <v>0</v>
      </c>
      <c r="AD60" s="3206">
        <v>0</v>
      </c>
      <c r="AE60" s="3206">
        <v>0</v>
      </c>
      <c r="AF60" s="3206">
        <v>0</v>
      </c>
      <c r="AG60" s="3209"/>
      <c r="AH60" s="3209"/>
      <c r="AI60" s="3230">
        <v>0</v>
      </c>
      <c r="AJ60" s="283" cm="1">
        <f t="array" ref="AJ60">SUM(COUNTIFS($C60:$AG60,{"0","4","5","6","7","8","9"}))</f>
        <v>30</v>
      </c>
      <c r="AK60" s="283" cm="1">
        <f t="array" ref="AK60">SUM(COUNTIFS($C60:$AG60,{"0","4","5","6","7","8","9"},$C$4:$AG$4,"0"))</f>
        <v>17</v>
      </c>
      <c r="AL60" s="283" cm="1">
        <f t="array" ref="AL60">SUM(COUNTIFS($C60:$AG60,{"0","4","5","6","7","8","9"},$C$4:$AG$4,"1"))</f>
        <v>4</v>
      </c>
      <c r="AM60" s="283" cm="1">
        <f t="array" ref="AM60">SUM(COUNTIFS($C60:$AG60,{"0","4","5","6","7","8","9"},$C$4:$AG$4,"2"))</f>
        <v>5</v>
      </c>
      <c r="AN60" s="283" cm="1">
        <f t="array" ref="AN60">SUM(COUNTIFS($C60:$AG60,{"0","4","5","6","7","8","9"},$C$4:$AG$4,"3"))</f>
        <v>4</v>
      </c>
      <c r="AO60" s="283" cm="1">
        <f t="array" ref="AO60">SUM(COUNTIFS($C60:$AG60,{"1","2","3"}))</f>
        <v>0</v>
      </c>
      <c r="AP60" s="283" cm="1">
        <f t="array" ref="AP60">SUM(COUNTIFS($C60:$AG60,{"4","5","6"}))</f>
        <v>0</v>
      </c>
      <c r="AQ60" s="283">
        <f>AK60*'Spreadsheet Key'!$A$23 + AL60*'Spreadsheet Key'!$A$24 + AM60*'Spreadsheet Key'!$A$25 + AN60*'Spreadsheet Key'!$A$26</f>
        <v>1174</v>
      </c>
      <c r="AR60" s="3228">
        <f>(AJ60/('APR Statistics'!$B$28))*ABS(AI60-1)</f>
        <v>5.7251908396946563E-2</v>
      </c>
      <c r="AS60" s="3231">
        <f t="shared" si="0"/>
        <v>0</v>
      </c>
      <c r="AT60" s="3229">
        <f>AR60*'APR Statistics'!$C$11</f>
        <v>55.488549618320612</v>
      </c>
      <c r="AU60" s="283"/>
      <c r="AV60" s="283">
        <f t="shared" si="1"/>
        <v>0</v>
      </c>
      <c r="AW60" s="283">
        <f t="shared" si="2"/>
        <v>1</v>
      </c>
      <c r="AX60" s="283">
        <f t="shared" si="3"/>
        <v>0</v>
      </c>
      <c r="AY60" s="283" cm="1">
        <f t="array" ref="AY60">COUNTIFS($C60:$AG60,"9",$C$4:$AG$4,"1")+SUM(COUNTIFS($C60:$AG60,{"8","9"},$C$4:$AG$4,"2"))+COUNTIFS($C60:$AG60,"8",$C$4:$AG$4,"3")</f>
        <v>1</v>
      </c>
      <c r="AZ60" s="283">
        <f t="shared" si="4"/>
        <v>0</v>
      </c>
      <c r="BA60" s="283">
        <f t="shared" si="5"/>
        <v>2</v>
      </c>
      <c r="BB60" s="283">
        <f>AV60*'Spreadsheet Key'!$A$27+AW60*'Spreadsheet Key'!$A$28+AX60*'Spreadsheet Key'!$A$29+AY60*'Spreadsheet Key'!$A$30+AZ60*'Spreadsheet Key'!$A$31</f>
        <v>48</v>
      </c>
      <c r="BC60" s="283"/>
      <c r="BD60" s="283">
        <f t="shared" ref="BD60:BD74" si="32">AT60-BB60</f>
        <v>7.4885496183206115</v>
      </c>
    </row>
    <row r="61" spans="1:60" ht="15.75">
      <c r="A61" s="3208"/>
      <c r="B61" s="3208"/>
      <c r="C61" s="6267" t="s">
        <v>1260</v>
      </c>
      <c r="D61" s="6267"/>
      <c r="E61" s="3183" t="s">
        <v>1025</v>
      </c>
      <c r="F61" s="3192"/>
      <c r="G61" s="3192"/>
      <c r="H61" s="3181"/>
      <c r="I61" s="3182" t="s">
        <v>722</v>
      </c>
      <c r="J61" s="3181"/>
      <c r="K61" s="3181"/>
      <c r="L61" s="3181"/>
      <c r="M61" s="3181"/>
      <c r="N61" s="3190"/>
      <c r="O61" s="3181"/>
      <c r="P61" s="3190" t="s">
        <v>722</v>
      </c>
      <c r="Q61" s="3181"/>
      <c r="R61" s="3181"/>
      <c r="S61" s="3181"/>
      <c r="T61" s="3181"/>
      <c r="U61" s="3181"/>
      <c r="V61" s="3181"/>
      <c r="W61" s="3183" t="s">
        <v>1025</v>
      </c>
      <c r="X61" s="6269" t="s">
        <v>667</v>
      </c>
      <c r="Y61" s="6269"/>
      <c r="Z61" s="6269"/>
      <c r="AA61" s="3183" t="s">
        <v>1025</v>
      </c>
      <c r="AB61" s="3181"/>
      <c r="AC61" s="3181"/>
      <c r="AD61" s="3010" t="s">
        <v>1025</v>
      </c>
      <c r="AE61" s="4850" t="s">
        <v>1271</v>
      </c>
      <c r="AF61" s="5950"/>
      <c r="AG61" s="3126"/>
      <c r="AH61" s="3126"/>
      <c r="AI61" s="3230"/>
      <c r="AJ61" s="283" cm="1">
        <f t="array" ref="AJ61">SUM(COUNTIFS($C61:$AG61,{"0","4","5","6","7","8","9"}))</f>
        <v>0</v>
      </c>
      <c r="AK61" s="283" cm="1">
        <f t="array" ref="AK61">SUM(COUNTIFS($C61:$AG61,{"0","4","5","6","7","8","9"},$C$4:$AG$4,"0"))</f>
        <v>0</v>
      </c>
      <c r="AL61" s="283" cm="1">
        <f t="array" ref="AL61">SUM(COUNTIFS($C61:$AG61,{"0","4","5","6","7","8","9"},$C$4:$AG$4,"1"))</f>
        <v>0</v>
      </c>
      <c r="AM61" s="283" cm="1">
        <f t="array" ref="AM61">SUM(COUNTIFS($C61:$AG61,{"0","4","5","6","7","8","9"},$C$4:$AG$4,"2"))</f>
        <v>0</v>
      </c>
      <c r="AN61" s="283" cm="1">
        <f t="array" ref="AN61">SUM(COUNTIFS($C61:$AG61,{"0","4","5","6","7","8","9"},$C$4:$AG$4,"3"))</f>
        <v>0</v>
      </c>
      <c r="AO61" s="283" cm="1">
        <f t="array" ref="AO61">SUM(COUNTIFS($C61:$AG61,{"1","2","3"}))</f>
        <v>0</v>
      </c>
      <c r="AP61" s="283" cm="1">
        <f t="array" ref="AP61">SUM(COUNTIFS($C61:$AG61,{"4","5","6"}))</f>
        <v>0</v>
      </c>
      <c r="AQ61" s="283">
        <f>AK61*'Spreadsheet Key'!$A$23 + AL61*'Spreadsheet Key'!$A$24 + AM61*'Spreadsheet Key'!$A$25 + AN61*'Spreadsheet Key'!$A$26</f>
        <v>0</v>
      </c>
      <c r="AR61" s="3228">
        <f>(AJ61/('APR Statistics'!$B$28))*ABS(AI61-1)</f>
        <v>0</v>
      </c>
      <c r="AS61" s="3231">
        <f t="shared" si="0"/>
        <v>0</v>
      </c>
      <c r="AT61" s="3229">
        <f>AR61*'APR Statistics'!$C$11</f>
        <v>0</v>
      </c>
      <c r="AU61" s="283"/>
      <c r="AV61" s="283">
        <f t="shared" si="1"/>
        <v>0</v>
      </c>
      <c r="AW61" s="283">
        <f t="shared" si="2"/>
        <v>0</v>
      </c>
      <c r="AX61" s="283">
        <f t="shared" si="3"/>
        <v>0</v>
      </c>
      <c r="AY61" s="283" cm="1">
        <f t="array" ref="AY61">COUNTIFS($C61:$AG61,"9",$C$4:$AG$4,"1")+SUM(COUNTIFS($C61:$AG61,{"8","9"},$C$4:$AG$4,"2"))+COUNTIFS($C61:$AG61,"8",$C$4:$AG$4,"3")</f>
        <v>0</v>
      </c>
      <c r="AZ61" s="283">
        <f t="shared" si="4"/>
        <v>0</v>
      </c>
      <c r="BA61" s="283">
        <f t="shared" si="5"/>
        <v>0</v>
      </c>
      <c r="BB61" s="283">
        <f>AV61*'Spreadsheet Key'!$A$27+AW61*'Spreadsheet Key'!$A$28+AX61*'Spreadsheet Key'!$A$29+AY61*'Spreadsheet Key'!$A$30+AZ61*'Spreadsheet Key'!$A$31</f>
        <v>0</v>
      </c>
      <c r="BC61" s="283"/>
      <c r="BD61" s="283"/>
    </row>
    <row r="62" spans="1:60" s="3211" customFormat="1" ht="15.75">
      <c r="A62" s="3180" t="s">
        <v>81</v>
      </c>
      <c r="B62" s="3180" t="s">
        <v>396</v>
      </c>
      <c r="C62" s="3205">
        <v>2</v>
      </c>
      <c r="D62" s="3205">
        <v>2</v>
      </c>
      <c r="E62" s="3199">
        <v>3</v>
      </c>
      <c r="F62" s="3199">
        <v>0</v>
      </c>
      <c r="G62" s="3199">
        <v>0</v>
      </c>
      <c r="H62" s="3199">
        <v>0</v>
      </c>
      <c r="I62" s="3199">
        <v>9</v>
      </c>
      <c r="J62" s="3199">
        <v>0</v>
      </c>
      <c r="K62" s="3199">
        <v>0</v>
      </c>
      <c r="L62" s="3199">
        <v>0</v>
      </c>
      <c r="M62" s="3199">
        <v>0</v>
      </c>
      <c r="N62" s="3199">
        <v>0</v>
      </c>
      <c r="O62" s="3199">
        <v>0</v>
      </c>
      <c r="P62" s="3206">
        <v>9</v>
      </c>
      <c r="Q62" s="3204">
        <v>0</v>
      </c>
      <c r="R62" s="3199">
        <v>0</v>
      </c>
      <c r="S62" s="3199">
        <v>0</v>
      </c>
      <c r="T62" s="3199">
        <v>0</v>
      </c>
      <c r="U62" s="3199">
        <v>0</v>
      </c>
      <c r="V62" s="3199">
        <v>0</v>
      </c>
      <c r="W62" s="3199">
        <v>1</v>
      </c>
      <c r="X62" s="3199">
        <v>2</v>
      </c>
      <c r="Y62" s="3199">
        <v>2</v>
      </c>
      <c r="Z62" s="3199">
        <v>2</v>
      </c>
      <c r="AA62" s="3199">
        <v>3</v>
      </c>
      <c r="AB62" s="3199">
        <v>0</v>
      </c>
      <c r="AC62" s="3199">
        <v>0</v>
      </c>
      <c r="AD62" s="3199">
        <v>1</v>
      </c>
      <c r="AE62" s="3199">
        <v>2</v>
      </c>
      <c r="AF62" s="3199">
        <v>2</v>
      </c>
      <c r="AG62" s="3209"/>
      <c r="AH62" s="3209"/>
      <c r="AI62" s="3230">
        <v>0</v>
      </c>
      <c r="AJ62" s="283" cm="1">
        <f t="array" ref="AJ62">SUM(COUNTIFS($C62:$AG62,{"0","4","5","6","7","8","9"}))</f>
        <v>19</v>
      </c>
      <c r="AK62" s="283" cm="1">
        <f t="array" ref="AK62">SUM(COUNTIFS($C62:$AG62,{"0","4","5","6","7","8","9"},$C$4:$AG$4,"0"))</f>
        <v>7</v>
      </c>
      <c r="AL62" s="283" cm="1">
        <f t="array" ref="AL62">SUM(COUNTIFS($C62:$AG62,{"0","4","5","6","7","8","9"},$C$4:$AG$4,"1"))</f>
        <v>3</v>
      </c>
      <c r="AM62" s="283" cm="1">
        <f t="array" ref="AM62">SUM(COUNTIFS($C62:$AG62,{"0","4","5","6","7","8","9"},$C$4:$AG$4,"2"))</f>
        <v>5</v>
      </c>
      <c r="AN62" s="283" cm="1">
        <f t="array" ref="AN62">SUM(COUNTIFS($C62:$AG62,{"0","4","5","6","7","8","9"},$C$4:$AG$4,"3"))</f>
        <v>4</v>
      </c>
      <c r="AO62" s="283" cm="1">
        <f t="array" ref="AO62">SUM(COUNTIFS($C62:$AG62,{"1","2","3"}))</f>
        <v>11</v>
      </c>
      <c r="AP62" s="283" cm="1">
        <f t="array" ref="AP62">SUM(COUNTIFS($C62:$AG62,{"4","5","6"}))</f>
        <v>0</v>
      </c>
      <c r="AQ62" s="283">
        <f>AK62*'Spreadsheet Key'!$A$23 + AL62*'Spreadsheet Key'!$A$24 + AM62*'Spreadsheet Key'!$A$25 + AN62*'Spreadsheet Key'!$A$26</f>
        <v>900</v>
      </c>
      <c r="AR62" s="3228">
        <f>(AJ62/('APR Statistics'!$B$28))*ABS(AI62-1)</f>
        <v>3.6259541984732822E-2</v>
      </c>
      <c r="AS62" s="3231">
        <f t="shared" si="0"/>
        <v>0</v>
      </c>
      <c r="AT62" s="3229">
        <f>AR62*'APR Statistics'!$C$11</f>
        <v>35.142748091603053</v>
      </c>
      <c r="AU62" s="283"/>
      <c r="AV62" s="283">
        <f t="shared" si="1"/>
        <v>0</v>
      </c>
      <c r="AW62" s="283">
        <f t="shared" si="2"/>
        <v>2</v>
      </c>
      <c r="AX62" s="283">
        <f t="shared" si="3"/>
        <v>0</v>
      </c>
      <c r="AY62" s="283" cm="1">
        <f t="array" ref="AY62">COUNTIFS($C62:$AG62,"9",$C$4:$AG$4,"1")+SUM(COUNTIFS($C62:$AG62,{"8","9"},$C$4:$AG$4,"2"))+COUNTIFS($C62:$AG62,"8",$C$4:$AG$4,"3")</f>
        <v>0</v>
      </c>
      <c r="AZ62" s="283">
        <f t="shared" si="4"/>
        <v>0</v>
      </c>
      <c r="BA62" s="283">
        <f t="shared" si="5"/>
        <v>2</v>
      </c>
      <c r="BB62" s="283">
        <f>AV62*'Spreadsheet Key'!$A$27+AW62*'Spreadsheet Key'!$A$28+AX62*'Spreadsheet Key'!$A$29+AY62*'Spreadsheet Key'!$A$30+AZ62*'Spreadsheet Key'!$A$31</f>
        <v>24</v>
      </c>
      <c r="BC62" s="283"/>
      <c r="BD62" s="283">
        <f t="shared" ref="BD62:BD76" si="33">AT62-BB62</f>
        <v>11.142748091603053</v>
      </c>
    </row>
    <row r="63" spans="1:60">
      <c r="A63" s="3208"/>
      <c r="B63" s="3208"/>
      <c r="C63" s="3195"/>
      <c r="D63" s="3183" t="s">
        <v>1025</v>
      </c>
      <c r="E63" s="3181"/>
      <c r="F63" s="3184"/>
      <c r="G63" s="3184"/>
      <c r="H63" s="3185" t="s">
        <v>720</v>
      </c>
      <c r="I63" s="3184"/>
      <c r="J63" s="3184"/>
      <c r="K63" s="3185"/>
      <c r="L63" s="3184"/>
      <c r="M63" s="3184"/>
      <c r="N63" s="3181"/>
      <c r="O63" s="3181"/>
      <c r="P63" s="3181"/>
      <c r="Q63" s="3181"/>
      <c r="R63" s="3182" t="s">
        <v>720</v>
      </c>
      <c r="S63" s="3181"/>
      <c r="T63" s="3181"/>
      <c r="U63" s="3181"/>
      <c r="V63" s="3181"/>
      <c r="W63" s="3183" t="s">
        <v>1025</v>
      </c>
      <c r="X63" s="6273" t="s">
        <v>754</v>
      </c>
      <c r="Y63" s="6273"/>
      <c r="Z63" s="6273"/>
      <c r="AA63" s="3183" t="s">
        <v>1025</v>
      </c>
      <c r="AB63" s="3181"/>
      <c r="AC63" s="3181"/>
      <c r="AD63" s="3181"/>
      <c r="AE63" s="3181"/>
      <c r="AF63" s="3181"/>
      <c r="AG63" s="3126"/>
      <c r="AH63" s="3126"/>
      <c r="AI63" s="3230"/>
      <c r="AJ63" s="283" cm="1">
        <f t="array" ref="AJ63">SUM(COUNTIFS($C63:$AG63,{"0","4","5","6","7","8","9"}))</f>
        <v>0</v>
      </c>
      <c r="AK63" s="283" cm="1">
        <f t="array" ref="AK63">SUM(COUNTIFS($C63:$AG63,{"0","4","5","6","7","8","9"},$C$4:$AG$4,"0"))</f>
        <v>0</v>
      </c>
      <c r="AL63" s="283" cm="1">
        <f t="array" ref="AL63">SUM(COUNTIFS($C63:$AG63,{"0","4","5","6","7","8","9"},$C$4:$AG$4,"1"))</f>
        <v>0</v>
      </c>
      <c r="AM63" s="283" cm="1">
        <f t="array" ref="AM63">SUM(COUNTIFS($C63:$AG63,{"0","4","5","6","7","8","9"},$C$4:$AG$4,"2"))</f>
        <v>0</v>
      </c>
      <c r="AN63" s="283" cm="1">
        <f t="array" ref="AN63">SUM(COUNTIFS($C63:$AG63,{"0","4","5","6","7","8","9"},$C$4:$AG$4,"3"))</f>
        <v>0</v>
      </c>
      <c r="AO63" s="283" cm="1">
        <f t="array" ref="AO63">SUM(COUNTIFS($C63:$AG63,{"1","2","3"}))</f>
        <v>0</v>
      </c>
      <c r="AP63" s="283" cm="1">
        <f t="array" ref="AP63">SUM(COUNTIFS($C63:$AG63,{"4","5","6"}))</f>
        <v>0</v>
      </c>
      <c r="AQ63" s="283">
        <f>AK63*'Spreadsheet Key'!$A$23 + AL63*'Spreadsheet Key'!$A$24 + AM63*'Spreadsheet Key'!$A$25 + AN63*'Spreadsheet Key'!$A$26</f>
        <v>0</v>
      </c>
      <c r="AR63" s="3228">
        <f>(AJ63/('APR Statistics'!$B$28))*ABS(AI63-1)</f>
        <v>0</v>
      </c>
      <c r="AS63" s="3231">
        <f t="shared" si="0"/>
        <v>0</v>
      </c>
      <c r="AT63" s="3229">
        <f>AR63*'APR Statistics'!$C$11</f>
        <v>0</v>
      </c>
      <c r="AU63" s="283"/>
      <c r="AV63" s="283">
        <f t="shared" si="1"/>
        <v>0</v>
      </c>
      <c r="AW63" s="283">
        <f t="shared" si="2"/>
        <v>0</v>
      </c>
      <c r="AX63" s="283">
        <f t="shared" si="3"/>
        <v>0</v>
      </c>
      <c r="AY63" s="283" cm="1">
        <f t="array" ref="AY63">COUNTIFS($C63:$AG63,"9",$C$4:$AG$4,"1")+SUM(COUNTIFS($C63:$AG63,{"8","9"},$C$4:$AG$4,"2"))+COUNTIFS($C63:$AG63,"8",$C$4:$AG$4,"3")</f>
        <v>0</v>
      </c>
      <c r="AZ63" s="283">
        <f t="shared" si="4"/>
        <v>0</v>
      </c>
      <c r="BA63" s="283">
        <f t="shared" si="5"/>
        <v>0</v>
      </c>
      <c r="BB63" s="283">
        <f>AV63*'Spreadsheet Key'!$A$27+AW63*'Spreadsheet Key'!$A$28+AX63*'Spreadsheet Key'!$A$29+AY63*'Spreadsheet Key'!$A$30+AZ63*'Spreadsheet Key'!$A$31</f>
        <v>0</v>
      </c>
      <c r="BC63" s="283"/>
      <c r="BD63" s="283"/>
    </row>
    <row r="64" spans="1:60" s="3211" customFormat="1">
      <c r="A64" s="3180" t="s">
        <v>95</v>
      </c>
      <c r="B64" s="3180" t="s">
        <v>303</v>
      </c>
      <c r="C64" s="3199">
        <v>2</v>
      </c>
      <c r="D64" s="3199">
        <v>3</v>
      </c>
      <c r="E64" s="3199">
        <v>0</v>
      </c>
      <c r="F64" s="3203">
        <v>0</v>
      </c>
      <c r="G64" s="3203">
        <v>0</v>
      </c>
      <c r="H64" s="3203">
        <v>8</v>
      </c>
      <c r="I64" s="3203">
        <v>0</v>
      </c>
      <c r="J64" s="3203">
        <v>0</v>
      </c>
      <c r="K64" s="3203">
        <v>0</v>
      </c>
      <c r="L64" s="3203">
        <v>0</v>
      </c>
      <c r="M64" s="3203">
        <v>0</v>
      </c>
      <c r="N64" s="3199">
        <v>0</v>
      </c>
      <c r="O64" s="3199">
        <v>0</v>
      </c>
      <c r="P64" s="3199">
        <v>0</v>
      </c>
      <c r="Q64" s="3199">
        <v>0</v>
      </c>
      <c r="R64" s="3199">
        <v>8</v>
      </c>
      <c r="S64" s="3199">
        <v>0</v>
      </c>
      <c r="T64" s="3199">
        <v>0</v>
      </c>
      <c r="U64" s="3199">
        <v>0</v>
      </c>
      <c r="V64" s="3199">
        <v>0</v>
      </c>
      <c r="W64" s="3199">
        <v>1</v>
      </c>
      <c r="X64" s="3199">
        <v>2</v>
      </c>
      <c r="Y64" s="3199">
        <v>2</v>
      </c>
      <c r="Z64" s="3199">
        <v>2</v>
      </c>
      <c r="AA64" s="3199">
        <v>3</v>
      </c>
      <c r="AB64" s="3199">
        <v>0</v>
      </c>
      <c r="AC64" s="3199">
        <v>0</v>
      </c>
      <c r="AD64" s="3199">
        <v>0</v>
      </c>
      <c r="AE64" s="3199">
        <v>0</v>
      </c>
      <c r="AF64" s="3199">
        <v>0</v>
      </c>
      <c r="AG64" s="3209"/>
      <c r="AH64" s="3209"/>
      <c r="AI64" s="3230">
        <v>0</v>
      </c>
      <c r="AJ64" s="283" cm="1">
        <f t="array" ref="AJ64">SUM(COUNTIFS($C64:$AG64,{"0","4","5","6","7","8","9"}))</f>
        <v>23</v>
      </c>
      <c r="AK64" s="283" cm="1">
        <f t="array" ref="AK64">SUM(COUNTIFS($C64:$AG64,{"0","4","5","6","7","8","9"},$C$4:$AG$4,"0"))</f>
        <v>11</v>
      </c>
      <c r="AL64" s="283" cm="1">
        <f t="array" ref="AL64">SUM(COUNTIFS($C64:$AG64,{"0","4","5","6","7","8","9"},$C$4:$AG$4,"1"))</f>
        <v>3</v>
      </c>
      <c r="AM64" s="283" cm="1">
        <f t="array" ref="AM64">SUM(COUNTIFS($C64:$AG64,{"0","4","5","6","7","8","9"},$C$4:$AG$4,"2"))</f>
        <v>5</v>
      </c>
      <c r="AN64" s="283" cm="1">
        <f t="array" ref="AN64">SUM(COUNTIFS($C64:$AG64,{"0","4","5","6","7","8","9"},$C$4:$AG$4,"3"))</f>
        <v>4</v>
      </c>
      <c r="AO64" s="283" cm="1">
        <f t="array" ref="AO64">SUM(COUNTIFS($C64:$AG64,{"1","2","3"}))</f>
        <v>7</v>
      </c>
      <c r="AP64" s="283" cm="1">
        <f t="array" ref="AP64">SUM(COUNTIFS($C64:$AG64,{"4","5","6"}))</f>
        <v>0</v>
      </c>
      <c r="AQ64" s="283">
        <f>AK64*'Spreadsheet Key'!$A$23 + AL64*'Spreadsheet Key'!$A$24 + AM64*'Spreadsheet Key'!$A$25 + AN64*'Spreadsheet Key'!$A$26</f>
        <v>988</v>
      </c>
      <c r="AR64" s="3228">
        <f>(AJ64/('APR Statistics'!$B$28))*ABS(AI64-1)</f>
        <v>4.3893129770992363E-2</v>
      </c>
      <c r="AS64" s="3231">
        <f t="shared" si="0"/>
        <v>0</v>
      </c>
      <c r="AT64" s="3229">
        <f>AR64*'APR Statistics'!$C$11</f>
        <v>42.541221374045797</v>
      </c>
      <c r="AU64" s="283"/>
      <c r="AV64" s="283">
        <f t="shared" si="1"/>
        <v>1</v>
      </c>
      <c r="AW64" s="283">
        <f t="shared" si="2"/>
        <v>0</v>
      </c>
      <c r="AX64" s="283">
        <f t="shared" si="3"/>
        <v>0</v>
      </c>
      <c r="AY64" s="283" cm="1">
        <f t="array" ref="AY64">COUNTIFS($C64:$AG64,"9",$C$4:$AG$4,"1")+SUM(COUNTIFS($C64:$AG64,{"8","9"},$C$4:$AG$4,"2"))+COUNTIFS($C64:$AG64,"8",$C$4:$AG$4,"3")</f>
        <v>1</v>
      </c>
      <c r="AZ64" s="283">
        <f t="shared" si="4"/>
        <v>0</v>
      </c>
      <c r="BA64" s="283">
        <f t="shared" si="5"/>
        <v>2</v>
      </c>
      <c r="BB64" s="283">
        <f>AV64*'Spreadsheet Key'!$A$27+AW64*'Spreadsheet Key'!$A$28+AX64*'Spreadsheet Key'!$A$29+AY64*'Spreadsheet Key'!$A$30+AZ64*'Spreadsheet Key'!$A$31</f>
        <v>46</v>
      </c>
      <c r="BC64" s="283"/>
      <c r="BD64" s="283">
        <f t="shared" ref="BD64:BD78" si="34">AT64-BB64</f>
        <v>-3.4587786259542028</v>
      </c>
    </row>
    <row r="65" spans="1:56">
      <c r="A65" s="3208"/>
      <c r="B65" s="3208"/>
      <c r="C65" s="3195"/>
      <c r="D65" s="3183" t="s">
        <v>1025</v>
      </c>
      <c r="E65" s="3181"/>
      <c r="F65" s="3182"/>
      <c r="G65" s="3182" t="s">
        <v>720</v>
      </c>
      <c r="H65" s="3181"/>
      <c r="I65" s="3181"/>
      <c r="J65" s="3181"/>
      <c r="K65" s="3181"/>
      <c r="L65" s="3182" t="s">
        <v>722</v>
      </c>
      <c r="M65" s="3181"/>
      <c r="N65" s="3181"/>
      <c r="O65" s="3181"/>
      <c r="P65" s="3183" t="s">
        <v>1025</v>
      </c>
      <c r="Q65" s="6273" t="s">
        <v>754</v>
      </c>
      <c r="R65" s="6273"/>
      <c r="S65" s="6273"/>
      <c r="T65" s="6273"/>
      <c r="U65" s="3183" t="s">
        <v>1025</v>
      </c>
      <c r="V65" s="3181"/>
      <c r="W65" s="3181"/>
      <c r="X65" s="3181"/>
      <c r="Y65" s="3183" t="s">
        <v>1025</v>
      </c>
      <c r="Z65" s="6274" t="s">
        <v>1273</v>
      </c>
      <c r="AA65" s="6275"/>
      <c r="AB65" s="6275"/>
      <c r="AC65" s="6275"/>
      <c r="AD65" s="6275"/>
      <c r="AE65" s="6275"/>
      <c r="AF65" s="6275"/>
      <c r="AG65" s="3126"/>
      <c r="AH65" s="3126"/>
      <c r="AI65" s="3230"/>
      <c r="AJ65" s="283"/>
      <c r="AK65" s="283"/>
      <c r="AL65" s="283"/>
      <c r="AM65" s="283"/>
      <c r="AN65" s="283"/>
      <c r="AO65" s="283"/>
      <c r="AP65" s="283"/>
      <c r="AQ65" s="283"/>
      <c r="AR65" s="3228">
        <f>(AJ65/('APR Statistics'!$B$28))*ABS(AI65-1)</f>
        <v>0</v>
      </c>
      <c r="AS65" s="3231">
        <f t="shared" si="0"/>
        <v>0</v>
      </c>
      <c r="AT65" s="3229">
        <f>AR65*'APR Statistics'!$C$11</f>
        <v>0</v>
      </c>
      <c r="AU65" s="283"/>
      <c r="AV65" s="283"/>
      <c r="AW65" s="283"/>
      <c r="AX65" s="283"/>
      <c r="AY65" s="283"/>
      <c r="AZ65" s="283"/>
      <c r="BA65" s="283"/>
      <c r="BB65" s="283"/>
      <c r="BC65" s="283"/>
      <c r="BD65" s="283"/>
    </row>
    <row r="66" spans="1:56" s="3211" customFormat="1">
      <c r="A66" s="3180" t="s">
        <v>155</v>
      </c>
      <c r="B66" s="3187" t="s">
        <v>532</v>
      </c>
      <c r="C66" s="3199">
        <v>2</v>
      </c>
      <c r="D66" s="3199">
        <v>3</v>
      </c>
      <c r="E66" s="3199">
        <v>0</v>
      </c>
      <c r="F66" s="3203">
        <v>0</v>
      </c>
      <c r="G66" s="3203">
        <v>8</v>
      </c>
      <c r="H66" s="3203">
        <v>0</v>
      </c>
      <c r="I66" s="3203">
        <v>0</v>
      </c>
      <c r="J66" s="3203">
        <v>0</v>
      </c>
      <c r="K66" s="3203">
        <v>0</v>
      </c>
      <c r="L66" s="3203">
        <v>9</v>
      </c>
      <c r="M66" s="3203">
        <v>0</v>
      </c>
      <c r="N66" s="3199">
        <v>0</v>
      </c>
      <c r="O66" s="3199">
        <v>0</v>
      </c>
      <c r="P66" s="3199">
        <v>1</v>
      </c>
      <c r="Q66" s="3199">
        <v>2</v>
      </c>
      <c r="R66" s="3199">
        <v>2</v>
      </c>
      <c r="S66" s="3199">
        <v>2</v>
      </c>
      <c r="T66" s="3199">
        <v>2</v>
      </c>
      <c r="U66" s="3199">
        <v>3</v>
      </c>
      <c r="V66" s="3199">
        <v>0</v>
      </c>
      <c r="W66" s="3199">
        <v>0</v>
      </c>
      <c r="X66" s="3199">
        <v>0</v>
      </c>
      <c r="Y66" s="3199">
        <v>1</v>
      </c>
      <c r="Z66" s="3199">
        <v>2</v>
      </c>
      <c r="AA66" s="3199">
        <v>2</v>
      </c>
      <c r="AB66" s="3199">
        <v>2</v>
      </c>
      <c r="AC66" s="3199">
        <v>2</v>
      </c>
      <c r="AD66" s="3199">
        <v>2</v>
      </c>
      <c r="AE66" s="3199">
        <v>2</v>
      </c>
      <c r="AF66" s="3199">
        <v>2</v>
      </c>
      <c r="AG66" s="3209"/>
      <c r="AH66" s="3209"/>
      <c r="AI66" s="3230">
        <v>0</v>
      </c>
      <c r="AJ66" s="283" cm="1">
        <f t="array" ref="AJ66">SUM(COUNTIFS($C66:$AG66,{"0","4","5","6","7","8","9"}))</f>
        <v>14</v>
      </c>
      <c r="AK66" s="283" cm="1">
        <f t="array" ref="AK66">SUM(COUNTIFS($C66:$AG66,{"0","4","5","6","7","8","9"},$C$4:$AG$4,"0"))</f>
        <v>7</v>
      </c>
      <c r="AL66" s="283" cm="1">
        <f t="array" ref="AL66">SUM(COUNTIFS($C66:$AG66,{"0","4","5","6","7","8","9"},$C$4:$AG$4,"1"))</f>
        <v>2</v>
      </c>
      <c r="AM66" s="283" cm="1">
        <f t="array" ref="AM66">SUM(COUNTIFS($C66:$AG66,{"0","4","5","6","7","8","9"},$C$4:$AG$4,"2"))</f>
        <v>2</v>
      </c>
      <c r="AN66" s="283" cm="1">
        <f t="array" ref="AN66">SUM(COUNTIFS($C66:$AG66,{"0","4","5","6","7","8","9"},$C$4:$AG$4,"3"))</f>
        <v>3</v>
      </c>
      <c r="AO66" s="283" cm="1">
        <f t="array" ref="AO66">SUM(COUNTIFS($C66:$AG66,{"1","2","3"}))</f>
        <v>16</v>
      </c>
      <c r="AP66" s="283" cm="1">
        <f t="array" ref="AP66">SUM(COUNTIFS($C66:$AG66,{"4","5","6"}))</f>
        <v>0</v>
      </c>
      <c r="AQ66" s="283">
        <f>AK66*'Spreadsheet Key'!$A$23 + AL66*'Spreadsheet Key'!$A$24 + AM66*'Spreadsheet Key'!$A$25 + AN66*'Spreadsheet Key'!$A$26</f>
        <v>574</v>
      </c>
      <c r="AR66" s="3228">
        <f>(AJ66/('APR Statistics'!$B$28))*ABS(AI66-1)</f>
        <v>2.6717557251908396E-2</v>
      </c>
      <c r="AS66" s="3231">
        <f t="shared" si="0"/>
        <v>0</v>
      </c>
      <c r="AT66" s="3229">
        <f>AR66*'APR Statistics'!$C$11</f>
        <v>25.894656488549618</v>
      </c>
      <c r="AU66" s="283"/>
      <c r="AV66" s="283">
        <f t="shared" si="1"/>
        <v>0</v>
      </c>
      <c r="AW66" s="283">
        <f t="shared" si="2"/>
        <v>1</v>
      </c>
      <c r="AX66" s="283">
        <f t="shared" si="3"/>
        <v>0</v>
      </c>
      <c r="AY66" s="283" cm="1">
        <f t="array" ref="AY66">COUNTIFS($C66:$AG66,"9",$C$4:$AG$4,"1")+SUM(COUNTIFS($C66:$AG66,{"8","9"},$C$4:$AG$4,"2"))+COUNTIFS($C66:$AG66,"8",$C$4:$AG$4,"3")</f>
        <v>1</v>
      </c>
      <c r="AZ66" s="283">
        <f t="shared" si="4"/>
        <v>0</v>
      </c>
      <c r="BA66" s="283">
        <f t="shared" si="5"/>
        <v>2</v>
      </c>
      <c r="BB66" s="283">
        <f>AV66*'Spreadsheet Key'!$A$27+AW66*'Spreadsheet Key'!$A$28+AX66*'Spreadsheet Key'!$A$29+AY66*'Spreadsheet Key'!$A$30+AZ66*'Spreadsheet Key'!$A$31</f>
        <v>48</v>
      </c>
      <c r="BC66" s="283"/>
      <c r="BD66" s="283">
        <f t="shared" ref="BD66:BD80" si="35">AT66-BB66</f>
        <v>-22.105343511450382</v>
      </c>
    </row>
    <row r="67" spans="1:56">
      <c r="A67" s="916" t="s">
        <v>720</v>
      </c>
      <c r="B67" s="916"/>
      <c r="C67">
        <f>COUNTIF(C$5:C$66,"D")</f>
        <v>1</v>
      </c>
      <c r="D67">
        <f t="shared" ref="D67:AF67" si="36">COUNTIF(D$5:D$66,"D")</f>
        <v>1</v>
      </c>
      <c r="E67">
        <f t="shared" si="36"/>
        <v>1</v>
      </c>
      <c r="F67">
        <f t="shared" si="36"/>
        <v>1</v>
      </c>
      <c r="G67">
        <f t="shared" si="36"/>
        <v>1</v>
      </c>
      <c r="H67">
        <f t="shared" si="36"/>
        <v>1</v>
      </c>
      <c r="I67">
        <f t="shared" si="36"/>
        <v>1</v>
      </c>
      <c r="J67">
        <f t="shared" si="36"/>
        <v>1</v>
      </c>
      <c r="K67">
        <f t="shared" si="36"/>
        <v>1</v>
      </c>
      <c r="L67">
        <f t="shared" si="36"/>
        <v>1</v>
      </c>
      <c r="M67">
        <f t="shared" si="36"/>
        <v>1</v>
      </c>
      <c r="N67">
        <f t="shared" si="36"/>
        <v>0</v>
      </c>
      <c r="O67">
        <f t="shared" si="36"/>
        <v>1</v>
      </c>
      <c r="P67">
        <f t="shared" si="36"/>
        <v>1</v>
      </c>
      <c r="Q67">
        <f t="shared" si="36"/>
        <v>1</v>
      </c>
      <c r="R67">
        <f t="shared" si="36"/>
        <v>1</v>
      </c>
      <c r="S67">
        <f t="shared" si="36"/>
        <v>1</v>
      </c>
      <c r="T67">
        <f t="shared" si="36"/>
        <v>1</v>
      </c>
      <c r="U67">
        <f t="shared" si="36"/>
        <v>1</v>
      </c>
      <c r="V67">
        <f t="shared" si="36"/>
        <v>1</v>
      </c>
      <c r="W67">
        <f t="shared" si="36"/>
        <v>1</v>
      </c>
      <c r="X67">
        <f t="shared" si="36"/>
        <v>1</v>
      </c>
      <c r="Y67">
        <f t="shared" si="36"/>
        <v>1</v>
      </c>
      <c r="Z67">
        <f t="shared" si="36"/>
        <v>1</v>
      </c>
      <c r="AA67">
        <f t="shared" si="36"/>
        <v>1</v>
      </c>
      <c r="AB67">
        <f t="shared" si="36"/>
        <v>1</v>
      </c>
      <c r="AC67">
        <f t="shared" si="36"/>
        <v>1</v>
      </c>
      <c r="AD67">
        <f t="shared" si="36"/>
        <v>1</v>
      </c>
      <c r="AE67">
        <f t="shared" si="36"/>
        <v>1</v>
      </c>
      <c r="AF67">
        <f t="shared" si="36"/>
        <v>1</v>
      </c>
      <c r="AJ67" s="283"/>
      <c r="AK67" s="283">
        <f>SUM(AK6:AK66)</f>
        <v>349</v>
      </c>
      <c r="AL67" s="283">
        <f t="shared" ref="AL67:AO67" si="37">SUM(AL6:AL66)</f>
        <v>86</v>
      </c>
      <c r="AM67" s="283">
        <f t="shared" si="37"/>
        <v>114</v>
      </c>
      <c r="AN67" s="283">
        <f t="shared" si="37"/>
        <v>88</v>
      </c>
      <c r="AO67" s="283">
        <f t="shared" si="37"/>
        <v>293</v>
      </c>
      <c r="AP67" s="283"/>
      <c r="AQ67" s="283"/>
      <c r="AR67" s="3228">
        <f>SUM(AR6:AR66)</f>
        <v>1.0000000000000002</v>
      </c>
      <c r="AS67" s="3231">
        <f>SUM(AS6:AS66)</f>
        <v>96.800000000000011</v>
      </c>
      <c r="AT67" s="3229">
        <f>SUM(AT6:AT66)</f>
        <v>1066.0000000000002</v>
      </c>
      <c r="AU67" s="283"/>
      <c r="AV67" s="283">
        <f>SUM(AV6:AV66)</f>
        <v>17</v>
      </c>
      <c r="AW67" s="283">
        <f>SUM(AW6:AW66)</f>
        <v>17</v>
      </c>
      <c r="AX67" s="283">
        <f>SUM(AX6:AX66)</f>
        <v>4</v>
      </c>
      <c r="AY67" s="283">
        <f>SUM(AY6:AY66)</f>
        <v>15</v>
      </c>
      <c r="AZ67" s="283">
        <f>SUM(AZ6:AZ66)</f>
        <v>4</v>
      </c>
      <c r="BA67" s="283">
        <f>SUM(BA6:BA66)</f>
        <v>57</v>
      </c>
      <c r="BB67" s="283">
        <f>SUM(BB6:BB66)</f>
        <v>1066</v>
      </c>
      <c r="BC67" s="283"/>
      <c r="BD67" s="283">
        <f>SUM(BD6:BD66)</f>
        <v>3.907985046680551E-14</v>
      </c>
    </row>
    <row r="68" spans="1:56">
      <c r="A68" s="916">
        <v>8</v>
      </c>
      <c r="B68" s="916"/>
      <c r="C68">
        <f>COUNTIF(C$6:C$66,8)</f>
        <v>1</v>
      </c>
      <c r="D68">
        <f t="shared" ref="D68:AF68" si="38">COUNTIF(D$6:D$66,8)</f>
        <v>1</v>
      </c>
      <c r="E68">
        <f t="shared" si="38"/>
        <v>1</v>
      </c>
      <c r="F68">
        <f t="shared" si="38"/>
        <v>1</v>
      </c>
      <c r="G68">
        <f t="shared" si="38"/>
        <v>1</v>
      </c>
      <c r="H68">
        <f t="shared" si="38"/>
        <v>1</v>
      </c>
      <c r="I68">
        <f t="shared" si="38"/>
        <v>1</v>
      </c>
      <c r="J68">
        <f t="shared" si="38"/>
        <v>1</v>
      </c>
      <c r="K68">
        <f t="shared" si="38"/>
        <v>1</v>
      </c>
      <c r="L68">
        <f t="shared" si="38"/>
        <v>1</v>
      </c>
      <c r="M68">
        <f t="shared" si="38"/>
        <v>1</v>
      </c>
      <c r="N68">
        <f t="shared" si="38"/>
        <v>0</v>
      </c>
      <c r="O68">
        <f t="shared" si="38"/>
        <v>1</v>
      </c>
      <c r="P68">
        <f t="shared" si="38"/>
        <v>1</v>
      </c>
      <c r="Q68">
        <f t="shared" si="38"/>
        <v>1</v>
      </c>
      <c r="R68">
        <f t="shared" si="38"/>
        <v>1</v>
      </c>
      <c r="S68">
        <f t="shared" si="38"/>
        <v>1</v>
      </c>
      <c r="T68">
        <f t="shared" si="38"/>
        <v>1</v>
      </c>
      <c r="U68">
        <f t="shared" si="38"/>
        <v>1</v>
      </c>
      <c r="V68">
        <f t="shared" si="38"/>
        <v>1</v>
      </c>
      <c r="W68">
        <f t="shared" si="38"/>
        <v>1</v>
      </c>
      <c r="X68">
        <f t="shared" si="38"/>
        <v>1</v>
      </c>
      <c r="Y68">
        <f t="shared" si="38"/>
        <v>1</v>
      </c>
      <c r="Z68">
        <f t="shared" si="38"/>
        <v>1</v>
      </c>
      <c r="AA68">
        <f t="shared" si="38"/>
        <v>1</v>
      </c>
      <c r="AB68">
        <f t="shared" si="38"/>
        <v>1</v>
      </c>
      <c r="AC68">
        <f t="shared" si="38"/>
        <v>1</v>
      </c>
      <c r="AD68">
        <f t="shared" si="38"/>
        <v>1</v>
      </c>
      <c r="AE68">
        <f t="shared" si="38"/>
        <v>1</v>
      </c>
      <c r="AF68">
        <f t="shared" si="38"/>
        <v>1</v>
      </c>
      <c r="AJ68" s="283" cm="1">
        <f t="array" ref="AJ68">SUM(AI6:AI66*AJ6:AJ66)</f>
        <v>113</v>
      </c>
      <c r="AK68" s="283"/>
      <c r="AL68" s="283"/>
      <c r="AM68" s="283"/>
      <c r="AN68" s="283"/>
      <c r="AO68" s="283"/>
      <c r="AP68" s="283"/>
      <c r="AQ68" s="283"/>
      <c r="AR68" s="283"/>
      <c r="AS68" s="3231"/>
      <c r="AT68" s="283"/>
      <c r="AU68" s="283"/>
      <c r="AV68" s="283"/>
      <c r="AW68" s="283"/>
      <c r="AX68" s="283"/>
      <c r="AY68" s="283"/>
      <c r="AZ68" s="283"/>
      <c r="BA68" s="283"/>
      <c r="BB68" s="283"/>
      <c r="BC68" s="283"/>
      <c r="BD68" s="283">
        <f>STDEV(BD12:BD58)</f>
        <v>17.973342084050092</v>
      </c>
    </row>
    <row r="69" spans="1:56">
      <c r="A69" s="916" t="s">
        <v>722</v>
      </c>
      <c r="B69" s="916"/>
      <c r="C69">
        <f>COUNTIF(C$5:C$66,"N")</f>
        <v>1</v>
      </c>
      <c r="D69">
        <f t="shared" ref="D69:AF69" si="39">COUNTIF(D$5:D$66,"N")</f>
        <v>1</v>
      </c>
      <c r="E69">
        <f t="shared" si="39"/>
        <v>1</v>
      </c>
      <c r="F69">
        <f t="shared" si="39"/>
        <v>1</v>
      </c>
      <c r="G69">
        <f t="shared" si="39"/>
        <v>1</v>
      </c>
      <c r="H69">
        <f t="shared" si="39"/>
        <v>1</v>
      </c>
      <c r="I69">
        <f t="shared" si="39"/>
        <v>1</v>
      </c>
      <c r="J69">
        <f t="shared" si="39"/>
        <v>1</v>
      </c>
      <c r="K69">
        <f t="shared" si="39"/>
        <v>1</v>
      </c>
      <c r="L69">
        <f t="shared" si="39"/>
        <v>1</v>
      </c>
      <c r="M69">
        <f t="shared" si="39"/>
        <v>0</v>
      </c>
      <c r="N69">
        <f t="shared" si="39"/>
        <v>0</v>
      </c>
      <c r="O69">
        <f t="shared" si="39"/>
        <v>1</v>
      </c>
      <c r="P69">
        <f t="shared" si="39"/>
        <v>1</v>
      </c>
      <c r="Q69">
        <f t="shared" si="39"/>
        <v>1</v>
      </c>
      <c r="R69">
        <f t="shared" si="39"/>
        <v>1</v>
      </c>
      <c r="S69">
        <f t="shared" si="39"/>
        <v>1</v>
      </c>
      <c r="T69">
        <f t="shared" si="39"/>
        <v>1</v>
      </c>
      <c r="U69">
        <f t="shared" si="39"/>
        <v>1</v>
      </c>
      <c r="V69">
        <f t="shared" si="39"/>
        <v>1</v>
      </c>
      <c r="W69">
        <f t="shared" si="39"/>
        <v>1</v>
      </c>
      <c r="X69">
        <f t="shared" si="39"/>
        <v>1</v>
      </c>
      <c r="Y69">
        <f t="shared" si="39"/>
        <v>1</v>
      </c>
      <c r="Z69">
        <f t="shared" si="39"/>
        <v>1</v>
      </c>
      <c r="AA69">
        <f t="shared" si="39"/>
        <v>1</v>
      </c>
      <c r="AB69">
        <f t="shared" si="39"/>
        <v>1</v>
      </c>
      <c r="AC69">
        <f t="shared" si="39"/>
        <v>1</v>
      </c>
      <c r="AD69">
        <f t="shared" si="39"/>
        <v>1</v>
      </c>
      <c r="AE69">
        <f t="shared" si="39"/>
        <v>1</v>
      </c>
      <c r="AF69">
        <f t="shared" si="39"/>
        <v>1</v>
      </c>
      <c r="AJ69" s="283"/>
      <c r="AK69" s="283"/>
      <c r="AL69" s="283"/>
      <c r="AM69" s="283"/>
      <c r="AN69" s="283"/>
      <c r="AO69" s="283"/>
      <c r="AP69" s="283"/>
      <c r="AQ69" s="283"/>
      <c r="AR69" s="283"/>
      <c r="AS69" s="3231"/>
      <c r="AT69" s="283"/>
      <c r="AU69" s="283"/>
      <c r="AV69" s="283"/>
      <c r="AW69" s="283"/>
      <c r="AX69" s="283"/>
      <c r="AY69" s="283"/>
      <c r="AZ69" s="283"/>
      <c r="BA69" s="283"/>
      <c r="BB69" s="283"/>
      <c r="BC69" s="283"/>
      <c r="BD69" s="283"/>
    </row>
    <row r="70" spans="1:56">
      <c r="A70" s="916">
        <v>9</v>
      </c>
      <c r="B70" s="916"/>
      <c r="C70">
        <f>COUNTIF(C$6:C$66,9)</f>
        <v>1</v>
      </c>
      <c r="D70">
        <f t="shared" ref="D70:AF70" si="40">COUNTIF(D$6:D$66,9)</f>
        <v>1</v>
      </c>
      <c r="E70">
        <f t="shared" si="40"/>
        <v>1</v>
      </c>
      <c r="F70">
        <f t="shared" si="40"/>
        <v>1</v>
      </c>
      <c r="G70">
        <f t="shared" si="40"/>
        <v>1</v>
      </c>
      <c r="H70">
        <f t="shared" si="40"/>
        <v>1</v>
      </c>
      <c r="I70">
        <f t="shared" si="40"/>
        <v>1</v>
      </c>
      <c r="J70">
        <f t="shared" si="40"/>
        <v>1</v>
      </c>
      <c r="K70">
        <f t="shared" si="40"/>
        <v>1</v>
      </c>
      <c r="L70">
        <f t="shared" si="40"/>
        <v>1</v>
      </c>
      <c r="M70">
        <f t="shared" si="40"/>
        <v>0</v>
      </c>
      <c r="N70">
        <f t="shared" si="40"/>
        <v>0</v>
      </c>
      <c r="O70">
        <f t="shared" si="40"/>
        <v>1</v>
      </c>
      <c r="P70">
        <f t="shared" si="40"/>
        <v>1</v>
      </c>
      <c r="Q70">
        <f t="shared" si="40"/>
        <v>1</v>
      </c>
      <c r="R70">
        <f t="shared" si="40"/>
        <v>1</v>
      </c>
      <c r="S70">
        <f t="shared" si="40"/>
        <v>1</v>
      </c>
      <c r="T70">
        <f t="shared" si="40"/>
        <v>1</v>
      </c>
      <c r="U70">
        <f t="shared" si="40"/>
        <v>1</v>
      </c>
      <c r="V70">
        <f t="shared" si="40"/>
        <v>1</v>
      </c>
      <c r="W70">
        <f t="shared" si="40"/>
        <v>1</v>
      </c>
      <c r="X70">
        <f t="shared" si="40"/>
        <v>1</v>
      </c>
      <c r="Y70">
        <f t="shared" si="40"/>
        <v>1</v>
      </c>
      <c r="Z70">
        <f t="shared" si="40"/>
        <v>1</v>
      </c>
      <c r="AA70">
        <f t="shared" si="40"/>
        <v>1</v>
      </c>
      <c r="AB70">
        <f t="shared" si="40"/>
        <v>1</v>
      </c>
      <c r="AC70">
        <f t="shared" si="40"/>
        <v>1</v>
      </c>
      <c r="AD70">
        <f t="shared" si="40"/>
        <v>1</v>
      </c>
      <c r="AE70">
        <f t="shared" si="40"/>
        <v>1</v>
      </c>
      <c r="AF70">
        <f t="shared" si="40"/>
        <v>1</v>
      </c>
      <c r="AJ70" s="283"/>
      <c r="AK70" s="283"/>
      <c r="AL70" s="283"/>
      <c r="AM70" s="283"/>
      <c r="AN70" s="283"/>
      <c r="AO70" s="283"/>
      <c r="AP70" s="283"/>
      <c r="AQ70" s="283"/>
      <c r="AR70" s="283"/>
      <c r="AS70" s="3231"/>
      <c r="AT70" s="283"/>
      <c r="AU70" s="283"/>
      <c r="AV70" s="283"/>
      <c r="AW70" s="283"/>
      <c r="AX70" s="283"/>
      <c r="AY70" s="283"/>
      <c r="AZ70" s="283"/>
      <c r="BA70" s="283"/>
      <c r="BB70" s="283"/>
      <c r="BC70" s="283"/>
      <c r="BD70" s="283"/>
    </row>
    <row r="71" spans="1:56">
      <c r="A71" t="s">
        <v>1151</v>
      </c>
      <c r="C71">
        <f>COUNTIF(C5:AF66,"D")</f>
        <v>29</v>
      </c>
      <c r="AJ71">
        <f>SUM(AJ6:AJ66)</f>
        <v>637</v>
      </c>
      <c r="AO71">
        <f>SUM(AK67:AO67)</f>
        <v>930</v>
      </c>
      <c r="AR71" s="283"/>
      <c r="AS71" s="283"/>
    </row>
    <row r="72" spans="1:56">
      <c r="A72" t="s">
        <v>1152</v>
      </c>
      <c r="C72">
        <f>COUNTIF(C5:AG66,"8")</f>
        <v>29</v>
      </c>
      <c r="M72" t="s">
        <v>1275</v>
      </c>
      <c r="AR72" s="283"/>
      <c r="AS72" s="283"/>
    </row>
    <row r="73" spans="1:56">
      <c r="A73" t="s">
        <v>1153</v>
      </c>
      <c r="C73">
        <f>COUNTIF(C5:AG66,"N")</f>
        <v>28</v>
      </c>
      <c r="AR73" s="283"/>
      <c r="AS73" s="283"/>
    </row>
    <row r="74" spans="1:56">
      <c r="A74" t="s">
        <v>1154</v>
      </c>
      <c r="C74">
        <f>COUNTIF(C5:AG66,"9")</f>
        <v>28</v>
      </c>
      <c r="AR74" s="283"/>
      <c r="AS74" s="283"/>
    </row>
  </sheetData>
  <mergeCells count="57">
    <mergeCell ref="C61:D61"/>
    <mergeCell ref="X63:Z63"/>
    <mergeCell ref="Q65:T65"/>
    <mergeCell ref="Z65:AF65"/>
    <mergeCell ref="X61:Z61"/>
    <mergeCell ref="C57:D57"/>
    <mergeCell ref="X57:Z57"/>
    <mergeCell ref="Q43:R43"/>
    <mergeCell ref="W43:AF43"/>
    <mergeCell ref="C45:N45"/>
    <mergeCell ref="Q47:R47"/>
    <mergeCell ref="M49:N49"/>
    <mergeCell ref="C47:L47"/>
    <mergeCell ref="Q49:R49"/>
    <mergeCell ref="Q51:R51"/>
    <mergeCell ref="X51:Z51"/>
    <mergeCell ref="M55:O55"/>
    <mergeCell ref="AD23:AF23"/>
    <mergeCell ref="C25:H25"/>
    <mergeCell ref="V41:AD41"/>
    <mergeCell ref="I29:O29"/>
    <mergeCell ref="I33:O33"/>
    <mergeCell ref="Z33:AF33"/>
    <mergeCell ref="M37:O37"/>
    <mergeCell ref="G37:L37"/>
    <mergeCell ref="C39:F39"/>
    <mergeCell ref="Q39:R39"/>
    <mergeCell ref="C41:F41"/>
    <mergeCell ref="Q41:R41"/>
    <mergeCell ref="Q11:R11"/>
    <mergeCell ref="C13:D13"/>
    <mergeCell ref="I13:M13"/>
    <mergeCell ref="M27:N27"/>
    <mergeCell ref="M17:N17"/>
    <mergeCell ref="F21:I21"/>
    <mergeCell ref="M23:X23"/>
    <mergeCell ref="AJ1:BH1"/>
    <mergeCell ref="A2:B2"/>
    <mergeCell ref="A3:B3"/>
    <mergeCell ref="AJ3:AT3"/>
    <mergeCell ref="AV3:BB3"/>
    <mergeCell ref="AE15:AF15"/>
    <mergeCell ref="AE57:AF57"/>
    <mergeCell ref="AE61:AF61"/>
    <mergeCell ref="A1:B1"/>
    <mergeCell ref="C1:AF1"/>
    <mergeCell ref="A4:B4"/>
    <mergeCell ref="C5:F5"/>
    <mergeCell ref="C9:D9"/>
    <mergeCell ref="I9:M9"/>
    <mergeCell ref="X9:AC9"/>
    <mergeCell ref="W5:Y5"/>
    <mergeCell ref="W15:Y15"/>
    <mergeCell ref="M15:N15"/>
    <mergeCell ref="M7:N7"/>
    <mergeCell ref="C15:G15"/>
    <mergeCell ref="G11:J11"/>
  </mergeCells>
  <conditionalFormatting sqref="BD1:BD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7:BD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6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AG70">
    <cfRule type="cellIs" dxfId="131" priority="2" operator="equal">
      <formula>0</formula>
    </cfRule>
  </conditionalFormatting>
  <conditionalFormatting sqref="C67:AG70">
    <cfRule type="cellIs" dxfId="130" priority="1" operator="equal">
      <formula>1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CB4ED-4902-4F29-A8BF-D17DA5327F44}">
  <dimension ref="A1:E28"/>
  <sheetViews>
    <sheetView workbookViewId="0">
      <selection activeCell="A11" sqref="A11"/>
    </sheetView>
  </sheetViews>
  <sheetFormatPr defaultRowHeight="15"/>
  <cols>
    <col min="1" max="1" width="29.28515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SUM(COUNTIF('APR STWO Watchbill REV 2'!$C$4:$AG$4,"0"))</f>
        <v>17</v>
      </c>
      <c r="C2">
        <f>B2*'Spreadsheet Key'!A23</f>
        <v>374</v>
      </c>
    </row>
    <row r="3" spans="1:5">
      <c r="A3" t="s">
        <v>1159</v>
      </c>
      <c r="B3">
        <f>SUM(COUNTIF('APR STWO Watchbill REV 2'!$C$4:$AG$4,"1"))</f>
        <v>4</v>
      </c>
      <c r="C3">
        <f>B3*'Spreadsheet Key'!A24</f>
        <v>216</v>
      </c>
    </row>
    <row r="4" spans="1:5">
      <c r="A4" t="s">
        <v>1160</v>
      </c>
      <c r="B4">
        <f>SUM(COUNTIF('APR STWO Watchbill REV 2'!$C$4:$AG$4,"2"))</f>
        <v>5</v>
      </c>
      <c r="C4">
        <f>B4*'Spreadsheet Key'!A25</f>
        <v>360</v>
      </c>
    </row>
    <row r="5" spans="1:5">
      <c r="A5" t="s">
        <v>1161</v>
      </c>
      <c r="B5">
        <f>SUM(COUNTIF('APR STWO Watchbill REV 2'!$C$4:$AG$4,"3"))</f>
        <v>4</v>
      </c>
      <c r="C5">
        <f>B5*'Spreadsheet Key'!A26</f>
        <v>224</v>
      </c>
    </row>
    <row r="6" spans="1:5">
      <c r="A6" t="s">
        <v>571</v>
      </c>
      <c r="B6">
        <f>SUM(B2:B5)</f>
        <v>30</v>
      </c>
      <c r="C6">
        <f>SUM(C2:C5)</f>
        <v>1174</v>
      </c>
    </row>
    <row r="7" spans="1:5">
      <c r="A7" t="s">
        <v>1162</v>
      </c>
      <c r="B7">
        <f>2*B6/$B$15</f>
        <v>1.935483870967742</v>
      </c>
      <c r="C7">
        <f>C6/$B$15</f>
        <v>37.87096774193548</v>
      </c>
    </row>
    <row r="9" spans="1:5">
      <c r="A9" t="s">
        <v>1214</v>
      </c>
      <c r="C9" s="878">
        <v>96.8</v>
      </c>
    </row>
    <row r="10" spans="1:5">
      <c r="A10" t="s">
        <v>1276</v>
      </c>
      <c r="C10" s="878">
        <v>108</v>
      </c>
    </row>
    <row r="11" spans="1:5">
      <c r="A11" s="3227" t="s">
        <v>1224</v>
      </c>
      <c r="C11" s="878">
        <f>C6-C9-C10</f>
        <v>969.2</v>
      </c>
    </row>
    <row r="12" spans="1:5">
      <c r="A12" s="3227"/>
    </row>
    <row r="14" spans="1:5">
      <c r="A14" t="s">
        <v>1163</v>
      </c>
      <c r="B14" t="s">
        <v>1164</v>
      </c>
    </row>
    <row r="15" spans="1:5">
      <c r="A15" t="s">
        <v>1117</v>
      </c>
      <c r="B15">
        <f>COUNTA('APR STWO Watchbill REV 2'!A5:A66)</f>
        <v>31</v>
      </c>
      <c r="E15" t="s">
        <v>1165</v>
      </c>
    </row>
    <row r="16" spans="1:5">
      <c r="A16" t="s">
        <v>1225</v>
      </c>
      <c r="B16">
        <f>SUM('APR STWO Watchbill REV 2'!AI6:AI66)</f>
        <v>5</v>
      </c>
    </row>
    <row r="17" spans="1:5">
      <c r="A17" t="s">
        <v>1226</v>
      </c>
      <c r="B17">
        <f>B15-B16</f>
        <v>26</v>
      </c>
    </row>
    <row r="19" spans="1:5">
      <c r="A19" t="s">
        <v>1166</v>
      </c>
      <c r="B19" t="s">
        <v>1155</v>
      </c>
      <c r="C19" t="s">
        <v>1156</v>
      </c>
      <c r="E19" t="s">
        <v>1277</v>
      </c>
    </row>
    <row r="20" spans="1:5">
      <c r="A20" t="s">
        <v>1158</v>
      </c>
      <c r="B20">
        <f>SUM('APR STWO Watchbill REV 2'!AK6:AK66)</f>
        <v>349</v>
      </c>
      <c r="C20">
        <f>B20*'Spreadsheet Key'!A23</f>
        <v>7678</v>
      </c>
    </row>
    <row r="21" spans="1:5">
      <c r="A21" t="s">
        <v>1159</v>
      </c>
      <c r="B21">
        <f>SUM('APR STWO Watchbill REV 2'!AL6:AL66)</f>
        <v>86</v>
      </c>
      <c r="C21">
        <f>B21*'Spreadsheet Key'!A24</f>
        <v>4644</v>
      </c>
    </row>
    <row r="22" spans="1:5">
      <c r="A22" t="s">
        <v>1160</v>
      </c>
      <c r="B22">
        <f>SUM('APR STWO Watchbill REV 2'!AM6:AM66)</f>
        <v>114</v>
      </c>
      <c r="C22">
        <f>B22*'Spreadsheet Key'!A25</f>
        <v>8208</v>
      </c>
    </row>
    <row r="23" spans="1:5">
      <c r="A23" t="s">
        <v>1161</v>
      </c>
      <c r="B23">
        <f>SUM('APR STWO Watchbill REV 2'!AN6:AN66)</f>
        <v>88</v>
      </c>
      <c r="C23">
        <f>B23*'Spreadsheet Key'!A26</f>
        <v>4928</v>
      </c>
    </row>
    <row r="24" spans="1:5">
      <c r="A24" t="s">
        <v>571</v>
      </c>
      <c r="B24">
        <f>SUM(B20:B23)</f>
        <v>637</v>
      </c>
      <c r="C24">
        <f>SUM(C20:C23)</f>
        <v>25458</v>
      </c>
    </row>
    <row r="25" spans="1:5">
      <c r="A25" t="s">
        <v>1167</v>
      </c>
      <c r="B25">
        <f>B24/B15</f>
        <v>20.548387096774192</v>
      </c>
      <c r="C25">
        <f>C24/$B15</f>
        <v>821.22580645161293</v>
      </c>
    </row>
    <row r="27" spans="1:5">
      <c r="A27" t="s">
        <v>1227</v>
      </c>
      <c r="B27" cm="1">
        <f t="array" ref="B27">SUM('APR STWO Watchbill REV 2'!AI6:AI66*'APR STWO Watchbill REV 2'!AJ6:AJ66)</f>
        <v>113</v>
      </c>
    </row>
    <row r="28" spans="1:5">
      <c r="A28" t="s">
        <v>1228</v>
      </c>
      <c r="B28">
        <f>B24-B27</f>
        <v>524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ACDE-F558-4310-9622-12C51EBA799C}">
  <dimension ref="A1:BH76"/>
  <sheetViews>
    <sheetView zoomScale="80" zoomScaleNormal="80" workbookViewId="0">
      <pane xSplit="2" topLeftCell="D1" activePane="topRight" state="frozen"/>
      <selection pane="topRight" activeCell="M3" sqref="M3:N3"/>
    </sheetView>
  </sheetViews>
  <sheetFormatPr defaultColWidth="9.140625" defaultRowHeight="15"/>
  <cols>
    <col min="1" max="1" width="11.140625" customWidth="1"/>
    <col min="2" max="2" width="11.42578125" bestFit="1" customWidth="1"/>
    <col min="3" max="3" width="27" hidden="1" customWidth="1"/>
    <col min="4" max="4" width="9.140625" customWidth="1"/>
    <col min="5" max="34" width="9.140625" bestFit="1" customWidth="1"/>
    <col min="35" max="35" width="14" style="1" customWidth="1"/>
    <col min="36" max="36" width="17.5703125" customWidth="1"/>
    <col min="37" max="37" width="17.85546875" bestFit="1" customWidth="1"/>
    <col min="38" max="38" width="20.42578125" customWidth="1"/>
    <col min="39" max="39" width="25.7109375" bestFit="1" customWidth="1"/>
    <col min="40" max="40" width="16" bestFit="1" customWidth="1"/>
    <col min="41" max="41" width="17.7109375" bestFit="1" customWidth="1"/>
    <col min="42" max="42" width="20.85546875" bestFit="1" customWidth="1"/>
    <col min="43" max="43" width="26.42578125" customWidth="1"/>
    <col min="44" max="45" width="29.140625" customWidth="1"/>
    <col min="46" max="46" width="15.425781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  <col min="56" max="56" width="17.140625" customWidth="1"/>
  </cols>
  <sheetData>
    <row r="1" spans="1:60">
      <c r="A1" s="6281"/>
      <c r="B1" s="6281"/>
      <c r="C1" s="3369"/>
      <c r="D1" s="6297" t="s">
        <v>1278</v>
      </c>
      <c r="E1" s="6298"/>
      <c r="F1" s="6298"/>
      <c r="G1" s="6298"/>
      <c r="H1" s="6298"/>
      <c r="I1" s="6298"/>
      <c r="J1" s="6298"/>
      <c r="K1" s="6298"/>
      <c r="L1" s="6298"/>
      <c r="M1" s="6298"/>
      <c r="N1" s="6298"/>
      <c r="O1" s="6298"/>
      <c r="P1" s="6298"/>
      <c r="Q1" s="6298"/>
      <c r="R1" s="6298"/>
      <c r="S1" s="6298"/>
      <c r="T1" s="6298"/>
      <c r="U1" s="6298"/>
      <c r="V1" s="6298"/>
      <c r="W1" s="6298"/>
      <c r="X1" s="6298"/>
      <c r="Y1" s="6298"/>
      <c r="Z1" s="6298"/>
      <c r="AA1" s="6298"/>
      <c r="AB1" s="6298"/>
      <c r="AC1" s="6298"/>
      <c r="AD1" s="6298"/>
      <c r="AE1" s="6298"/>
      <c r="AF1" s="6298"/>
      <c r="AG1" s="6298"/>
      <c r="AH1" s="6298"/>
      <c r="AI1" s="368"/>
      <c r="AJ1" s="6143" t="s">
        <v>1113</v>
      </c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  <c r="BG1" s="6143"/>
      <c r="BH1" s="6143"/>
    </row>
    <row r="2" spans="1:60">
      <c r="A2" s="6284"/>
      <c r="B2" s="6284"/>
      <c r="C2" s="3705"/>
      <c r="D2" s="3588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588">
        <v>24</v>
      </c>
      <c r="AB2" s="3588">
        <v>25</v>
      </c>
      <c r="AC2" s="3588">
        <v>26</v>
      </c>
      <c r="AD2" s="3588">
        <v>27</v>
      </c>
      <c r="AE2" s="3588">
        <v>28</v>
      </c>
      <c r="AF2" s="3588">
        <v>29</v>
      </c>
      <c r="AG2" s="3588">
        <v>30</v>
      </c>
      <c r="AH2" s="2867">
        <v>31</v>
      </c>
      <c r="AI2" s="368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</row>
    <row r="3" spans="1:60">
      <c r="A3" s="6285"/>
      <c r="B3" s="6285"/>
      <c r="C3" s="3706"/>
      <c r="D3" s="3588" t="s">
        <v>33</v>
      </c>
      <c r="E3" s="3588" t="s">
        <v>35</v>
      </c>
      <c r="F3" s="1267" t="s">
        <v>36</v>
      </c>
      <c r="G3" s="1267" t="s">
        <v>36</v>
      </c>
      <c r="H3" s="3588" t="s">
        <v>37</v>
      </c>
      <c r="I3" s="2942" t="s">
        <v>33</v>
      </c>
      <c r="J3" s="2942" t="s">
        <v>34</v>
      </c>
      <c r="K3" s="3588" t="s">
        <v>33</v>
      </c>
      <c r="L3" s="3588" t="s">
        <v>35</v>
      </c>
      <c r="M3" s="1267" t="s">
        <v>36</v>
      </c>
      <c r="N3" s="1267" t="s">
        <v>36</v>
      </c>
      <c r="O3" s="3588" t="s">
        <v>37</v>
      </c>
      <c r="P3" s="2942" t="s">
        <v>33</v>
      </c>
      <c r="Q3" s="2942" t="s">
        <v>34</v>
      </c>
      <c r="R3" s="3588" t="s">
        <v>33</v>
      </c>
      <c r="S3" s="3588" t="s">
        <v>35</v>
      </c>
      <c r="T3" s="1267" t="s">
        <v>36</v>
      </c>
      <c r="U3" s="1267" t="s">
        <v>36</v>
      </c>
      <c r="V3" s="3588" t="s">
        <v>37</v>
      </c>
      <c r="W3" s="2942" t="s">
        <v>33</v>
      </c>
      <c r="X3" s="2942" t="s">
        <v>34</v>
      </c>
      <c r="Y3" s="3588" t="s">
        <v>33</v>
      </c>
      <c r="Z3" s="2945" t="s">
        <v>35</v>
      </c>
      <c r="AA3" s="2945" t="s">
        <v>36</v>
      </c>
      <c r="AB3" s="2945" t="s">
        <v>36</v>
      </c>
      <c r="AC3" s="2945" t="s">
        <v>37</v>
      </c>
      <c r="AD3" s="2942" t="s">
        <v>33</v>
      </c>
      <c r="AE3" s="2942" t="s">
        <v>34</v>
      </c>
      <c r="AF3" s="3588" t="s">
        <v>33</v>
      </c>
      <c r="AG3" s="3588" t="s">
        <v>35</v>
      </c>
      <c r="AH3" s="3220" t="s">
        <v>36</v>
      </c>
      <c r="AI3" s="368"/>
      <c r="AJ3" s="6146" t="s">
        <v>1115</v>
      </c>
      <c r="AK3" s="6146"/>
      <c r="AL3" s="6146"/>
      <c r="AM3" s="6146"/>
      <c r="AN3" s="6146"/>
      <c r="AO3" s="6146"/>
      <c r="AP3" s="6146"/>
      <c r="AQ3" s="6146"/>
      <c r="AR3" s="6146"/>
      <c r="AS3" s="6146"/>
      <c r="AT3" s="6146"/>
      <c r="AU3" s="283"/>
      <c r="AV3" s="6146" t="s">
        <v>1116</v>
      </c>
      <c r="AW3" s="6146"/>
      <c r="AX3" s="6146"/>
      <c r="AY3" s="6146"/>
      <c r="AZ3" s="6146"/>
      <c r="BA3" s="6146"/>
      <c r="BB3" s="6146"/>
      <c r="BC3" s="283"/>
      <c r="BD3" s="283" t="s">
        <v>1135</v>
      </c>
      <c r="BE3" s="283"/>
      <c r="BF3" s="283"/>
      <c r="BG3" s="283"/>
      <c r="BH3" s="283"/>
    </row>
    <row r="4" spans="1:60">
      <c r="A4" s="6220" t="s">
        <v>1117</v>
      </c>
      <c r="B4" s="6220"/>
      <c r="C4" s="3702"/>
      <c r="D4" s="3155">
        <v>0</v>
      </c>
      <c r="E4" s="3155">
        <v>1</v>
      </c>
      <c r="F4" s="3155">
        <v>2</v>
      </c>
      <c r="G4" s="3155">
        <v>3</v>
      </c>
      <c r="H4" s="3155">
        <v>0</v>
      </c>
      <c r="I4" s="3217">
        <v>0</v>
      </c>
      <c r="J4" s="3155">
        <v>0</v>
      </c>
      <c r="K4" s="3155">
        <v>0</v>
      </c>
      <c r="L4" s="3155">
        <v>1</v>
      </c>
      <c r="M4" s="3155">
        <v>2</v>
      </c>
      <c r="N4" s="3155">
        <v>3</v>
      </c>
      <c r="O4" s="3155">
        <v>0</v>
      </c>
      <c r="P4" s="3155">
        <v>0</v>
      </c>
      <c r="Q4" s="3155">
        <v>0</v>
      </c>
      <c r="R4" s="3155">
        <v>0</v>
      </c>
      <c r="S4" s="3155">
        <v>1</v>
      </c>
      <c r="T4" s="3155">
        <v>2</v>
      </c>
      <c r="U4" s="3155">
        <v>3</v>
      </c>
      <c r="V4" s="3155">
        <v>0</v>
      </c>
      <c r="W4" s="3155">
        <v>0</v>
      </c>
      <c r="X4" s="3155">
        <v>0</v>
      </c>
      <c r="Y4" s="3155">
        <v>1</v>
      </c>
      <c r="Z4" s="3155">
        <v>2</v>
      </c>
      <c r="AA4" s="3155">
        <v>2</v>
      </c>
      <c r="AB4" s="3155">
        <v>2</v>
      </c>
      <c r="AC4" s="3155">
        <v>3</v>
      </c>
      <c r="AD4" s="3155">
        <v>0</v>
      </c>
      <c r="AE4" s="3155">
        <v>0</v>
      </c>
      <c r="AF4" s="3155">
        <v>0</v>
      </c>
      <c r="AG4" s="3155">
        <v>1</v>
      </c>
      <c r="AH4" s="3155">
        <v>2</v>
      </c>
      <c r="AI4" s="368" t="s">
        <v>1213</v>
      </c>
      <c r="AJ4" s="283" t="s">
        <v>1118</v>
      </c>
      <c r="AK4" s="283" t="s">
        <v>1119</v>
      </c>
      <c r="AL4" s="283" t="s">
        <v>1120</v>
      </c>
      <c r="AM4" s="283" t="s">
        <v>1121</v>
      </c>
      <c r="AN4" s="283" t="s">
        <v>1122</v>
      </c>
      <c r="AO4" s="283" t="s">
        <v>1123</v>
      </c>
      <c r="AP4" s="283" t="s">
        <v>1124</v>
      </c>
      <c r="AQ4" s="283" t="s">
        <v>1125</v>
      </c>
      <c r="AR4" s="283" t="s">
        <v>1126</v>
      </c>
      <c r="AS4" s="283" t="s">
        <v>1214</v>
      </c>
      <c r="AT4" s="283" t="s">
        <v>1127</v>
      </c>
      <c r="AU4" s="283"/>
      <c r="AV4" s="283" t="s">
        <v>1128</v>
      </c>
      <c r="AW4" s="283" t="s">
        <v>1129</v>
      </c>
      <c r="AX4" s="283" t="s">
        <v>1130</v>
      </c>
      <c r="AY4" s="283" t="s">
        <v>1131</v>
      </c>
      <c r="AZ4" s="283" t="s">
        <v>1132</v>
      </c>
      <c r="BA4" s="283" t="s">
        <v>1133</v>
      </c>
      <c r="BB4" s="283" t="s">
        <v>1134</v>
      </c>
      <c r="BC4" s="283"/>
      <c r="BD4" s="283"/>
      <c r="BE4" s="283"/>
      <c r="BF4" s="283"/>
      <c r="BG4" s="283"/>
      <c r="BH4" s="283"/>
    </row>
    <row r="5" spans="1:60">
      <c r="A5" s="266"/>
      <c r="B5" s="266"/>
      <c r="C5" s="266"/>
      <c r="D5" s="2437"/>
      <c r="E5" s="778"/>
      <c r="F5" s="778"/>
      <c r="G5" s="778"/>
      <c r="H5" s="3023" t="s">
        <v>1025</v>
      </c>
      <c r="I5" s="6300" t="s">
        <v>1279</v>
      </c>
      <c r="J5" s="6300"/>
      <c r="K5" s="6300"/>
      <c r="L5" s="6300"/>
      <c r="M5" s="6300"/>
      <c r="N5" s="6300"/>
      <c r="O5" s="6300"/>
      <c r="P5" s="6300"/>
      <c r="Q5" s="6300"/>
      <c r="R5" s="6300"/>
      <c r="S5" s="6300"/>
      <c r="T5" s="3023" t="s">
        <v>1025</v>
      </c>
      <c r="U5" s="778"/>
      <c r="V5" s="778"/>
      <c r="W5" s="778"/>
      <c r="X5" s="778"/>
      <c r="Y5" s="904" t="s">
        <v>722</v>
      </c>
      <c r="Z5" s="904"/>
      <c r="AA5" s="904"/>
      <c r="AB5" s="2437"/>
      <c r="AC5" s="778"/>
      <c r="AD5" s="778"/>
      <c r="AE5" s="778"/>
      <c r="AF5" s="778"/>
      <c r="AG5" s="904" t="s">
        <v>720</v>
      </c>
      <c r="AH5" s="805"/>
      <c r="AI5" s="368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</row>
    <row r="6" spans="1:60" s="3202" customFormat="1">
      <c r="A6" s="3180" t="s">
        <v>81</v>
      </c>
      <c r="B6" s="3180" t="s">
        <v>718</v>
      </c>
      <c r="C6" s="3180" t="str">
        <f>CONCATENATE(A6," ",UPPER(B6))</f>
        <v>LTJG BAILEY</v>
      </c>
      <c r="D6" s="3198">
        <v>0</v>
      </c>
      <c r="E6" s="3198">
        <v>0</v>
      </c>
      <c r="F6" s="3198">
        <v>0</v>
      </c>
      <c r="G6" s="3198">
        <v>0</v>
      </c>
      <c r="H6" s="3198">
        <v>1</v>
      </c>
      <c r="I6" s="3198">
        <v>2</v>
      </c>
      <c r="J6" s="3198">
        <v>2</v>
      </c>
      <c r="K6" s="3198">
        <v>2</v>
      </c>
      <c r="L6" s="3198">
        <v>2</v>
      </c>
      <c r="M6" s="3198">
        <v>2</v>
      </c>
      <c r="N6" s="3198">
        <v>2</v>
      </c>
      <c r="O6" s="3198">
        <v>2</v>
      </c>
      <c r="P6" s="3198">
        <v>2</v>
      </c>
      <c r="Q6" s="3198">
        <v>2</v>
      </c>
      <c r="R6" s="3198">
        <v>2</v>
      </c>
      <c r="S6" s="3198">
        <v>2</v>
      </c>
      <c r="T6" s="3198">
        <v>3</v>
      </c>
      <c r="U6" s="3198">
        <v>0</v>
      </c>
      <c r="V6" s="3198">
        <v>0</v>
      </c>
      <c r="W6" s="3198">
        <v>0</v>
      </c>
      <c r="X6" s="3198">
        <v>0</v>
      </c>
      <c r="Y6" s="3198">
        <v>9</v>
      </c>
      <c r="Z6" s="3198">
        <v>0</v>
      </c>
      <c r="AA6" s="3198">
        <v>0</v>
      </c>
      <c r="AB6" s="3198">
        <v>0</v>
      </c>
      <c r="AC6" s="3198">
        <v>0</v>
      </c>
      <c r="AD6" s="3198">
        <v>0</v>
      </c>
      <c r="AE6" s="3198">
        <v>0</v>
      </c>
      <c r="AF6" s="3198">
        <v>0</v>
      </c>
      <c r="AG6" s="3198">
        <v>8</v>
      </c>
      <c r="AH6" s="3198">
        <v>0</v>
      </c>
      <c r="AI6" s="3226">
        <v>0</v>
      </c>
      <c r="AJ6" s="283" cm="1">
        <f t="array" ref="AJ6">SUM(COUNTIFS($D6:$AH6,{"0","4","5","6","7","8","9"}))</f>
        <v>18</v>
      </c>
      <c r="AK6" s="283" cm="1">
        <f t="array" ref="AK6">SUM(COUNTIFS($D6:$AH6,{"0","4","5","6","7","8","9"},$D$4:$AH$4,"0"))</f>
        <v>7</v>
      </c>
      <c r="AL6" s="283" cm="1">
        <f t="array" ref="AL6">SUM(COUNTIFS($D6:$AH6,{"0","4","5","6","7","8","9"},$D$4:$AH$4,"1"))</f>
        <v>3</v>
      </c>
      <c r="AM6" s="283" cm="1">
        <f t="array" ref="AM6">SUM(COUNTIFS($D6:$AH6,{"0","4","5","6","7","8","9"},$D$4:$AH$4,"2"))</f>
        <v>5</v>
      </c>
      <c r="AN6" s="283" cm="1">
        <f t="array" ref="AN6">SUM(COUNTIFS($D6:$AH6,{"0","4","5","6","7","8","9"},$D$4:$AH$4,"3"))</f>
        <v>3</v>
      </c>
      <c r="AO6" s="283" cm="1">
        <f t="array" ref="AO6">SUM(COUNTIFS($D6:$AH6,{"1","2","3"}))</f>
        <v>13</v>
      </c>
      <c r="AP6" s="283" cm="1">
        <f t="array" ref="AP6">SUM(COUNTIFS($D6:$AH6,{"4","5","6"}))</f>
        <v>0</v>
      </c>
      <c r="AQ6" s="283">
        <f>AK6*'Spreadsheet Key'!$A$23 + AL6*'Spreadsheet Key'!$A$24 + AM6*'Spreadsheet Key'!$A$25 + AN6*'Spreadsheet Key'!$A$26</f>
        <v>844</v>
      </c>
      <c r="AR6" s="283">
        <f>AJ6/('MAY Statistics'!$B$30)*ABS(AI6-1)</f>
        <v>3.125E-2</v>
      </c>
      <c r="AS6" s="283">
        <f>AI6*AT6</f>
        <v>0</v>
      </c>
      <c r="AT6" s="3228">
        <f>AR6*'MAY Statistics'!$C$11</f>
        <v>38.481875000000002</v>
      </c>
      <c r="AU6" s="283"/>
      <c r="AV6" s="283">
        <f>COUNTIFS($D6:$AH6,"8",$D$4:$AH$4,"0")</f>
        <v>0</v>
      </c>
      <c r="AW6" s="283">
        <f>COUNTIFS($D6:$AH6,"9",$D$4:$AH$4,"0")</f>
        <v>0</v>
      </c>
      <c r="AX6" s="283">
        <f>COUNTIFS($D6:$AH6,"8",$D$4:$AH$4,"1")</f>
        <v>1</v>
      </c>
      <c r="AY6" s="283" cm="1">
        <f t="array" ref="AY6">COUNTIFS($D6:$AH6,"9",$D$4:$AH$4,"1")+SUM(COUNTIFS($D6:$AH6,{"8","9"},$D$4:$AH$4,"2"))+COUNTIFS($D6:$AH6,"8",$D$4:$AH$4,"3")</f>
        <v>1</v>
      </c>
      <c r="AZ6" s="283">
        <f>COUNTIFS($D6:$AH6,"9",$D$4:$AH$4,"3")</f>
        <v>0</v>
      </c>
      <c r="BA6" s="283">
        <f>SUM(AV6:AZ6)</f>
        <v>2</v>
      </c>
      <c r="BB6" s="283">
        <f>AV6*'Spreadsheet Key'!$A$27+AW6*'Spreadsheet Key'!$A$28+AX6*'Spreadsheet Key'!$A$29+AY6*'Spreadsheet Key'!$A$30+AZ6*'Spreadsheet Key'!$A$31</f>
        <v>54</v>
      </c>
      <c r="BC6" s="283"/>
      <c r="BD6" s="283">
        <f>AT6-BB6</f>
        <v>-15.518124999999998</v>
      </c>
      <c r="BE6" s="3201"/>
      <c r="BF6" s="3201"/>
      <c r="BG6" s="3201"/>
      <c r="BH6" s="3201"/>
    </row>
    <row r="7" spans="1:60">
      <c r="A7" s="3197"/>
      <c r="B7" s="3197"/>
      <c r="C7" s="3180" t="str">
        <f t="shared" ref="C7:C66" si="0">CONCATENATE(A7," ",UPPER(B7))</f>
        <v xml:space="preserve"> </v>
      </c>
      <c r="D7" s="904" t="s">
        <v>720</v>
      </c>
      <c r="E7" s="779"/>
      <c r="F7" s="779"/>
      <c r="G7" s="779"/>
      <c r="H7" s="3019" t="s">
        <v>1025</v>
      </c>
      <c r="I7" s="6300" t="s">
        <v>1279</v>
      </c>
      <c r="J7" s="6300"/>
      <c r="K7" s="6300"/>
      <c r="L7" s="6300"/>
      <c r="M7" s="6300"/>
      <c r="N7" s="6300"/>
      <c r="O7" s="6300"/>
      <c r="P7" s="6300"/>
      <c r="Q7" s="6300"/>
      <c r="R7" s="6300"/>
      <c r="S7" s="6300"/>
      <c r="T7" s="3019" t="s">
        <v>1025</v>
      </c>
      <c r="U7" s="779"/>
      <c r="V7" s="779"/>
      <c r="W7" s="2434"/>
      <c r="X7" s="779"/>
      <c r="Y7" s="779"/>
      <c r="Z7" s="779"/>
      <c r="AA7" s="2437"/>
      <c r="AB7" s="904" t="s">
        <v>720</v>
      </c>
      <c r="AC7" s="2437"/>
      <c r="AD7" s="904"/>
      <c r="AE7" s="779"/>
      <c r="AF7" s="779"/>
      <c r="AG7" s="779"/>
      <c r="AH7" s="804"/>
      <c r="AI7" s="3226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3228"/>
      <c r="AU7" s="283"/>
      <c r="AV7" s="283">
        <f t="shared" ref="AV7:AV66" si="1">COUNTIFS($D7:$AH7,"8",$D$4:$AH$4,"0")</f>
        <v>0</v>
      </c>
      <c r="AW7" s="283">
        <f t="shared" ref="AW7:AW66" si="2">COUNTIFS($D7:$AH7,"9",$D$4:$AH$4,"0")</f>
        <v>0</v>
      </c>
      <c r="AX7" s="283">
        <f t="shared" ref="AX7:AX66" si="3">COUNTIFS($D7:$AH7,"8",$D$4:$AH$4,"1")</f>
        <v>0</v>
      </c>
      <c r="AY7" s="283" cm="1">
        <f t="array" ref="AY7">COUNTIFS($D7:$AH7,"9",$D$4:$AH$4,"1")+SUM(COUNTIFS($D7:$AH7,{"8","9"},$D$4:$AH$4,"2"))+COUNTIFS($D7:$AH7,"8",$D$4:$AH$4,"3")</f>
        <v>0</v>
      </c>
      <c r="AZ7" s="283">
        <f t="shared" ref="AZ7:AZ66" si="4">COUNTIFS($D7:$AH7,"9",$D$4:$AH$4,"3")</f>
        <v>0</v>
      </c>
      <c r="BA7" s="283">
        <f t="shared" ref="BA7:BA66" si="5">SUM(AV7:AZ7)</f>
        <v>0</v>
      </c>
      <c r="BB7" s="283">
        <f>AV7*'Spreadsheet Key'!$A$27+AW7*'Spreadsheet Key'!$A$28+AX7*'Spreadsheet Key'!$A$29+AY7*'Spreadsheet Key'!$A$30+AZ7*'Spreadsheet Key'!$A$31</f>
        <v>0</v>
      </c>
      <c r="BC7" s="283"/>
      <c r="BD7" s="283"/>
      <c r="BE7" s="283"/>
      <c r="BF7" s="283"/>
      <c r="BG7" s="283"/>
      <c r="BH7" s="283"/>
    </row>
    <row r="8" spans="1:60" s="3211" customFormat="1">
      <c r="A8" s="3180" t="s">
        <v>326</v>
      </c>
      <c r="B8" s="3180" t="s">
        <v>327</v>
      </c>
      <c r="C8" s="3180" t="str">
        <f t="shared" si="0"/>
        <v>CTTC THOMPSON</v>
      </c>
      <c r="D8" s="3199">
        <v>8</v>
      </c>
      <c r="E8" s="3198">
        <v>0</v>
      </c>
      <c r="F8" s="3198">
        <v>0</v>
      </c>
      <c r="G8" s="3198">
        <v>0</v>
      </c>
      <c r="H8" s="3198">
        <v>1</v>
      </c>
      <c r="I8" s="3198">
        <v>2</v>
      </c>
      <c r="J8" s="3198">
        <v>2</v>
      </c>
      <c r="K8" s="3198">
        <v>2</v>
      </c>
      <c r="L8" s="3198">
        <v>2</v>
      </c>
      <c r="M8" s="3198">
        <v>2</v>
      </c>
      <c r="N8" s="3198">
        <v>2</v>
      </c>
      <c r="O8" s="3198">
        <v>2</v>
      </c>
      <c r="P8" s="3198">
        <v>2</v>
      </c>
      <c r="Q8" s="3198">
        <v>2</v>
      </c>
      <c r="R8" s="3198">
        <v>2</v>
      </c>
      <c r="S8" s="3198">
        <v>2</v>
      </c>
      <c r="T8" s="3198">
        <v>3</v>
      </c>
      <c r="U8" s="3198">
        <v>0</v>
      </c>
      <c r="V8" s="3198">
        <v>0</v>
      </c>
      <c r="W8" s="3198">
        <v>0</v>
      </c>
      <c r="X8" s="3198">
        <v>0</v>
      </c>
      <c r="Y8" s="3198">
        <v>0</v>
      </c>
      <c r="Z8" s="3198">
        <v>0</v>
      </c>
      <c r="AA8" s="3198">
        <v>0</v>
      </c>
      <c r="AB8" s="3198">
        <v>8</v>
      </c>
      <c r="AC8" s="3198">
        <v>0</v>
      </c>
      <c r="AD8" s="3198">
        <v>0</v>
      </c>
      <c r="AE8" s="3198">
        <v>0</v>
      </c>
      <c r="AF8" s="3198">
        <v>0</v>
      </c>
      <c r="AG8" s="3198">
        <v>0</v>
      </c>
      <c r="AH8" s="3198">
        <v>0</v>
      </c>
      <c r="AI8" s="3226">
        <v>0</v>
      </c>
      <c r="AJ8" s="283" cm="1">
        <f t="array" ref="AJ8">SUM(COUNTIFS($D8:$AH8,{"0","4","5","6","7","8","9"}))</f>
        <v>18</v>
      </c>
      <c r="AK8" s="283" cm="1">
        <f t="array" ref="AK8">SUM(COUNTIFS($D8:$AH8,{"0","4","5","6","7","8","9"},$D$4:$AH$4,"0"))</f>
        <v>7</v>
      </c>
      <c r="AL8" s="283" cm="1">
        <f t="array" ref="AL8">SUM(COUNTIFS($D8:$AH8,{"0","4","5","6","7","8","9"},$D$4:$AH$4,"1"))</f>
        <v>3</v>
      </c>
      <c r="AM8" s="283" cm="1">
        <f t="array" ref="AM8">SUM(COUNTIFS($D8:$AH8,{"0","4","5","6","7","8","9"},$D$4:$AH$4,"2"))</f>
        <v>5</v>
      </c>
      <c r="AN8" s="283" cm="1">
        <f t="array" ref="AN8">SUM(COUNTIFS($D8:$AH8,{"0","4","5","6","7","8","9"},$D$4:$AH$4,"3"))</f>
        <v>3</v>
      </c>
      <c r="AO8" s="283" cm="1">
        <f t="array" ref="AO8">SUM(COUNTIFS($D8:$AH8,{"1","2","3"}))</f>
        <v>13</v>
      </c>
      <c r="AP8" s="283" cm="1">
        <f t="array" ref="AP8">SUM(COUNTIFS($D8:$AH8,{"4","5","6"}))</f>
        <v>0</v>
      </c>
      <c r="AQ8" s="283">
        <f>AK8*'Spreadsheet Key'!$A$23 + AL8*'Spreadsheet Key'!$A$24 + AM8*'Spreadsheet Key'!$A$25 + AN8*'Spreadsheet Key'!$A$26</f>
        <v>844</v>
      </c>
      <c r="AR8" s="283">
        <f>AJ8/('MAY Statistics'!$B$30)*ABS(AI8-1)</f>
        <v>3.125E-2</v>
      </c>
      <c r="AS8" s="283">
        <f t="shared" ref="AS8" si="6">AI8*AT8</f>
        <v>0</v>
      </c>
      <c r="AT8" s="3228">
        <f>AR8*'MAY Statistics'!$C$11</f>
        <v>38.481875000000002</v>
      </c>
      <c r="AU8" s="283"/>
      <c r="AV8" s="283">
        <f t="shared" si="1"/>
        <v>1</v>
      </c>
      <c r="AW8" s="283">
        <f t="shared" si="2"/>
        <v>0</v>
      </c>
      <c r="AX8" s="283">
        <f t="shared" si="3"/>
        <v>0</v>
      </c>
      <c r="AY8" s="283" cm="1">
        <f t="array" ref="AY8">COUNTIFS($D8:$AH8,"9",$D$4:$AH$4,"1")+SUM(COUNTIFS($D8:$AH8,{"8","9"},$D$4:$AH$4,"2"))+COUNTIFS($D8:$AH8,"8",$D$4:$AH$4,"3")</f>
        <v>1</v>
      </c>
      <c r="AZ8" s="283">
        <f t="shared" si="4"/>
        <v>0</v>
      </c>
      <c r="BA8" s="283">
        <f t="shared" si="5"/>
        <v>2</v>
      </c>
      <c r="BB8" s="283">
        <f>AV8*'Spreadsheet Key'!$A$27+AW8*'Spreadsheet Key'!$A$28+AX8*'Spreadsheet Key'!$A$29+AY8*'Spreadsheet Key'!$A$30+AZ8*'Spreadsheet Key'!$A$31</f>
        <v>46</v>
      </c>
      <c r="BC8" s="283"/>
      <c r="BD8" s="283">
        <f t="shared" ref="BD8" si="7">AT8-BB8</f>
        <v>-7.5181249999999977</v>
      </c>
      <c r="BE8" s="3210"/>
      <c r="BF8" s="3210"/>
      <c r="BG8" s="3210"/>
      <c r="BH8" s="3210"/>
    </row>
    <row r="9" spans="1:60">
      <c r="A9" s="3208"/>
      <c r="B9" s="3208"/>
      <c r="C9" s="3180" t="str">
        <f t="shared" si="0"/>
        <v xml:space="preserve"> </v>
      </c>
      <c r="D9" s="780"/>
      <c r="E9" s="2437"/>
      <c r="F9" s="780"/>
      <c r="G9" s="780"/>
      <c r="H9" s="780"/>
      <c r="I9" s="3021" t="s">
        <v>1025</v>
      </c>
      <c r="J9" s="6301" t="s">
        <v>1280</v>
      </c>
      <c r="K9" s="6301"/>
      <c r="L9" s="3021" t="s">
        <v>1025</v>
      </c>
      <c r="M9" s="780"/>
      <c r="N9" s="780"/>
      <c r="O9" s="780"/>
      <c r="P9" s="2434"/>
      <c r="Q9" s="2434"/>
      <c r="R9" s="780"/>
      <c r="S9" s="780"/>
      <c r="T9" s="780"/>
      <c r="U9" s="2434"/>
      <c r="V9" s="780"/>
      <c r="W9" s="904"/>
      <c r="X9" s="2433"/>
      <c r="Z9" s="780"/>
      <c r="AA9" s="2434"/>
      <c r="AB9" s="780"/>
      <c r="AC9" s="780"/>
      <c r="AD9" s="780"/>
      <c r="AE9" s="780"/>
      <c r="AF9" s="780"/>
      <c r="AG9" s="780"/>
      <c r="AH9" s="806"/>
      <c r="AI9" s="3226"/>
      <c r="AJ9" s="283"/>
      <c r="AK9" s="283"/>
      <c r="AL9" s="283"/>
      <c r="AM9" s="283"/>
      <c r="AN9" s="283"/>
      <c r="AO9" s="283"/>
      <c r="AP9" s="283"/>
      <c r="AQ9" s="283"/>
      <c r="AR9" s="283"/>
      <c r="AS9" s="283"/>
      <c r="AT9" s="3228"/>
      <c r="AU9" s="283"/>
      <c r="AV9" s="283">
        <f t="shared" si="1"/>
        <v>0</v>
      </c>
      <c r="AW9" s="283">
        <f t="shared" si="2"/>
        <v>0</v>
      </c>
      <c r="AX9" s="283">
        <f t="shared" si="3"/>
        <v>0</v>
      </c>
      <c r="AY9" s="283" cm="1">
        <f t="array" ref="AY9">COUNTIFS($D9:$AH9,"9",$D$4:$AH$4,"1")+SUM(COUNTIFS($D9:$AH9,{"8","9"},$D$4:$AH$4,"2"))+COUNTIFS($D9:$AH9,"8",$D$4:$AH$4,"3")</f>
        <v>0</v>
      </c>
      <c r="AZ9" s="283">
        <f t="shared" si="4"/>
        <v>0</v>
      </c>
      <c r="BA9" s="283">
        <f t="shared" si="5"/>
        <v>0</v>
      </c>
      <c r="BB9" s="283">
        <f>AV9*'Spreadsheet Key'!$A$27+AW9*'Spreadsheet Key'!$A$28+AX9*'Spreadsheet Key'!$A$29+AY9*'Spreadsheet Key'!$A$30+AZ9*'Spreadsheet Key'!$A$31</f>
        <v>0</v>
      </c>
      <c r="BC9" s="283"/>
      <c r="BD9" s="283"/>
      <c r="BE9" s="283"/>
      <c r="BF9" s="283"/>
      <c r="BG9" s="283"/>
      <c r="BH9" s="283"/>
    </row>
    <row r="10" spans="1:60" s="3211" customFormat="1">
      <c r="A10" s="3180" t="s">
        <v>606</v>
      </c>
      <c r="B10" s="3180" t="s">
        <v>98</v>
      </c>
      <c r="C10" s="3180" t="str">
        <f t="shared" si="0"/>
        <v>ISC ALUMIA</v>
      </c>
      <c r="D10" s="3199">
        <v>0</v>
      </c>
      <c r="E10" s="3198">
        <v>0</v>
      </c>
      <c r="F10" s="3198">
        <v>0</v>
      </c>
      <c r="G10" s="3198">
        <v>0</v>
      </c>
      <c r="H10" s="3198">
        <v>0</v>
      </c>
      <c r="I10" s="3198">
        <v>1</v>
      </c>
      <c r="J10" s="3198">
        <v>2</v>
      </c>
      <c r="K10" s="3198">
        <v>2</v>
      </c>
      <c r="L10" s="3198">
        <v>3</v>
      </c>
      <c r="M10" s="3198">
        <v>0</v>
      </c>
      <c r="N10" s="3198">
        <v>0</v>
      </c>
      <c r="O10" s="3198">
        <v>0</v>
      </c>
      <c r="P10" s="3198">
        <v>0</v>
      </c>
      <c r="Q10" s="3198">
        <v>0</v>
      </c>
      <c r="R10" s="3198">
        <v>0</v>
      </c>
      <c r="S10" s="3198">
        <v>0</v>
      </c>
      <c r="T10" s="3198">
        <v>0</v>
      </c>
      <c r="U10" s="3198">
        <v>0</v>
      </c>
      <c r="V10" s="3198">
        <v>0</v>
      </c>
      <c r="W10" s="3198">
        <v>0</v>
      </c>
      <c r="X10" s="3198">
        <v>0</v>
      </c>
      <c r="Y10" s="3386">
        <v>0</v>
      </c>
      <c r="Z10" s="3198">
        <v>0</v>
      </c>
      <c r="AA10" s="3198">
        <v>0</v>
      </c>
      <c r="AB10" s="3198">
        <v>0</v>
      </c>
      <c r="AC10" s="3198">
        <v>0</v>
      </c>
      <c r="AD10" s="3198">
        <v>0</v>
      </c>
      <c r="AE10" s="3198">
        <v>0</v>
      </c>
      <c r="AF10" s="3198">
        <v>0</v>
      </c>
      <c r="AG10" s="3198">
        <v>0</v>
      </c>
      <c r="AH10" s="3198">
        <v>0</v>
      </c>
      <c r="AI10" s="3226">
        <v>0</v>
      </c>
      <c r="AJ10" s="283" cm="1">
        <f t="array" ref="AJ10">SUM(COUNTIFS($D10:$AH10,{"0","4","5","6","7","8","9"}))</f>
        <v>27</v>
      </c>
      <c r="AK10" s="283" cm="1">
        <f t="array" ref="AK10">SUM(COUNTIFS($D10:$AH10,{"0","4","5","6","7","8","9"},$D$4:$AH$4,"0"))</f>
        <v>12</v>
      </c>
      <c r="AL10" s="283" cm="1">
        <f t="array" ref="AL10">SUM(COUNTIFS($D10:$AH10,{"0","4","5","6","7","8","9"},$D$4:$AH$4,"1"))</f>
        <v>4</v>
      </c>
      <c r="AM10" s="283" cm="1">
        <f t="array" ref="AM10">SUM(COUNTIFS($D10:$AH10,{"0","4","5","6","7","8","9"},$D$4:$AH$4,"2"))</f>
        <v>7</v>
      </c>
      <c r="AN10" s="283" cm="1">
        <f t="array" ref="AN10">SUM(COUNTIFS($D10:$AH10,{"0","4","5","6","7","8","9"},$D$4:$AH$4,"3"))</f>
        <v>4</v>
      </c>
      <c r="AO10" s="283" cm="1">
        <f t="array" ref="AO10">SUM(COUNTIFS($D10:$AH10,{"1","2","3"}))</f>
        <v>4</v>
      </c>
      <c r="AP10" s="283" cm="1">
        <f t="array" ref="AP10">SUM(COUNTIFS($D10:$AH10,{"4","5","6"}))</f>
        <v>0</v>
      </c>
      <c r="AQ10" s="283">
        <f>AK10*'Spreadsheet Key'!$A$23 + AL10*'Spreadsheet Key'!$A$24 + AM10*'Spreadsheet Key'!$A$25 + AN10*'Spreadsheet Key'!$A$26</f>
        <v>1208</v>
      </c>
      <c r="AR10" s="283">
        <f>AJ10/('MAY Statistics'!$B$30)*ABS(AI10-1)</f>
        <v>4.6875E-2</v>
      </c>
      <c r="AS10" s="283">
        <f t="shared" ref="AS10" si="8">AI10*AT10</f>
        <v>0</v>
      </c>
      <c r="AT10" s="3228">
        <f>AR10*'MAY Statistics'!$C$11</f>
        <v>57.722812500000003</v>
      </c>
      <c r="AU10" s="283"/>
      <c r="AV10" s="283">
        <f t="shared" si="1"/>
        <v>0</v>
      </c>
      <c r="AW10" s="283">
        <f t="shared" si="2"/>
        <v>0</v>
      </c>
      <c r="AX10" s="283">
        <f t="shared" si="3"/>
        <v>0</v>
      </c>
      <c r="AY10" s="283" cm="1">
        <f t="array" ref="AY10">COUNTIFS($D10:$AH10,"9",$D$4:$AH$4,"1")+SUM(COUNTIFS($D10:$AH10,{"8","9"},$D$4:$AH$4,"2"))+COUNTIFS($D10:$AH10,"8",$D$4:$AH$4,"3")</f>
        <v>0</v>
      </c>
      <c r="AZ10" s="283">
        <f t="shared" si="4"/>
        <v>0</v>
      </c>
      <c r="BA10" s="283">
        <f t="shared" si="5"/>
        <v>0</v>
      </c>
      <c r="BB10" s="283">
        <f>AV10*'Spreadsheet Key'!$A$27+AW10*'Spreadsheet Key'!$A$28+AX10*'Spreadsheet Key'!$A$29+AY10*'Spreadsheet Key'!$A$30+AZ10*'Spreadsheet Key'!$A$31</f>
        <v>0</v>
      </c>
      <c r="BC10" s="283"/>
      <c r="BD10" s="283">
        <f t="shared" ref="BD10" si="9">AT10-BB10</f>
        <v>57.722812500000003</v>
      </c>
      <c r="BE10" s="3210"/>
      <c r="BF10" s="3210"/>
      <c r="BG10" s="3210"/>
      <c r="BH10" s="3210"/>
    </row>
    <row r="11" spans="1:60">
      <c r="A11" s="3208"/>
      <c r="B11" s="3208"/>
      <c r="C11" s="3180" t="str">
        <f t="shared" si="0"/>
        <v xml:space="preserve"> </v>
      </c>
      <c r="D11" s="904"/>
      <c r="E11" s="937"/>
      <c r="F11" s="937"/>
      <c r="G11" s="937"/>
      <c r="H11" s="937"/>
      <c r="I11" s="937"/>
      <c r="J11" s="904" t="s">
        <v>720</v>
      </c>
      <c r="K11" s="2433"/>
      <c r="L11" s="937"/>
      <c r="M11" s="937"/>
      <c r="N11" s="937"/>
      <c r="O11" s="937"/>
      <c r="P11" s="937"/>
      <c r="Q11" s="937"/>
      <c r="R11" s="2433"/>
      <c r="S11" s="937"/>
      <c r="T11" s="937"/>
      <c r="U11" s="937"/>
      <c r="V11" s="937"/>
      <c r="W11" s="937"/>
      <c r="X11" s="937"/>
      <c r="Y11" s="904" t="s">
        <v>720</v>
      </c>
      <c r="Z11" s="937"/>
      <c r="AA11" s="937"/>
      <c r="AB11" s="937"/>
      <c r="AC11" s="937"/>
      <c r="AD11" s="937"/>
      <c r="AE11" s="937"/>
      <c r="AF11" s="2437"/>
      <c r="AG11" s="937"/>
      <c r="AH11" s="1333"/>
      <c r="AI11" s="3226"/>
      <c r="AJ11" s="283"/>
      <c r="AK11" s="283"/>
      <c r="AL11" s="283"/>
      <c r="AM11" s="283"/>
      <c r="AN11" s="283"/>
      <c r="AO11" s="283"/>
      <c r="AP11" s="283"/>
      <c r="AQ11" s="283"/>
      <c r="AR11" s="283"/>
      <c r="AS11" s="283"/>
      <c r="AT11" s="3228"/>
      <c r="AU11" s="283"/>
      <c r="AV11" s="283">
        <f t="shared" si="1"/>
        <v>0</v>
      </c>
      <c r="AW11" s="283">
        <f t="shared" si="2"/>
        <v>0</v>
      </c>
      <c r="AX11" s="283">
        <f t="shared" si="3"/>
        <v>0</v>
      </c>
      <c r="AY11" s="283" cm="1">
        <f t="array" ref="AY11">COUNTIFS($D11:$AH11,"9",$D$4:$AH$4,"1")+SUM(COUNTIFS($D11:$AH11,{"8","9"},$D$4:$AH$4,"2"))+COUNTIFS($D11:$AH11,"8",$D$4:$AH$4,"3")</f>
        <v>0</v>
      </c>
      <c r="AZ11" s="283">
        <f t="shared" si="4"/>
        <v>0</v>
      </c>
      <c r="BA11" s="283">
        <f t="shared" si="5"/>
        <v>0</v>
      </c>
      <c r="BB11" s="283">
        <f>AV11*'Spreadsheet Key'!$A$27+AW11*'Spreadsheet Key'!$A$28+AX11*'Spreadsheet Key'!$A$29+AY11*'Spreadsheet Key'!$A$30+AZ11*'Spreadsheet Key'!$A$31</f>
        <v>0</v>
      </c>
      <c r="BC11" s="283"/>
      <c r="BD11" s="283"/>
      <c r="BE11" s="283"/>
      <c r="BF11" s="283"/>
      <c r="BG11" s="283"/>
      <c r="BH11" s="283"/>
    </row>
    <row r="12" spans="1:60" s="3211" customFormat="1">
      <c r="A12" s="3180" t="s">
        <v>100</v>
      </c>
      <c r="B12" s="3180" t="s">
        <v>725</v>
      </c>
      <c r="C12" s="3180" t="str">
        <f t="shared" si="0"/>
        <v>CDR IVEY</v>
      </c>
      <c r="D12" s="3198">
        <v>0</v>
      </c>
      <c r="E12" s="3198">
        <v>0</v>
      </c>
      <c r="F12" s="3198">
        <v>0</v>
      </c>
      <c r="G12" s="3198">
        <v>0</v>
      </c>
      <c r="H12" s="3198">
        <v>0</v>
      </c>
      <c r="I12" s="3198">
        <v>0</v>
      </c>
      <c r="J12" s="3198">
        <v>8</v>
      </c>
      <c r="K12" s="3198">
        <v>0</v>
      </c>
      <c r="L12" s="3198">
        <v>0</v>
      </c>
      <c r="M12" s="3198">
        <v>0</v>
      </c>
      <c r="N12" s="3198">
        <v>0</v>
      </c>
      <c r="O12" s="3198">
        <v>0</v>
      </c>
      <c r="P12" s="3198">
        <v>0</v>
      </c>
      <c r="Q12" s="3198">
        <v>0</v>
      </c>
      <c r="R12" s="3198">
        <v>0</v>
      </c>
      <c r="S12" s="3198">
        <v>0</v>
      </c>
      <c r="T12" s="3198">
        <v>0</v>
      </c>
      <c r="U12" s="3198">
        <v>0</v>
      </c>
      <c r="V12" s="3198">
        <v>0</v>
      </c>
      <c r="W12" s="3198">
        <v>0</v>
      </c>
      <c r="X12" s="3198">
        <v>0</v>
      </c>
      <c r="Y12" s="3198">
        <v>8</v>
      </c>
      <c r="Z12" s="3198">
        <v>0</v>
      </c>
      <c r="AA12" s="3198">
        <v>0</v>
      </c>
      <c r="AB12" s="3198">
        <v>0</v>
      </c>
      <c r="AC12" s="3198">
        <v>0</v>
      </c>
      <c r="AD12" s="3198">
        <v>0</v>
      </c>
      <c r="AE12" s="3198">
        <v>0</v>
      </c>
      <c r="AF12" s="3198">
        <v>0</v>
      </c>
      <c r="AG12" s="3198">
        <v>0</v>
      </c>
      <c r="AH12" s="3198">
        <v>0</v>
      </c>
      <c r="AI12" s="3226">
        <v>1</v>
      </c>
      <c r="AJ12" s="283" cm="1">
        <f t="array" ref="AJ12">SUM(COUNTIFS($D12:$AH12,{"0","4","5","6","7","8","9"}))</f>
        <v>31</v>
      </c>
      <c r="AK12" s="283" cm="1">
        <f t="array" ref="AK12">SUM(COUNTIFS($D12:$AH12,{"0","4","5","6","7","8","9"},$D$4:$AH$4,"0"))</f>
        <v>15</v>
      </c>
      <c r="AL12" s="283" cm="1">
        <f t="array" ref="AL12">SUM(COUNTIFS($D12:$AH12,{"0","4","5","6","7","8","9"},$D$4:$AH$4,"1"))</f>
        <v>5</v>
      </c>
      <c r="AM12" s="283" cm="1">
        <f t="array" ref="AM12">SUM(COUNTIFS($D12:$AH12,{"0","4","5","6","7","8","9"},$D$4:$AH$4,"2"))</f>
        <v>7</v>
      </c>
      <c r="AN12" s="283" cm="1">
        <f t="array" ref="AN12">SUM(COUNTIFS($D12:$AH12,{"0","4","5","6","7","8","9"},$D$4:$AH$4,"3"))</f>
        <v>4</v>
      </c>
      <c r="AO12" s="283" cm="1">
        <f t="array" ref="AO12">SUM(COUNTIFS($D12:$AH12,{"1","2","3"}))</f>
        <v>0</v>
      </c>
      <c r="AP12" s="283" cm="1">
        <f t="array" ref="AP12">SUM(COUNTIFS($D12:$AH12,{"4","5","6"}))</f>
        <v>0</v>
      </c>
      <c r="AQ12" s="283">
        <f>AK12*'Spreadsheet Key'!$A$23 + AL12*'Spreadsheet Key'!$A$24 + AM12*'Spreadsheet Key'!$A$25 + AN12*'Spreadsheet Key'!$A$26</f>
        <v>1328</v>
      </c>
      <c r="AR12" s="283">
        <f>AJ12/('MAY Statistics'!$B$30)*ABS(AI12-1)</f>
        <v>0</v>
      </c>
      <c r="AS12" s="283">
        <f>AI12*AT12</f>
        <v>18</v>
      </c>
      <c r="AT12" s="3228">
        <f>(AJ12/'MAY Statistics'!$B$6)*'Spreadsheet Key'!$A$33</f>
        <v>18</v>
      </c>
      <c r="AU12" s="283"/>
      <c r="AV12" s="283">
        <f t="shared" si="1"/>
        <v>1</v>
      </c>
      <c r="AW12" s="283">
        <f t="shared" si="2"/>
        <v>0</v>
      </c>
      <c r="AX12" s="283">
        <f t="shared" si="3"/>
        <v>1</v>
      </c>
      <c r="AY12" s="283" cm="1">
        <f t="array" ref="AY12">COUNTIFS($D12:$AH12,"9",$D$4:$AH$4,"1")+SUM(COUNTIFS($D12:$AH12,{"8","9"},$D$4:$AH$4,"2"))+COUNTIFS($D12:$AH12,"8",$D$4:$AH$4,"3")</f>
        <v>0</v>
      </c>
      <c r="AZ12" s="283">
        <f t="shared" si="4"/>
        <v>0</v>
      </c>
      <c r="BA12" s="3378">
        <f t="shared" si="5"/>
        <v>2</v>
      </c>
      <c r="BB12" s="283">
        <f>AV12*'Spreadsheet Key'!$A$27+AW12*'Spreadsheet Key'!$A$28+AX12*'Spreadsheet Key'!$A$29+AY12*'Spreadsheet Key'!$A$30+AZ12*'Spreadsheet Key'!$A$31</f>
        <v>28</v>
      </c>
      <c r="BC12" s="283"/>
      <c r="BD12" s="283">
        <f t="shared" ref="BD12" si="10">AT12-BB12</f>
        <v>-10</v>
      </c>
      <c r="BE12" s="3210"/>
      <c r="BF12" s="3210"/>
      <c r="BG12" s="3210"/>
      <c r="BH12" s="3210"/>
    </row>
    <row r="13" spans="1:60">
      <c r="A13" s="3208"/>
      <c r="B13" s="3208"/>
      <c r="C13" s="3180" t="str">
        <f t="shared" si="0"/>
        <v xml:space="preserve"> </v>
      </c>
      <c r="D13" s="779"/>
      <c r="E13" s="2437"/>
      <c r="F13" s="779"/>
      <c r="G13" s="779"/>
      <c r="H13" s="3010" t="s">
        <v>1025</v>
      </c>
      <c r="I13" s="6300" t="s">
        <v>1281</v>
      </c>
      <c r="J13" s="6300"/>
      <c r="K13" s="6300"/>
      <c r="L13" s="6300"/>
      <c r="M13" s="6300"/>
      <c r="N13" s="6300"/>
      <c r="O13" s="6300"/>
      <c r="P13" s="6300"/>
      <c r="Q13" s="6300"/>
      <c r="R13" s="6300"/>
      <c r="S13" s="6300"/>
      <c r="T13" s="3010" t="s">
        <v>1025</v>
      </c>
      <c r="U13" s="779"/>
      <c r="V13" s="779"/>
      <c r="W13" s="779"/>
      <c r="X13" s="2437"/>
      <c r="Y13" s="2437"/>
      <c r="Z13" s="4333" t="s">
        <v>1282</v>
      </c>
      <c r="AA13" s="4411"/>
      <c r="AB13" s="4411"/>
      <c r="AC13" s="4334"/>
      <c r="AD13" s="779"/>
      <c r="AE13" s="779"/>
      <c r="AF13" s="779"/>
      <c r="AG13" s="2434"/>
      <c r="AH13" s="2839"/>
      <c r="AI13" s="3226"/>
      <c r="AJ13" s="283"/>
      <c r="AK13" s="283"/>
      <c r="AL13" s="283"/>
      <c r="AM13" s="283"/>
      <c r="AN13" s="283"/>
      <c r="AO13" s="283"/>
      <c r="AP13" s="283"/>
      <c r="AQ13" s="283"/>
      <c r="AR13" s="283"/>
      <c r="AS13" s="283"/>
      <c r="AT13" s="3228"/>
      <c r="AU13" s="283"/>
      <c r="AV13" s="283">
        <f t="shared" si="1"/>
        <v>0</v>
      </c>
      <c r="AW13" s="283">
        <f t="shared" si="2"/>
        <v>0</v>
      </c>
      <c r="AX13" s="283">
        <f t="shared" si="3"/>
        <v>0</v>
      </c>
      <c r="AY13" s="283" cm="1">
        <f t="array" ref="AY13">COUNTIFS($D13:$AH13,"9",$D$4:$AH$4,"1")+SUM(COUNTIFS($D13:$AH13,{"8","9"},$D$4:$AH$4,"2"))+COUNTIFS($D13:$AH13,"8",$D$4:$AH$4,"3")</f>
        <v>0</v>
      </c>
      <c r="AZ13" s="283">
        <f t="shared" si="4"/>
        <v>0</v>
      </c>
      <c r="BA13" s="283">
        <f t="shared" si="5"/>
        <v>0</v>
      </c>
      <c r="BB13" s="283">
        <f>AV13*'Spreadsheet Key'!$A$27+AW13*'Spreadsheet Key'!$A$28+AX13*'Spreadsheet Key'!$A$29+AY13*'Spreadsheet Key'!$A$30+AZ13*'Spreadsheet Key'!$A$31</f>
        <v>0</v>
      </c>
      <c r="BC13" s="283"/>
      <c r="BD13" s="283"/>
      <c r="BE13" s="3139"/>
      <c r="BF13" s="3139"/>
      <c r="BG13" s="3139"/>
      <c r="BH13" s="3139"/>
    </row>
    <row r="14" spans="1:60" s="3211" customFormat="1">
      <c r="A14" s="3187" t="s">
        <v>95</v>
      </c>
      <c r="B14" s="3180" t="s">
        <v>726</v>
      </c>
      <c r="C14" s="3180" t="str">
        <f t="shared" si="0"/>
        <v>LT MALIGSA</v>
      </c>
      <c r="D14" s="3199">
        <v>0</v>
      </c>
      <c r="E14" s="3198">
        <v>0</v>
      </c>
      <c r="F14" s="3198">
        <v>0</v>
      </c>
      <c r="G14" s="3198">
        <v>0</v>
      </c>
      <c r="H14" s="3198">
        <v>1</v>
      </c>
      <c r="I14" s="3198">
        <v>2</v>
      </c>
      <c r="J14" s="3198">
        <v>2</v>
      </c>
      <c r="K14" s="3198">
        <v>2</v>
      </c>
      <c r="L14" s="3198">
        <v>2</v>
      </c>
      <c r="M14" s="3198">
        <v>2</v>
      </c>
      <c r="N14" s="3198">
        <v>2</v>
      </c>
      <c r="O14" s="3198">
        <v>2</v>
      </c>
      <c r="P14" s="3198">
        <v>2</v>
      </c>
      <c r="Q14" s="3198">
        <v>2</v>
      </c>
      <c r="R14" s="3198">
        <v>2</v>
      </c>
      <c r="S14" s="3198">
        <v>2</v>
      </c>
      <c r="T14" s="3198">
        <v>3</v>
      </c>
      <c r="U14" s="3198">
        <v>0</v>
      </c>
      <c r="V14" s="3198">
        <v>0</v>
      </c>
      <c r="W14" s="3198">
        <v>0</v>
      </c>
      <c r="X14" s="3198">
        <v>0</v>
      </c>
      <c r="Y14" s="3198">
        <v>0</v>
      </c>
      <c r="Z14" s="3198">
        <v>4</v>
      </c>
      <c r="AA14" s="3198">
        <v>5</v>
      </c>
      <c r="AB14" s="3198">
        <v>5</v>
      </c>
      <c r="AC14" s="3198">
        <v>6</v>
      </c>
      <c r="AD14" s="3198">
        <v>0</v>
      </c>
      <c r="AE14" s="3198">
        <v>0</v>
      </c>
      <c r="AF14" s="3198">
        <v>0</v>
      </c>
      <c r="AG14" s="3198">
        <v>0</v>
      </c>
      <c r="AH14" s="3198">
        <v>0</v>
      </c>
      <c r="AI14" s="3226">
        <v>0</v>
      </c>
      <c r="AJ14" s="283" cm="1">
        <f t="array" ref="AJ14">SUM(COUNTIFS($D14:$AH14,{"0","4","5","6","7","8","9"}))</f>
        <v>18</v>
      </c>
      <c r="AK14" s="283" cm="1">
        <f t="array" ref="AK14">SUM(COUNTIFS($D14:$AH14,{"0","4","5","6","7","8","9"},$D$4:$AH$4,"0"))</f>
        <v>7</v>
      </c>
      <c r="AL14" s="283" cm="1">
        <f t="array" ref="AL14">SUM(COUNTIFS($D14:$AH14,{"0","4","5","6","7","8","9"},$D$4:$AH$4,"1"))</f>
        <v>3</v>
      </c>
      <c r="AM14" s="283" cm="1">
        <f t="array" ref="AM14">SUM(COUNTIFS($D14:$AH14,{"0","4","5","6","7","8","9"},$D$4:$AH$4,"2"))</f>
        <v>5</v>
      </c>
      <c r="AN14" s="283" cm="1">
        <f t="array" ref="AN14">SUM(COUNTIFS($D14:$AH14,{"0","4","5","6","7","8","9"},$D$4:$AH$4,"3"))</f>
        <v>3</v>
      </c>
      <c r="AO14" s="283" cm="1">
        <f t="array" ref="AO14">SUM(COUNTIFS($D14:$AH14,{"1","2","3"}))</f>
        <v>13</v>
      </c>
      <c r="AP14" s="283" cm="1">
        <f t="array" ref="AP14">SUM(COUNTIFS($D14:$AH14,{"4","5","6"}))</f>
        <v>4</v>
      </c>
      <c r="AQ14" s="283">
        <f>AK14*'Spreadsheet Key'!$A$23 + AL14*'Spreadsheet Key'!$A$24 + AM14*'Spreadsheet Key'!$A$25 + AN14*'Spreadsheet Key'!$A$26</f>
        <v>844</v>
      </c>
      <c r="AR14" s="283">
        <f>AJ14/('MAY Statistics'!$B$30)*ABS(AI14-1)</f>
        <v>3.125E-2</v>
      </c>
      <c r="AS14" s="283">
        <f t="shared" ref="AS14" si="11">AI14*AT14</f>
        <v>0</v>
      </c>
      <c r="AT14" s="3228">
        <f>AR14*'MAY Statistics'!$C$11</f>
        <v>38.481875000000002</v>
      </c>
      <c r="AU14" s="283"/>
      <c r="AV14" s="283">
        <f t="shared" si="1"/>
        <v>0</v>
      </c>
      <c r="AW14" s="283">
        <f t="shared" si="2"/>
        <v>0</v>
      </c>
      <c r="AX14" s="283">
        <f t="shared" si="3"/>
        <v>0</v>
      </c>
      <c r="AY14" s="283" cm="1">
        <f t="array" ref="AY14">COUNTIFS($D14:$AH14,"9",$D$4:$AH$4,"1")+SUM(COUNTIFS($D14:$AH14,{"8","9"},$D$4:$AH$4,"2"))+COUNTIFS($D14:$AH14,"8",$D$4:$AH$4,"3")</f>
        <v>0</v>
      </c>
      <c r="AZ14" s="283">
        <f t="shared" si="4"/>
        <v>0</v>
      </c>
      <c r="BA14" s="283">
        <f t="shared" si="5"/>
        <v>0</v>
      </c>
      <c r="BB14" s="283">
        <f>AV14*'Spreadsheet Key'!$A$27+AW14*'Spreadsheet Key'!$A$28+AX14*'Spreadsheet Key'!$A$29+AY14*'Spreadsheet Key'!$A$30+AZ14*'Spreadsheet Key'!$A$31</f>
        <v>0</v>
      </c>
      <c r="BC14" s="283"/>
      <c r="BD14" s="283">
        <f t="shared" ref="BD14" si="12">AT14-BB14</f>
        <v>38.481875000000002</v>
      </c>
      <c r="BE14" s="3213"/>
      <c r="BF14" s="3213"/>
      <c r="BG14" s="3213"/>
      <c r="BH14" s="3213"/>
    </row>
    <row r="15" spans="1:60">
      <c r="A15" s="3212"/>
      <c r="B15" s="3208"/>
      <c r="C15" s="3180" t="str">
        <f t="shared" si="0"/>
        <v xml:space="preserve"> </v>
      </c>
      <c r="D15" s="3010" t="s">
        <v>1025</v>
      </c>
      <c r="E15" s="779"/>
      <c r="F15" s="779"/>
      <c r="G15" s="779"/>
      <c r="H15" s="3010" t="s">
        <v>1025</v>
      </c>
      <c r="I15" s="6300" t="s">
        <v>1279</v>
      </c>
      <c r="J15" s="6300"/>
      <c r="K15" s="6300"/>
      <c r="L15" s="6300"/>
      <c r="M15" s="6300"/>
      <c r="N15" s="6300"/>
      <c r="O15" s="6300"/>
      <c r="P15" s="6300"/>
      <c r="Q15" s="6300"/>
      <c r="R15" s="6300"/>
      <c r="S15" s="6300"/>
      <c r="T15" s="3010" t="s">
        <v>1025</v>
      </c>
      <c r="U15" s="779"/>
      <c r="W15" s="904" t="s">
        <v>720</v>
      </c>
      <c r="X15" s="2437"/>
      <c r="Y15" s="2434"/>
      <c r="Z15" s="779"/>
      <c r="AA15" s="779"/>
      <c r="AB15" s="779"/>
      <c r="AC15" s="779"/>
      <c r="AD15" s="904" t="s">
        <v>720</v>
      </c>
      <c r="AE15" s="779"/>
      <c r="AF15" s="2434"/>
      <c r="AG15" s="2434"/>
      <c r="AH15" s="2437"/>
      <c r="AI15" s="3226"/>
      <c r="AJ15" s="283"/>
      <c r="AK15" s="283"/>
      <c r="AL15" s="283"/>
      <c r="AM15" s="283"/>
      <c r="AN15" s="283"/>
      <c r="AO15" s="283"/>
      <c r="AP15" s="283"/>
      <c r="AQ15" s="283"/>
      <c r="AR15" s="283"/>
      <c r="AS15" s="283"/>
      <c r="AT15" s="3228"/>
      <c r="AU15" s="283"/>
      <c r="AV15" s="283">
        <f t="shared" si="1"/>
        <v>0</v>
      </c>
      <c r="AW15" s="283">
        <f t="shared" si="2"/>
        <v>0</v>
      </c>
      <c r="AX15" s="283">
        <f t="shared" si="3"/>
        <v>0</v>
      </c>
      <c r="AY15" s="283" cm="1">
        <f t="array" ref="AY15">COUNTIFS($D15:$AH15,"9",$D$4:$AH$4,"1")+SUM(COUNTIFS($D15:$AH15,{"8","9"},$D$4:$AH$4,"2"))+COUNTIFS($D15:$AH15,"8",$D$4:$AH$4,"3")</f>
        <v>0</v>
      </c>
      <c r="AZ15" s="283">
        <f t="shared" si="4"/>
        <v>0</v>
      </c>
      <c r="BA15" s="283">
        <f t="shared" si="5"/>
        <v>0</v>
      </c>
      <c r="BB15" s="283">
        <f>AV15*'Spreadsheet Key'!$A$27+AW15*'Spreadsheet Key'!$A$28+AX15*'Spreadsheet Key'!$A$29+AY15*'Spreadsheet Key'!$A$30+AZ15*'Spreadsheet Key'!$A$31</f>
        <v>0</v>
      </c>
      <c r="BC15" s="283"/>
      <c r="BD15" s="283"/>
      <c r="BE15" s="283"/>
      <c r="BF15" s="283"/>
      <c r="BG15" s="283"/>
      <c r="BH15" s="283"/>
    </row>
    <row r="16" spans="1:60" s="3211" customFormat="1">
      <c r="A16" s="3180" t="s">
        <v>95</v>
      </c>
      <c r="B16" s="3180" t="s">
        <v>738</v>
      </c>
      <c r="C16" s="3180" t="str">
        <f t="shared" si="0"/>
        <v>LT HESPEN</v>
      </c>
      <c r="D16" s="3199">
        <v>3</v>
      </c>
      <c r="E16" s="3198">
        <v>0</v>
      </c>
      <c r="F16" s="3198">
        <v>0</v>
      </c>
      <c r="G16" s="3198">
        <v>0</v>
      </c>
      <c r="H16" s="3198">
        <v>1</v>
      </c>
      <c r="I16" s="3198">
        <v>2</v>
      </c>
      <c r="J16" s="3198">
        <v>2</v>
      </c>
      <c r="K16" s="3198">
        <v>2</v>
      </c>
      <c r="L16" s="3198">
        <v>2</v>
      </c>
      <c r="M16" s="3198">
        <v>2</v>
      </c>
      <c r="N16" s="3198">
        <v>2</v>
      </c>
      <c r="O16" s="3198">
        <v>2</v>
      </c>
      <c r="P16" s="3198">
        <v>2</v>
      </c>
      <c r="Q16" s="3198">
        <v>2</v>
      </c>
      <c r="R16" s="3198">
        <v>2</v>
      </c>
      <c r="S16" s="3198">
        <v>2</v>
      </c>
      <c r="T16" s="3198">
        <v>3</v>
      </c>
      <c r="U16" s="3198">
        <v>0</v>
      </c>
      <c r="V16" s="3211">
        <v>0</v>
      </c>
      <c r="W16" s="3198">
        <v>8</v>
      </c>
      <c r="X16" s="3198">
        <v>0</v>
      </c>
      <c r="Y16" s="3198">
        <v>0</v>
      </c>
      <c r="Z16" s="3198">
        <v>0</v>
      </c>
      <c r="AA16" s="3198">
        <v>0</v>
      </c>
      <c r="AB16" s="3198">
        <v>0</v>
      </c>
      <c r="AC16" s="3198">
        <v>0</v>
      </c>
      <c r="AD16" s="3198">
        <v>8</v>
      </c>
      <c r="AE16" s="3198">
        <v>0</v>
      </c>
      <c r="AF16" s="3198">
        <v>0</v>
      </c>
      <c r="AG16" s="3198">
        <v>0</v>
      </c>
      <c r="AH16" s="3198">
        <v>0</v>
      </c>
      <c r="AI16" s="3226">
        <v>0</v>
      </c>
      <c r="AJ16" s="283" cm="1">
        <f t="array" ref="AJ16">SUM(COUNTIFS($D16:$AH16,{"0","4","5","6","7","8","9"}))</f>
        <v>17</v>
      </c>
      <c r="AK16" s="283" cm="1">
        <f t="array" ref="AK16">SUM(COUNTIFS($D16:$AH16,{"0","4","5","6","7","8","9"},$D$4:$AH$4,"0"))</f>
        <v>6</v>
      </c>
      <c r="AL16" s="283" cm="1">
        <f t="array" ref="AL16">SUM(COUNTIFS($D16:$AH16,{"0","4","5","6","7","8","9"},$D$4:$AH$4,"1"))</f>
        <v>3</v>
      </c>
      <c r="AM16" s="283" cm="1">
        <f t="array" ref="AM16">SUM(COUNTIFS($D16:$AH16,{"0","4","5","6","7","8","9"},$D$4:$AH$4,"2"))</f>
        <v>5</v>
      </c>
      <c r="AN16" s="283" cm="1">
        <f t="array" ref="AN16">SUM(COUNTIFS($D16:$AH16,{"0","4","5","6","7","8","9"},$D$4:$AH$4,"3"))</f>
        <v>3</v>
      </c>
      <c r="AO16" s="283" cm="1">
        <f t="array" ref="AO16">SUM(COUNTIFS($D16:$AH16,{"1","2","3"}))</f>
        <v>14</v>
      </c>
      <c r="AP16" s="283" cm="1">
        <f t="array" ref="AP16">SUM(COUNTIFS($D16:$AH16,{"4","5","6"}))</f>
        <v>0</v>
      </c>
      <c r="AQ16" s="283">
        <f>AK16*'Spreadsheet Key'!$A$23 + AL16*'Spreadsheet Key'!$A$24 + AM16*'Spreadsheet Key'!$A$25 + AN16*'Spreadsheet Key'!$A$26</f>
        <v>822</v>
      </c>
      <c r="AR16" s="283">
        <f>AJ16/('MAY Statistics'!$B$30)*ABS(AI16-1)</f>
        <v>2.9513888888888888E-2</v>
      </c>
      <c r="AS16" s="283">
        <f t="shared" ref="AS16" si="13">AI16*AT16</f>
        <v>0</v>
      </c>
      <c r="AT16" s="3228">
        <f>AR16*'MAY Statistics'!$C$11</f>
        <v>36.343993055555558</v>
      </c>
      <c r="AU16" s="283"/>
      <c r="AV16" s="283">
        <f t="shared" si="1"/>
        <v>2</v>
      </c>
      <c r="AW16" s="283">
        <f t="shared" si="2"/>
        <v>0</v>
      </c>
      <c r="AX16" s="283">
        <f t="shared" si="3"/>
        <v>0</v>
      </c>
      <c r="AY16" s="283" cm="1">
        <f t="array" ref="AY16">COUNTIFS($D16:$AH16,"9",$D$4:$AH$4,"1")+SUM(COUNTIFS($D16:$AH16,{"8","9"},$D$4:$AH$4,"2"))+COUNTIFS($D16:$AH16,"8",$D$4:$AH$4,"3")</f>
        <v>0</v>
      </c>
      <c r="AZ16" s="283">
        <f t="shared" si="4"/>
        <v>0</v>
      </c>
      <c r="BA16" s="283">
        <f t="shared" si="5"/>
        <v>2</v>
      </c>
      <c r="BB16" s="283">
        <f>AV16*'Spreadsheet Key'!$A$27+AW16*'Spreadsheet Key'!$A$28+AX16*'Spreadsheet Key'!$A$29+AY16*'Spreadsheet Key'!$A$30+AZ16*'Spreadsheet Key'!$A$31</f>
        <v>20</v>
      </c>
      <c r="BC16" s="283"/>
      <c r="BD16" s="283">
        <f t="shared" ref="BD16" si="14">AT16-BB16</f>
        <v>16.343993055555558</v>
      </c>
      <c r="BE16" s="3210"/>
      <c r="BF16" s="3210"/>
      <c r="BG16" s="3210"/>
      <c r="BH16" s="3210"/>
    </row>
    <row r="17" spans="1:60">
      <c r="A17" s="3208"/>
      <c r="B17" s="3208"/>
      <c r="C17" s="3180" t="str">
        <f t="shared" si="0"/>
        <v xml:space="preserve"> </v>
      </c>
      <c r="D17" s="3010" t="s">
        <v>1025</v>
      </c>
      <c r="E17" s="6302" t="s">
        <v>1279</v>
      </c>
      <c r="F17" s="6303"/>
      <c r="G17" s="6303"/>
      <c r="H17" s="6303"/>
      <c r="I17" s="6303"/>
      <c r="J17" s="6303"/>
      <c r="K17" s="6303"/>
      <c r="L17" s="6303"/>
      <c r="M17" s="6303"/>
      <c r="N17" s="6303"/>
      <c r="O17" s="6303"/>
      <c r="P17" s="6303"/>
      <c r="Q17" s="6303"/>
      <c r="R17" s="6303"/>
      <c r="S17" s="6304"/>
      <c r="T17" s="3010" t="s">
        <v>1025</v>
      </c>
      <c r="U17" s="779"/>
      <c r="V17" s="904" t="s">
        <v>720</v>
      </c>
      <c r="W17" s="779"/>
      <c r="X17" s="779"/>
      <c r="Y17" s="779"/>
      <c r="Z17" s="2434"/>
      <c r="AA17" s="2434"/>
      <c r="AB17" s="779"/>
      <c r="AC17" s="904" t="s">
        <v>722</v>
      </c>
      <c r="AD17" s="2437"/>
      <c r="AE17" s="2437"/>
      <c r="AF17" s="779"/>
      <c r="AG17" s="779"/>
      <c r="AH17" s="2839"/>
      <c r="AI17" s="3226"/>
      <c r="AJ17" s="283"/>
      <c r="AK17" s="283"/>
      <c r="AL17" s="283"/>
      <c r="AM17" s="283"/>
      <c r="AN17" s="283"/>
      <c r="AO17" s="283"/>
      <c r="AP17" s="283"/>
      <c r="AQ17" s="283"/>
      <c r="AR17" s="283"/>
      <c r="AS17" s="283"/>
      <c r="AT17" s="3228"/>
      <c r="AU17" s="283"/>
      <c r="AV17" s="283">
        <f t="shared" si="1"/>
        <v>0</v>
      </c>
      <c r="AW17" s="283">
        <f t="shared" si="2"/>
        <v>0</v>
      </c>
      <c r="AX17" s="283">
        <f t="shared" si="3"/>
        <v>0</v>
      </c>
      <c r="AY17" s="283" cm="1">
        <f t="array" ref="AY17">COUNTIFS($D17:$AH17,"9",$D$4:$AH$4,"1")+SUM(COUNTIFS($D17:$AH17,{"8","9"},$D$4:$AH$4,"2"))+COUNTIFS($D17:$AH17,"8",$D$4:$AH$4,"3")</f>
        <v>0</v>
      </c>
      <c r="AZ17" s="283">
        <f t="shared" si="4"/>
        <v>0</v>
      </c>
      <c r="BA17" s="283">
        <f t="shared" si="5"/>
        <v>0</v>
      </c>
      <c r="BB17" s="283">
        <f>AV17*'Spreadsheet Key'!$A$27+AW17*'Spreadsheet Key'!$A$28+AX17*'Spreadsheet Key'!$A$29+AY17*'Spreadsheet Key'!$A$30+AZ17*'Spreadsheet Key'!$A$31</f>
        <v>0</v>
      </c>
      <c r="BC17" s="283"/>
      <c r="BD17" s="283"/>
      <c r="BE17" s="283"/>
      <c r="BF17" s="283"/>
      <c r="BG17" s="283"/>
      <c r="BH17" s="283"/>
    </row>
    <row r="18" spans="1:60" s="3211" customFormat="1">
      <c r="A18" s="3180" t="s">
        <v>106</v>
      </c>
      <c r="B18" s="3180" t="s">
        <v>1191</v>
      </c>
      <c r="C18" s="3180" t="str">
        <f t="shared" si="0"/>
        <v>OSC WILLIAMS</v>
      </c>
      <c r="D18" s="3199">
        <v>1</v>
      </c>
      <c r="E18" s="3198">
        <v>2</v>
      </c>
      <c r="F18" s="3198">
        <v>2</v>
      </c>
      <c r="G18" s="3198">
        <v>2</v>
      </c>
      <c r="H18" s="3198">
        <v>2</v>
      </c>
      <c r="I18" s="3198">
        <v>2</v>
      </c>
      <c r="J18" s="3198">
        <v>2</v>
      </c>
      <c r="K18" s="3198">
        <v>2</v>
      </c>
      <c r="L18" s="3198">
        <v>2</v>
      </c>
      <c r="M18" s="3198">
        <v>2</v>
      </c>
      <c r="N18" s="3198">
        <v>2</v>
      </c>
      <c r="O18" s="3198">
        <v>2</v>
      </c>
      <c r="P18" s="3198">
        <v>2</v>
      </c>
      <c r="Q18" s="3198">
        <v>2</v>
      </c>
      <c r="R18" s="3198">
        <v>2</v>
      </c>
      <c r="S18" s="3198">
        <v>2</v>
      </c>
      <c r="T18" s="3198">
        <v>3</v>
      </c>
      <c r="U18" s="3198">
        <v>0</v>
      </c>
      <c r="V18" s="3198">
        <v>8</v>
      </c>
      <c r="W18" s="3198">
        <v>0</v>
      </c>
      <c r="X18" s="3198">
        <v>0</v>
      </c>
      <c r="Y18" s="3198">
        <v>0</v>
      </c>
      <c r="Z18" s="3198">
        <v>0</v>
      </c>
      <c r="AA18" s="3198">
        <v>0</v>
      </c>
      <c r="AB18" s="3198">
        <v>0</v>
      </c>
      <c r="AC18" s="3198">
        <v>9</v>
      </c>
      <c r="AD18" s="3198">
        <v>0</v>
      </c>
      <c r="AE18" s="3198">
        <v>0</v>
      </c>
      <c r="AF18" s="3198">
        <v>0</v>
      </c>
      <c r="AG18" s="3198">
        <v>0</v>
      </c>
      <c r="AH18" s="3198">
        <v>0</v>
      </c>
      <c r="AI18" s="3226">
        <v>0</v>
      </c>
      <c r="AJ18" s="283" cm="1">
        <f t="array" ref="AJ18">SUM(COUNTIFS($D18:$AH18,{"0","4","5","6","7","8","9"}))</f>
        <v>14</v>
      </c>
      <c r="AK18" s="283" cm="1">
        <f t="array" ref="AK18">SUM(COUNTIFS($D18:$AH18,{"0","4","5","6","7","8","9"},$D$4:$AH$4,"0"))</f>
        <v>6</v>
      </c>
      <c r="AL18" s="283" cm="1">
        <f t="array" ref="AL18">SUM(COUNTIFS($D18:$AH18,{"0","4","5","6","7","8","9"},$D$4:$AH$4,"1"))</f>
        <v>2</v>
      </c>
      <c r="AM18" s="283" cm="1">
        <f t="array" ref="AM18">SUM(COUNTIFS($D18:$AH18,{"0","4","5","6","7","8","9"},$D$4:$AH$4,"2"))</f>
        <v>4</v>
      </c>
      <c r="AN18" s="283" cm="1">
        <f t="array" ref="AN18">SUM(COUNTIFS($D18:$AH18,{"0","4","5","6","7","8","9"},$D$4:$AH$4,"3"))</f>
        <v>2</v>
      </c>
      <c r="AO18" s="283" cm="1">
        <f t="array" ref="AO18">SUM(COUNTIFS($D18:$AH18,{"1","2","3"}))</f>
        <v>17</v>
      </c>
      <c r="AP18" s="283" cm="1">
        <f t="array" ref="AP18">SUM(COUNTIFS($D18:$AH18,{"4","5","6"}))</f>
        <v>0</v>
      </c>
      <c r="AQ18" s="283">
        <f>AK18*'Spreadsheet Key'!$A$23 + AL18*'Spreadsheet Key'!$A$24 + AM18*'Spreadsheet Key'!$A$25 + AN18*'Spreadsheet Key'!$A$26</f>
        <v>640</v>
      </c>
      <c r="AR18" s="283">
        <f>AJ18/('MAY Statistics'!$B$30)*ABS(AI18-1)</f>
        <v>2.4305555555555556E-2</v>
      </c>
      <c r="AS18" s="283">
        <f t="shared" ref="AS18" si="15">AI18*AT18</f>
        <v>0</v>
      </c>
      <c r="AT18" s="3228">
        <f>AR18*'MAY Statistics'!$C$11</f>
        <v>29.930347222222224</v>
      </c>
      <c r="AU18" s="283"/>
      <c r="AV18" s="283">
        <f t="shared" si="1"/>
        <v>1</v>
      </c>
      <c r="AW18" s="283">
        <f t="shared" si="2"/>
        <v>0</v>
      </c>
      <c r="AX18" s="283">
        <f t="shared" si="3"/>
        <v>0</v>
      </c>
      <c r="AY18" s="283" cm="1">
        <f t="array" ref="AY18">COUNTIFS($D18:$AH18,"9",$D$4:$AH$4,"1")+SUM(COUNTIFS($D18:$AH18,{"8","9"},$D$4:$AH$4,"2"))+COUNTIFS($D18:$AH18,"8",$D$4:$AH$4,"3")</f>
        <v>0</v>
      </c>
      <c r="AZ18" s="283">
        <f t="shared" si="4"/>
        <v>1</v>
      </c>
      <c r="BA18" s="283">
        <f t="shared" si="5"/>
        <v>2</v>
      </c>
      <c r="BB18" s="283">
        <f>AV18*'Spreadsheet Key'!$A$27+AW18*'Spreadsheet Key'!$A$28+AX18*'Spreadsheet Key'!$A$29+AY18*'Spreadsheet Key'!$A$30+AZ18*'Spreadsheet Key'!$A$31</f>
        <v>30</v>
      </c>
      <c r="BC18" s="283"/>
      <c r="BD18" s="283">
        <f t="shared" ref="BD18" si="16">AT18-BB18</f>
        <v>-6.9652777777776009E-2</v>
      </c>
      <c r="BE18" s="3210"/>
      <c r="BF18" s="3210"/>
      <c r="BG18" s="3210"/>
      <c r="BH18" s="3210"/>
    </row>
    <row r="19" spans="1:60">
      <c r="A19" s="3208"/>
      <c r="B19" s="3208"/>
      <c r="C19" s="3180" t="str">
        <f t="shared" si="0"/>
        <v xml:space="preserve"> </v>
      </c>
      <c r="D19" s="1580" t="s">
        <v>722</v>
      </c>
      <c r="E19" s="779"/>
      <c r="F19" s="779"/>
      <c r="G19" s="779"/>
      <c r="H19" s="3010" t="s">
        <v>1025</v>
      </c>
      <c r="I19" s="6300" t="s">
        <v>1279</v>
      </c>
      <c r="J19" s="6300"/>
      <c r="K19" s="6300"/>
      <c r="L19" s="6300"/>
      <c r="M19" s="6300"/>
      <c r="N19" s="6300"/>
      <c r="O19" s="6300"/>
      <c r="P19" s="6300"/>
      <c r="Q19" s="6300"/>
      <c r="R19" s="6300"/>
      <c r="S19" s="6300"/>
      <c r="T19" s="3010" t="s">
        <v>1025</v>
      </c>
      <c r="U19" s="779"/>
      <c r="V19" s="779"/>
      <c r="W19" s="779"/>
      <c r="X19" s="779"/>
      <c r="Y19" s="779"/>
      <c r="Z19" s="904" t="s">
        <v>722</v>
      </c>
      <c r="AA19" s="904"/>
      <c r="AB19" s="904"/>
      <c r="AC19" s="779"/>
      <c r="AD19" s="904"/>
      <c r="AE19" s="779"/>
      <c r="AF19" s="904" t="s">
        <v>722</v>
      </c>
      <c r="AG19" s="2434"/>
      <c r="AI19" s="3226"/>
      <c r="AJ19" s="283"/>
      <c r="AK19" s="283"/>
      <c r="AL19" s="283"/>
      <c r="AM19" s="283"/>
      <c r="AN19" s="283"/>
      <c r="AO19" s="283"/>
      <c r="AP19" s="283"/>
      <c r="AQ19" s="283"/>
      <c r="AR19" s="283"/>
      <c r="AS19" s="283"/>
      <c r="AT19" s="3228"/>
      <c r="AU19" s="283"/>
      <c r="AV19" s="283">
        <f t="shared" si="1"/>
        <v>0</v>
      </c>
      <c r="AW19" s="283">
        <f t="shared" si="2"/>
        <v>0</v>
      </c>
      <c r="AX19" s="283">
        <f t="shared" si="3"/>
        <v>0</v>
      </c>
      <c r="AY19" s="283" cm="1">
        <f t="array" ref="AY19">COUNTIFS($D19:$AH19,"9",$D$4:$AH$4,"1")+SUM(COUNTIFS($D19:$AH19,{"8","9"},$D$4:$AH$4,"2"))+COUNTIFS($D19:$AH19,"8",$D$4:$AH$4,"3")</f>
        <v>0</v>
      </c>
      <c r="AZ19" s="283">
        <f t="shared" si="4"/>
        <v>0</v>
      </c>
      <c r="BA19" s="283">
        <f t="shared" si="5"/>
        <v>0</v>
      </c>
      <c r="BB19" s="283">
        <f>AV19*'Spreadsheet Key'!$A$27+AW19*'Spreadsheet Key'!$A$28+AX19*'Spreadsheet Key'!$A$29+AY19*'Spreadsheet Key'!$A$30+AZ19*'Spreadsheet Key'!$A$31</f>
        <v>0</v>
      </c>
      <c r="BC19" s="283"/>
      <c r="BD19" s="283"/>
      <c r="BE19" s="283"/>
      <c r="BF19" s="283"/>
      <c r="BG19" s="283"/>
      <c r="BH19" s="283"/>
    </row>
    <row r="20" spans="1:60" s="3211" customFormat="1">
      <c r="A20" s="3180" t="s">
        <v>108</v>
      </c>
      <c r="B20" s="3180" t="s">
        <v>109</v>
      </c>
      <c r="C20" s="3180" t="str">
        <f t="shared" si="0"/>
        <v>OS1 TILLMAN</v>
      </c>
      <c r="D20" s="3198">
        <v>9</v>
      </c>
      <c r="E20" s="3198">
        <v>0</v>
      </c>
      <c r="F20" s="3198">
        <v>0</v>
      </c>
      <c r="G20" s="3198">
        <v>0</v>
      </c>
      <c r="H20" s="3198">
        <v>1</v>
      </c>
      <c r="I20" s="3198">
        <v>2</v>
      </c>
      <c r="J20" s="3198">
        <v>2</v>
      </c>
      <c r="K20" s="3198">
        <v>2</v>
      </c>
      <c r="L20" s="3198">
        <v>2</v>
      </c>
      <c r="M20" s="3198">
        <v>2</v>
      </c>
      <c r="N20" s="3198">
        <v>2</v>
      </c>
      <c r="O20" s="3198">
        <v>2</v>
      </c>
      <c r="P20" s="3198">
        <v>2</v>
      </c>
      <c r="Q20" s="3198">
        <v>2</v>
      </c>
      <c r="R20" s="3198">
        <v>2</v>
      </c>
      <c r="S20" s="3198">
        <v>2</v>
      </c>
      <c r="T20" s="3198">
        <v>3</v>
      </c>
      <c r="U20" s="3198">
        <v>0</v>
      </c>
      <c r="V20" s="3198">
        <v>0</v>
      </c>
      <c r="W20" s="3198">
        <v>0</v>
      </c>
      <c r="X20" s="3198">
        <v>0</v>
      </c>
      <c r="Y20" s="3198">
        <v>0</v>
      </c>
      <c r="Z20" s="3198">
        <v>9</v>
      </c>
      <c r="AA20" s="3198">
        <v>0</v>
      </c>
      <c r="AB20" s="3198">
        <v>0</v>
      </c>
      <c r="AC20" s="3198">
        <v>0</v>
      </c>
      <c r="AD20" s="3198">
        <v>0</v>
      </c>
      <c r="AE20" s="3198">
        <v>0</v>
      </c>
      <c r="AF20" s="3198">
        <v>9</v>
      </c>
      <c r="AG20" s="3198">
        <v>0</v>
      </c>
      <c r="AH20" s="3198">
        <v>0</v>
      </c>
      <c r="AI20" s="3226">
        <v>0</v>
      </c>
      <c r="AJ20" s="283" cm="1">
        <f t="array" ref="AJ20">SUM(COUNTIFS($D20:$AH20,{"0","4","5","6","7","8","9"}))</f>
        <v>18</v>
      </c>
      <c r="AK20" s="283" cm="1">
        <f t="array" ref="AK20">SUM(COUNTIFS($D20:$AH20,{"0","4","5","6","7","8","9"},$D$4:$AH$4,"0"))</f>
        <v>7</v>
      </c>
      <c r="AL20" s="283" cm="1">
        <f t="array" ref="AL20">SUM(COUNTIFS($D20:$AH20,{"0","4","5","6","7","8","9"},$D$4:$AH$4,"1"))</f>
        <v>3</v>
      </c>
      <c r="AM20" s="283" cm="1">
        <f t="array" ref="AM20">SUM(COUNTIFS($D20:$AH20,{"0","4","5","6","7","8","9"},$D$4:$AH$4,"2"))</f>
        <v>5</v>
      </c>
      <c r="AN20" s="283" cm="1">
        <f t="array" ref="AN20">SUM(COUNTIFS($D20:$AH20,{"0","4","5","6","7","8","9"},$D$4:$AH$4,"3"))</f>
        <v>3</v>
      </c>
      <c r="AO20" s="283" cm="1">
        <f t="array" ref="AO20">SUM(COUNTIFS($D20:$AH20,{"1","2","3"}))</f>
        <v>13</v>
      </c>
      <c r="AP20" s="283" cm="1">
        <f t="array" ref="AP20">SUM(COUNTIFS($D20:$AH20,{"4","5","6"}))</f>
        <v>0</v>
      </c>
      <c r="AQ20" s="283">
        <f>AK20*'Spreadsheet Key'!$A$23 + AL20*'Spreadsheet Key'!$A$24 + AM20*'Spreadsheet Key'!$A$25 + AN20*'Spreadsheet Key'!$A$26</f>
        <v>844</v>
      </c>
      <c r="AR20" s="283">
        <f>AJ20/('MAY Statistics'!$B$30)*ABS(AI20-1)</f>
        <v>3.125E-2</v>
      </c>
      <c r="AS20" s="283">
        <f t="shared" ref="AS20" si="17">AI20*AT20</f>
        <v>0</v>
      </c>
      <c r="AT20" s="3228">
        <f>AR20*'MAY Statistics'!$C$11</f>
        <v>38.481875000000002</v>
      </c>
      <c r="AU20" s="283"/>
      <c r="AV20" s="283">
        <f t="shared" si="1"/>
        <v>0</v>
      </c>
      <c r="AW20" s="283">
        <f t="shared" si="2"/>
        <v>2</v>
      </c>
      <c r="AX20" s="283">
        <f t="shared" si="3"/>
        <v>0</v>
      </c>
      <c r="AY20" s="283" cm="1">
        <f t="array" ref="AY20">COUNTIFS($D20:$AH20,"9",$D$4:$AH$4,"1")+SUM(COUNTIFS($D20:$AH20,{"8","9"},$D$4:$AH$4,"2"))+COUNTIFS($D20:$AH20,"8",$D$4:$AH$4,"3")</f>
        <v>1</v>
      </c>
      <c r="AZ20" s="283">
        <f t="shared" si="4"/>
        <v>0</v>
      </c>
      <c r="BA20" s="3378">
        <f t="shared" si="5"/>
        <v>3</v>
      </c>
      <c r="BB20" s="283">
        <f>AV20*'Spreadsheet Key'!$A$27+AW20*'Spreadsheet Key'!$A$28+AX20*'Spreadsheet Key'!$A$29+AY20*'Spreadsheet Key'!$A$30+AZ20*'Spreadsheet Key'!$A$31</f>
        <v>60</v>
      </c>
      <c r="BC20" s="283"/>
      <c r="BD20" s="283">
        <f t="shared" ref="BD20" si="18">AT20-BB20</f>
        <v>-21.518124999999998</v>
      </c>
      <c r="BE20" s="3210"/>
      <c r="BF20" s="3210"/>
      <c r="BG20" s="3210"/>
      <c r="BH20" s="3210"/>
    </row>
    <row r="21" spans="1:60">
      <c r="A21" s="3208"/>
      <c r="B21" s="3208"/>
      <c r="C21" s="3180" t="str">
        <f t="shared" si="0"/>
        <v xml:space="preserve"> </v>
      </c>
      <c r="D21" s="778"/>
      <c r="E21" s="778"/>
      <c r="F21" s="778"/>
      <c r="G21" s="778"/>
      <c r="H21" s="2437"/>
      <c r="I21" s="778"/>
      <c r="J21" s="778"/>
      <c r="K21" s="904" t="s">
        <v>720</v>
      </c>
      <c r="L21" s="778"/>
      <c r="M21" s="778"/>
      <c r="N21" s="778"/>
      <c r="O21" s="2437"/>
      <c r="P21" s="778"/>
      <c r="Q21" s="778"/>
      <c r="R21" s="904" t="s">
        <v>720</v>
      </c>
      <c r="S21" s="778"/>
      <c r="T21" s="778"/>
      <c r="U21" s="778"/>
      <c r="V21" s="785"/>
      <c r="W21" s="785"/>
      <c r="X21" s="785"/>
      <c r="Y21" s="778"/>
      <c r="Z21" s="778"/>
      <c r="AA21" s="778"/>
      <c r="AB21" s="778"/>
      <c r="AC21" s="778"/>
      <c r="AD21" s="778"/>
      <c r="AE21" s="778"/>
      <c r="AF21" s="778"/>
      <c r="AG21" s="778"/>
      <c r="AH21" s="805"/>
      <c r="AI21" s="3226"/>
      <c r="AJ21" s="283"/>
      <c r="AK21" s="283"/>
      <c r="AL21" s="283"/>
      <c r="AM21" s="283"/>
      <c r="AN21" s="283"/>
      <c r="AO21" s="283"/>
      <c r="AP21" s="283"/>
      <c r="AQ21" s="283"/>
      <c r="AR21" s="283"/>
      <c r="AS21" s="283"/>
      <c r="AT21" s="3228"/>
      <c r="AU21" s="283"/>
      <c r="AV21" s="283">
        <f t="shared" si="1"/>
        <v>0</v>
      </c>
      <c r="AW21" s="283">
        <f t="shared" si="2"/>
        <v>0</v>
      </c>
      <c r="AX21" s="283">
        <f t="shared" si="3"/>
        <v>0</v>
      </c>
      <c r="AY21" s="283" cm="1">
        <f t="array" ref="AY21">COUNTIFS($D21:$AH21,"9",$D$4:$AH$4,"1")+SUM(COUNTIFS($D21:$AH21,{"8","9"},$D$4:$AH$4,"2"))+COUNTIFS($D21:$AH21,"8",$D$4:$AH$4,"3")</f>
        <v>0</v>
      </c>
      <c r="AZ21" s="283">
        <f t="shared" si="4"/>
        <v>0</v>
      </c>
      <c r="BA21" s="283">
        <f t="shared" si="5"/>
        <v>0</v>
      </c>
      <c r="BB21" s="283">
        <f>AV21*'Spreadsheet Key'!$A$27+AW21*'Spreadsheet Key'!$A$28+AX21*'Spreadsheet Key'!$A$29+AY21*'Spreadsheet Key'!$A$30+AZ21*'Spreadsheet Key'!$A$31</f>
        <v>0</v>
      </c>
      <c r="BC21" s="283"/>
      <c r="BD21" s="283"/>
      <c r="BE21" s="283"/>
      <c r="BF21" s="283"/>
      <c r="BG21" s="283"/>
      <c r="BH21" s="283"/>
    </row>
    <row r="22" spans="1:60" s="3211" customFormat="1">
      <c r="A22" s="3187" t="s">
        <v>77</v>
      </c>
      <c r="B22" s="3187" t="s">
        <v>201</v>
      </c>
      <c r="C22" s="3180" t="str">
        <f t="shared" si="0"/>
        <v>LCDR HUNTLEY</v>
      </c>
      <c r="D22" s="3199">
        <v>0</v>
      </c>
      <c r="E22" s="3198">
        <v>0</v>
      </c>
      <c r="F22" s="3198">
        <v>0</v>
      </c>
      <c r="G22" s="3198">
        <v>0</v>
      </c>
      <c r="H22" s="3198">
        <v>0</v>
      </c>
      <c r="I22" s="3198">
        <v>0</v>
      </c>
      <c r="J22" s="3198">
        <v>0</v>
      </c>
      <c r="K22" s="3198">
        <v>8</v>
      </c>
      <c r="L22" s="3198">
        <v>0</v>
      </c>
      <c r="M22" s="3198">
        <v>0</v>
      </c>
      <c r="N22" s="3198">
        <v>0</v>
      </c>
      <c r="O22" s="3198">
        <v>0</v>
      </c>
      <c r="P22" s="3198">
        <v>0</v>
      </c>
      <c r="Q22" s="3198">
        <v>0</v>
      </c>
      <c r="R22" s="3198">
        <v>8</v>
      </c>
      <c r="S22" s="3198">
        <v>0</v>
      </c>
      <c r="T22" s="3198">
        <v>0</v>
      </c>
      <c r="U22" s="3198">
        <v>0</v>
      </c>
      <c r="V22" s="3198">
        <v>0</v>
      </c>
      <c r="W22" s="3198">
        <v>0</v>
      </c>
      <c r="X22" s="3198">
        <v>0</v>
      </c>
      <c r="Y22" s="3198">
        <v>0</v>
      </c>
      <c r="Z22" s="3198">
        <v>0</v>
      </c>
      <c r="AA22" s="3198">
        <v>0</v>
      </c>
      <c r="AB22" s="3198">
        <v>0</v>
      </c>
      <c r="AC22" s="3198">
        <v>0</v>
      </c>
      <c r="AD22" s="3198">
        <v>0</v>
      </c>
      <c r="AE22" s="3198">
        <v>0</v>
      </c>
      <c r="AF22" s="3198">
        <v>0</v>
      </c>
      <c r="AG22" s="3198">
        <v>0</v>
      </c>
      <c r="AH22" s="3198">
        <v>0</v>
      </c>
      <c r="AI22" s="3226">
        <v>1</v>
      </c>
      <c r="AJ22" s="283" cm="1">
        <f t="array" ref="AJ22">SUM(COUNTIFS($D22:$AH22,{"0","4","5","6","7","8","9"}))</f>
        <v>31</v>
      </c>
      <c r="AK22" s="283" cm="1">
        <f t="array" ref="AK22">SUM(COUNTIFS($D22:$AH22,{"0","4","5","6","7","8","9"},$D$4:$AH$4,"0"))</f>
        <v>15</v>
      </c>
      <c r="AL22" s="283" cm="1">
        <f t="array" ref="AL22">SUM(COUNTIFS($D22:$AH22,{"0","4","5","6","7","8","9"},$D$4:$AH$4,"1"))</f>
        <v>5</v>
      </c>
      <c r="AM22" s="283" cm="1">
        <f t="array" ref="AM22">SUM(COUNTIFS($D22:$AH22,{"0","4","5","6","7","8","9"},$D$4:$AH$4,"2"))</f>
        <v>7</v>
      </c>
      <c r="AN22" s="283" cm="1">
        <f t="array" ref="AN22">SUM(COUNTIFS($D22:$AH22,{"0","4","5","6","7","8","9"},$D$4:$AH$4,"3"))</f>
        <v>4</v>
      </c>
      <c r="AO22" s="283" cm="1">
        <f t="array" ref="AO22">SUM(COUNTIFS($D22:$AH22,{"1","2","3"}))</f>
        <v>0</v>
      </c>
      <c r="AP22" s="283" cm="1">
        <f t="array" ref="AP22">SUM(COUNTIFS($D22:$AH22,{"4","5","6"}))</f>
        <v>0</v>
      </c>
      <c r="AQ22" s="283">
        <f>AK22*'Spreadsheet Key'!$A$23 + AL22*'Spreadsheet Key'!$A$24 + AM22*'Spreadsheet Key'!$A$25 + AN22*'Spreadsheet Key'!$A$26</f>
        <v>1328</v>
      </c>
      <c r="AR22" s="283">
        <f>AJ22/('MAY Statistics'!$B$30)*ABS(AI22-1)</f>
        <v>0</v>
      </c>
      <c r="AS22" s="283">
        <f t="shared" ref="AS22" si="19">AI22*AT22</f>
        <v>28</v>
      </c>
      <c r="AT22" s="3228">
        <f>(AJ22/'MAY Statistics'!$B$6)*'Spreadsheet Key'!$A$32</f>
        <v>28</v>
      </c>
      <c r="AU22" s="283"/>
      <c r="AV22" s="283">
        <f t="shared" si="1"/>
        <v>2</v>
      </c>
      <c r="AW22" s="283">
        <f t="shared" si="2"/>
        <v>0</v>
      </c>
      <c r="AX22" s="283">
        <f t="shared" si="3"/>
        <v>0</v>
      </c>
      <c r="AY22" s="283" cm="1">
        <f t="array" ref="AY22">COUNTIFS($D22:$AH22,"9",$D$4:$AH$4,"1")+SUM(COUNTIFS($D22:$AH22,{"8","9"},$D$4:$AH$4,"2"))+COUNTIFS($D22:$AH22,"8",$D$4:$AH$4,"3")</f>
        <v>0</v>
      </c>
      <c r="AZ22" s="283">
        <f t="shared" si="4"/>
        <v>0</v>
      </c>
      <c r="BA22" s="283">
        <f t="shared" si="5"/>
        <v>2</v>
      </c>
      <c r="BB22" s="283">
        <f>AV22*'Spreadsheet Key'!$A$27+AW22*'Spreadsheet Key'!$A$28+AX22*'Spreadsheet Key'!$A$29+AY22*'Spreadsheet Key'!$A$30+AZ22*'Spreadsheet Key'!$A$31</f>
        <v>20</v>
      </c>
      <c r="BC22" s="283"/>
      <c r="BD22" s="283">
        <f t="shared" ref="BD22" si="20">AT22-BB22</f>
        <v>8</v>
      </c>
      <c r="BE22" s="3210"/>
      <c r="BF22" s="3210"/>
      <c r="BG22" s="3210"/>
      <c r="BH22" s="3210"/>
    </row>
    <row r="23" spans="1:60">
      <c r="A23" s="3212"/>
      <c r="B23" s="3212"/>
      <c r="C23" s="3180" t="str">
        <f t="shared" si="0"/>
        <v xml:space="preserve"> </v>
      </c>
      <c r="D23" s="4333" t="s">
        <v>737</v>
      </c>
      <c r="E23" s="4334"/>
      <c r="F23" s="778"/>
      <c r="G23" s="778"/>
      <c r="H23" s="778"/>
      <c r="I23" s="904" t="s">
        <v>720</v>
      </c>
      <c r="J23" s="904"/>
      <c r="K23" s="778"/>
      <c r="L23" s="904"/>
      <c r="M23" s="3264" t="s">
        <v>1283</v>
      </c>
      <c r="N23" s="3264"/>
      <c r="O23" s="3264"/>
      <c r="P23" s="3264"/>
      <c r="Q23" s="3265"/>
      <c r="R23" s="3264"/>
      <c r="S23" s="3264"/>
      <c r="T23" s="3259"/>
      <c r="U23" s="3260"/>
      <c r="V23" s="2677"/>
      <c r="W23" s="2677"/>
      <c r="X23" s="2677"/>
      <c r="Y23" s="2551"/>
      <c r="Z23" s="6305" t="s">
        <v>1284</v>
      </c>
      <c r="AA23" s="6306"/>
      <c r="AB23" s="6306"/>
      <c r="AC23" s="6307"/>
      <c r="AD23" s="3259"/>
      <c r="AE23" s="3259"/>
      <c r="AF23" s="3259"/>
      <c r="AG23" s="3259"/>
      <c r="AH23" s="3261"/>
      <c r="AI23" s="3226"/>
      <c r="AJ23" s="283"/>
      <c r="AK23" s="283"/>
      <c r="AL23" s="283"/>
      <c r="AM23" s="283"/>
      <c r="AN23" s="283"/>
      <c r="AO23" s="283"/>
      <c r="AP23" s="283"/>
      <c r="AQ23" s="283"/>
      <c r="AR23" s="283"/>
      <c r="AS23" s="283"/>
      <c r="AT23" s="3228"/>
      <c r="AU23" s="283"/>
      <c r="AV23" s="283">
        <f t="shared" si="1"/>
        <v>0</v>
      </c>
      <c r="AW23" s="283">
        <f t="shared" si="2"/>
        <v>0</v>
      </c>
      <c r="AX23" s="283">
        <f t="shared" si="3"/>
        <v>0</v>
      </c>
      <c r="AY23" s="283" cm="1">
        <f t="array" ref="AY23">COUNTIFS($D23:$AH23,"9",$D$4:$AH$4,"1")+SUM(COUNTIFS($D23:$AH23,{"8","9"},$D$4:$AH$4,"2"))+COUNTIFS($D23:$AH23,"8",$D$4:$AH$4,"3")</f>
        <v>0</v>
      </c>
      <c r="AZ23" s="283">
        <f t="shared" si="4"/>
        <v>0</v>
      </c>
      <c r="BA23" s="283">
        <f t="shared" si="5"/>
        <v>0</v>
      </c>
      <c r="BB23" s="283">
        <f>AV23*'Spreadsheet Key'!$A$27+AW23*'Spreadsheet Key'!$A$28+AX23*'Spreadsheet Key'!$A$29+AY23*'Spreadsheet Key'!$A$30+AZ23*'Spreadsheet Key'!$A$31</f>
        <v>0</v>
      </c>
      <c r="BC23" s="283"/>
      <c r="BD23" s="283"/>
      <c r="BE23" s="283"/>
      <c r="BF23" s="283"/>
      <c r="BG23" s="283"/>
      <c r="BH23" s="283"/>
    </row>
    <row r="24" spans="1:60" s="3211" customFormat="1">
      <c r="A24" s="3187" t="s">
        <v>283</v>
      </c>
      <c r="B24" s="3187" t="s">
        <v>610</v>
      </c>
      <c r="C24" s="3180" t="str">
        <f t="shared" si="0"/>
        <v>LCDR  DESPOTA</v>
      </c>
      <c r="D24" s="3199">
        <v>7</v>
      </c>
      <c r="E24" s="3198">
        <v>7</v>
      </c>
      <c r="F24" s="3198">
        <v>0</v>
      </c>
      <c r="G24" s="3198">
        <v>0</v>
      </c>
      <c r="H24" s="3198">
        <v>0</v>
      </c>
      <c r="I24" s="3198">
        <v>8</v>
      </c>
      <c r="J24" s="3198">
        <v>0</v>
      </c>
      <c r="K24" s="3198">
        <v>0</v>
      </c>
      <c r="L24" s="3198">
        <v>0</v>
      </c>
      <c r="M24" s="3198">
        <v>0</v>
      </c>
      <c r="N24" s="3198">
        <v>0</v>
      </c>
      <c r="O24" s="3198">
        <v>0</v>
      </c>
      <c r="P24" s="3198">
        <v>0</v>
      </c>
      <c r="Q24" s="3198">
        <v>0</v>
      </c>
      <c r="R24" s="3198">
        <v>0</v>
      </c>
      <c r="S24" s="3198">
        <v>0</v>
      </c>
      <c r="T24" s="3198">
        <v>2</v>
      </c>
      <c r="U24" s="3198">
        <v>2</v>
      </c>
      <c r="V24" s="3198">
        <v>2</v>
      </c>
      <c r="W24" s="3198">
        <v>2</v>
      </c>
      <c r="X24" s="3198">
        <v>2</v>
      </c>
      <c r="Y24" s="3198">
        <v>2</v>
      </c>
      <c r="Z24" s="3198">
        <v>2</v>
      </c>
      <c r="AA24" s="3198">
        <v>2</v>
      </c>
      <c r="AB24" s="3198">
        <v>2</v>
      </c>
      <c r="AC24" s="3198">
        <v>2</v>
      </c>
      <c r="AD24" s="3198">
        <v>2</v>
      </c>
      <c r="AE24" s="3198">
        <v>2</v>
      </c>
      <c r="AF24" s="3198">
        <v>2</v>
      </c>
      <c r="AG24" s="3198">
        <v>2</v>
      </c>
      <c r="AH24" s="3198">
        <v>2</v>
      </c>
      <c r="AI24" s="3226">
        <v>1</v>
      </c>
      <c r="AJ24" s="283" cm="1">
        <f t="array" ref="AJ24">SUM(COUNTIFS($D24:$AH24,{"0","4","5","6","7","8","9"}))</f>
        <v>16</v>
      </c>
      <c r="AK24" s="283" cm="1">
        <f t="array" ref="AK24">SUM(COUNTIFS($D24:$AH24,{"0","4","5","6","7","8","9"},$D$4:$AH$4,"0"))</f>
        <v>9</v>
      </c>
      <c r="AL24" s="283" cm="1">
        <f t="array" ref="AL24">SUM(COUNTIFS($D24:$AH24,{"0","4","5","6","7","8","9"},$D$4:$AH$4,"1"))</f>
        <v>3</v>
      </c>
      <c r="AM24" s="283" cm="1">
        <f t="array" ref="AM24">SUM(COUNTIFS($D24:$AH24,{"0","4","5","6","7","8","9"},$D$4:$AH$4,"2"))</f>
        <v>2</v>
      </c>
      <c r="AN24" s="283" cm="1">
        <f t="array" ref="AN24">SUM(COUNTIFS($D24:$AH24,{"0","4","5","6","7","8","9"},$D$4:$AH$4,"3"))</f>
        <v>2</v>
      </c>
      <c r="AO24" s="283" cm="1">
        <f t="array" ref="AO24">SUM(COUNTIFS($D24:$AH24,{"1","2","3"}))</f>
        <v>15</v>
      </c>
      <c r="AP24" s="283" cm="1">
        <f t="array" ref="AP24">SUM(COUNTIFS($D24:$AH24,{"4","5","6"}))</f>
        <v>0</v>
      </c>
      <c r="AQ24" s="283">
        <f>AK24*'Spreadsheet Key'!$A$23 + AL24*'Spreadsheet Key'!$A$24 + AM24*'Spreadsheet Key'!$A$25 + AN24*'Spreadsheet Key'!$A$26</f>
        <v>616</v>
      </c>
      <c r="AR24" s="283">
        <f>AJ24/('MAY Statistics'!$B$30)*ABS(AI24-1)</f>
        <v>0</v>
      </c>
      <c r="AS24" s="283">
        <f>AI24*AT24</f>
        <v>14.451612903225806</v>
      </c>
      <c r="AT24" s="3228">
        <f>(AJ24/'MAY Statistics'!$B$6)*'Spreadsheet Key'!$A$32</f>
        <v>14.451612903225806</v>
      </c>
      <c r="AU24" s="283"/>
      <c r="AV24" s="283">
        <f t="shared" si="1"/>
        <v>1</v>
      </c>
      <c r="AW24" s="283">
        <f t="shared" si="2"/>
        <v>0</v>
      </c>
      <c r="AX24" s="283">
        <f t="shared" si="3"/>
        <v>0</v>
      </c>
      <c r="AY24" s="283" cm="1">
        <f t="array" ref="AY24">COUNTIFS($D24:$AH24,"9",$D$4:$AH$4,"1")+SUM(COUNTIFS($D24:$AH24,{"8","9"},$D$4:$AH$4,"2"))+COUNTIFS($D24:$AH24,"8",$D$4:$AH$4,"3")</f>
        <v>0</v>
      </c>
      <c r="AZ24" s="283">
        <f t="shared" si="4"/>
        <v>0</v>
      </c>
      <c r="BA24" s="283">
        <f t="shared" si="5"/>
        <v>1</v>
      </c>
      <c r="BB24" s="283">
        <f>AV24*'Spreadsheet Key'!$A$27+AW24*'Spreadsheet Key'!$A$28+AX24*'Spreadsheet Key'!$A$29+AY24*'Spreadsheet Key'!$A$30+AZ24*'Spreadsheet Key'!$A$31</f>
        <v>10</v>
      </c>
      <c r="BC24" s="283"/>
      <c r="BD24" s="283">
        <f t="shared" ref="BD24" si="21">AT24-BB24</f>
        <v>4.4516129032258061</v>
      </c>
      <c r="BE24" s="3210"/>
      <c r="BF24" s="3210"/>
      <c r="BG24" s="3210"/>
      <c r="BH24" s="3210"/>
    </row>
    <row r="25" spans="1:60">
      <c r="A25" s="3212"/>
      <c r="B25" s="3212"/>
      <c r="C25" s="3180" t="str">
        <f t="shared" si="0"/>
        <v xml:space="preserve"> </v>
      </c>
      <c r="D25" s="904"/>
      <c r="E25" s="904"/>
      <c r="F25" s="904"/>
      <c r="G25" s="904"/>
      <c r="H25" s="904"/>
      <c r="I25" s="904"/>
      <c r="J25" s="904"/>
      <c r="K25" s="904" t="s">
        <v>722</v>
      </c>
      <c r="L25" s="904"/>
      <c r="M25" s="904"/>
      <c r="N25" s="904"/>
      <c r="O25" s="904"/>
      <c r="P25" s="904"/>
      <c r="Q25" s="904"/>
      <c r="R25" s="904"/>
      <c r="S25" s="904"/>
      <c r="T25" s="904" t="s">
        <v>722</v>
      </c>
      <c r="U25" s="904"/>
      <c r="V25" s="904"/>
      <c r="W25" s="904"/>
      <c r="X25" s="904"/>
      <c r="Y25" s="904"/>
      <c r="Z25" s="904"/>
      <c r="AA25" s="904"/>
      <c r="AB25" s="904"/>
      <c r="AC25" s="904"/>
      <c r="AD25" s="904"/>
      <c r="AE25" s="904" t="s">
        <v>720</v>
      </c>
      <c r="AF25" s="904"/>
      <c r="AG25" s="904"/>
      <c r="AH25" s="904"/>
      <c r="AI25" s="3226"/>
      <c r="AJ25" s="283"/>
      <c r="AK25" s="283"/>
      <c r="AL25" s="283"/>
      <c r="AM25" s="283"/>
      <c r="AN25" s="283"/>
      <c r="AO25" s="283"/>
      <c r="AP25" s="283"/>
      <c r="AQ25" s="283"/>
      <c r="AR25" s="283"/>
      <c r="AS25" s="283"/>
      <c r="AT25" s="3228"/>
      <c r="AU25" s="283"/>
      <c r="AV25" s="283">
        <f t="shared" si="1"/>
        <v>0</v>
      </c>
      <c r="AW25" s="283">
        <f t="shared" si="2"/>
        <v>0</v>
      </c>
      <c r="AX25" s="283">
        <f t="shared" si="3"/>
        <v>0</v>
      </c>
      <c r="AY25" s="283" cm="1">
        <f t="array" ref="AY25">COUNTIFS($D25:$AH25,"9",$D$4:$AH$4,"1")+SUM(COUNTIFS($D25:$AH25,{"8","9"},$D$4:$AH$4,"2"))+COUNTIFS($D25:$AH25,"8",$D$4:$AH$4,"3")</f>
        <v>0</v>
      </c>
      <c r="AZ25" s="283">
        <f t="shared" si="4"/>
        <v>0</v>
      </c>
      <c r="BA25" s="283">
        <f t="shared" si="5"/>
        <v>0</v>
      </c>
      <c r="BB25" s="283">
        <f>AV25*'Spreadsheet Key'!$A$27+AW25*'Spreadsheet Key'!$A$28+AX25*'Spreadsheet Key'!$A$29+AY25*'Spreadsheet Key'!$A$30+AZ25*'Spreadsheet Key'!$A$31</f>
        <v>0</v>
      </c>
      <c r="BC25" s="283"/>
      <c r="BD25" s="283"/>
      <c r="BE25" s="283"/>
      <c r="BF25" s="283"/>
      <c r="BG25" s="283"/>
      <c r="BH25" s="283"/>
    </row>
    <row r="26" spans="1:60" s="3211" customFormat="1">
      <c r="A26" s="3187" t="s">
        <v>122</v>
      </c>
      <c r="B26" s="3187" t="s">
        <v>553</v>
      </c>
      <c r="C26" s="3180" t="str">
        <f t="shared" si="0"/>
        <v>ENC TRAN</v>
      </c>
      <c r="D26" s="3199">
        <v>0</v>
      </c>
      <c r="E26" s="3198">
        <v>0</v>
      </c>
      <c r="F26" s="3198">
        <v>0</v>
      </c>
      <c r="G26" s="3198">
        <v>0</v>
      </c>
      <c r="H26" s="3198">
        <v>0</v>
      </c>
      <c r="I26" s="3198">
        <v>0</v>
      </c>
      <c r="J26" s="3198">
        <v>0</v>
      </c>
      <c r="K26" s="3198">
        <v>9</v>
      </c>
      <c r="L26" s="3198">
        <v>0</v>
      </c>
      <c r="M26" s="3198">
        <v>0</v>
      </c>
      <c r="N26" s="3198">
        <v>0</v>
      </c>
      <c r="O26" s="3198">
        <v>0</v>
      </c>
      <c r="P26" s="3198">
        <v>0</v>
      </c>
      <c r="Q26" s="3198">
        <v>0</v>
      </c>
      <c r="R26" s="3198">
        <v>0</v>
      </c>
      <c r="S26" s="3198">
        <v>0</v>
      </c>
      <c r="T26" s="3198">
        <v>9</v>
      </c>
      <c r="U26" s="3198">
        <v>0</v>
      </c>
      <c r="V26" s="3198">
        <v>0</v>
      </c>
      <c r="W26" s="3198">
        <v>0</v>
      </c>
      <c r="X26" s="3198">
        <v>0</v>
      </c>
      <c r="Y26" s="3198">
        <v>0</v>
      </c>
      <c r="Z26" s="3198">
        <v>0</v>
      </c>
      <c r="AA26" s="3198">
        <v>0</v>
      </c>
      <c r="AB26" s="3198">
        <v>0</v>
      </c>
      <c r="AC26" s="3198">
        <v>0</v>
      </c>
      <c r="AD26" s="3198">
        <v>0</v>
      </c>
      <c r="AE26" s="3198">
        <v>8</v>
      </c>
      <c r="AF26" s="3198">
        <v>0</v>
      </c>
      <c r="AG26" s="3198">
        <v>0</v>
      </c>
      <c r="AH26" s="3198">
        <v>0</v>
      </c>
      <c r="AI26" s="3226">
        <v>0</v>
      </c>
      <c r="AJ26" s="283" cm="1">
        <f t="array" ref="AJ26">SUM(COUNTIFS($D26:$AH26,{"0","4","5","6","7","8","9"}))</f>
        <v>31</v>
      </c>
      <c r="AK26" s="283" cm="1">
        <f t="array" ref="AK26">SUM(COUNTIFS($D26:$AH26,{"0","4","5","6","7","8","9"},$D$4:$AH$4,"0"))</f>
        <v>15</v>
      </c>
      <c r="AL26" s="283" cm="1">
        <f t="array" ref="AL26">SUM(COUNTIFS($D26:$AH26,{"0","4","5","6","7","8","9"},$D$4:$AH$4,"1"))</f>
        <v>5</v>
      </c>
      <c r="AM26" s="283" cm="1">
        <f t="array" ref="AM26">SUM(COUNTIFS($D26:$AH26,{"0","4","5","6","7","8","9"},$D$4:$AH$4,"2"))</f>
        <v>7</v>
      </c>
      <c r="AN26" s="283" cm="1">
        <f t="array" ref="AN26">SUM(COUNTIFS($D26:$AH26,{"0","4","5","6","7","8","9"},$D$4:$AH$4,"3"))</f>
        <v>4</v>
      </c>
      <c r="AO26" s="283" cm="1">
        <f t="array" ref="AO26">SUM(COUNTIFS($D26:$AH26,{"1","2","3"}))</f>
        <v>0</v>
      </c>
      <c r="AP26" s="283" cm="1">
        <f t="array" ref="AP26">SUM(COUNTIFS($D26:$AH26,{"4","5","6"}))</f>
        <v>0</v>
      </c>
      <c r="AQ26" s="283">
        <f>AK26*'Spreadsheet Key'!$A$23 + AL26*'Spreadsheet Key'!$A$24 + AM26*'Spreadsheet Key'!$A$25 + AN26*'Spreadsheet Key'!$A$26</f>
        <v>1328</v>
      </c>
      <c r="AR26" s="283">
        <f>AJ26/('MAY Statistics'!$B$30)*ABS(AI26-1)</f>
        <v>5.3819444444444448E-2</v>
      </c>
      <c r="AS26" s="283">
        <f t="shared" ref="AS26" si="22">AI26*AT26</f>
        <v>0</v>
      </c>
      <c r="AT26" s="3228">
        <f>AR26*'MAY Statistics'!$C$11</f>
        <v>66.274340277777782</v>
      </c>
      <c r="AU26" s="283"/>
      <c r="AV26" s="283">
        <f t="shared" si="1"/>
        <v>1</v>
      </c>
      <c r="AW26" s="283">
        <f t="shared" si="2"/>
        <v>1</v>
      </c>
      <c r="AX26" s="283">
        <f t="shared" si="3"/>
        <v>0</v>
      </c>
      <c r="AY26" s="283" cm="1">
        <f t="array" ref="AY26">COUNTIFS($D26:$AH26,"9",$D$4:$AH$4,"1")+SUM(COUNTIFS($D26:$AH26,{"8","9"},$D$4:$AH$4,"2"))+COUNTIFS($D26:$AH26,"8",$D$4:$AH$4,"3")</f>
        <v>1</v>
      </c>
      <c r="AZ26" s="283">
        <f t="shared" si="4"/>
        <v>0</v>
      </c>
      <c r="BA26" s="3378">
        <f t="shared" si="5"/>
        <v>3</v>
      </c>
      <c r="BB26" s="283">
        <f>AV26*'Spreadsheet Key'!$A$27+AW26*'Spreadsheet Key'!$A$28+AX26*'Spreadsheet Key'!$A$29+AY26*'Spreadsheet Key'!$A$30+AZ26*'Spreadsheet Key'!$A$31</f>
        <v>58</v>
      </c>
      <c r="BC26" s="283"/>
      <c r="BD26" s="283">
        <f t="shared" ref="BD26" si="23">AT26-BB26</f>
        <v>8.2743402777777817</v>
      </c>
      <c r="BE26" s="3210"/>
      <c r="BF26" s="3210"/>
      <c r="BG26" s="3210"/>
      <c r="BH26" s="3210"/>
    </row>
    <row r="27" spans="1:60">
      <c r="A27" s="3212"/>
      <c r="B27" s="3181"/>
      <c r="C27" s="3180" t="str">
        <f t="shared" si="0"/>
        <v xml:space="preserve"> </v>
      </c>
      <c r="D27" s="779"/>
      <c r="E27" s="2434"/>
      <c r="F27" s="779"/>
      <c r="G27" s="779"/>
      <c r="H27" s="779"/>
      <c r="I27" s="904" t="s">
        <v>722</v>
      </c>
      <c r="J27" s="2434"/>
      <c r="K27" s="779"/>
      <c r="L27" s="779"/>
      <c r="M27" s="904" t="s">
        <v>720</v>
      </c>
      <c r="N27" s="2437"/>
      <c r="O27" s="779"/>
      <c r="P27" s="779"/>
      <c r="Q27" s="779"/>
      <c r="R27" s="779"/>
      <c r="S27" s="779"/>
      <c r="T27" s="2434"/>
      <c r="U27" s="779"/>
      <c r="V27" s="2434"/>
      <c r="W27" s="779"/>
      <c r="X27" s="3010" t="s">
        <v>1025</v>
      </c>
      <c r="Y27" s="4724" t="s">
        <v>1285</v>
      </c>
      <c r="Z27" s="4725"/>
      <c r="AA27" s="4725"/>
      <c r="AB27" s="4725"/>
      <c r="AC27" s="4725"/>
      <c r="AD27" s="4725"/>
      <c r="AE27" s="4725"/>
      <c r="AF27" s="4725"/>
      <c r="AG27" s="4725"/>
      <c r="AH27" s="6299"/>
      <c r="AI27" s="3226"/>
      <c r="AJ27" s="283"/>
      <c r="AK27" s="283"/>
      <c r="AL27" s="283"/>
      <c r="AM27" s="283"/>
      <c r="AN27" s="283"/>
      <c r="AO27" s="283"/>
      <c r="AP27" s="283"/>
      <c r="AQ27" s="283"/>
      <c r="AR27" s="283"/>
      <c r="AS27" s="283"/>
      <c r="AT27" s="3228"/>
      <c r="AU27" s="283"/>
      <c r="AV27" s="283">
        <f t="shared" si="1"/>
        <v>0</v>
      </c>
      <c r="AW27" s="283">
        <f t="shared" si="2"/>
        <v>0</v>
      </c>
      <c r="AX27" s="283">
        <f t="shared" si="3"/>
        <v>0</v>
      </c>
      <c r="AY27" s="283" cm="1">
        <f t="array" ref="AY27">COUNTIFS($D27:$AH27,"9",$D$4:$AH$4,"1")+SUM(COUNTIFS($D27:$AH27,{"8","9"},$D$4:$AH$4,"2"))+COUNTIFS($D27:$AH27,"8",$D$4:$AH$4,"3")</f>
        <v>0</v>
      </c>
      <c r="AZ27" s="283">
        <f t="shared" si="4"/>
        <v>0</v>
      </c>
      <c r="BA27" s="283">
        <f t="shared" si="5"/>
        <v>0</v>
      </c>
      <c r="BB27" s="283">
        <f>AV27*'Spreadsheet Key'!$A$27+AW27*'Spreadsheet Key'!$A$28+AX27*'Spreadsheet Key'!$A$29+AY27*'Spreadsheet Key'!$A$30+AZ27*'Spreadsheet Key'!$A$31</f>
        <v>0</v>
      </c>
      <c r="BC27" s="283"/>
      <c r="BD27" s="283"/>
      <c r="BE27" s="283"/>
      <c r="BF27" s="283"/>
      <c r="BG27" s="283"/>
      <c r="BH27" s="283"/>
    </row>
    <row r="28" spans="1:60" s="3211" customFormat="1">
      <c r="A28" s="3187" t="s">
        <v>293</v>
      </c>
      <c r="B28" s="3187" t="s">
        <v>733</v>
      </c>
      <c r="C28" s="3180" t="str">
        <f t="shared" si="0"/>
        <v>EMC DAVES</v>
      </c>
      <c r="D28" s="3199">
        <v>0</v>
      </c>
      <c r="E28" s="3198">
        <v>0</v>
      </c>
      <c r="F28" s="3198">
        <v>0</v>
      </c>
      <c r="G28" s="3198">
        <v>0</v>
      </c>
      <c r="H28" s="3198">
        <v>0</v>
      </c>
      <c r="I28" s="3198">
        <v>9</v>
      </c>
      <c r="J28" s="3198">
        <v>0</v>
      </c>
      <c r="K28" s="3198">
        <v>0</v>
      </c>
      <c r="L28" s="3198">
        <v>0</v>
      </c>
      <c r="M28" s="3198">
        <v>8</v>
      </c>
      <c r="N28" s="3198">
        <v>0</v>
      </c>
      <c r="O28" s="3198">
        <v>0</v>
      </c>
      <c r="P28" s="3198">
        <v>0</v>
      </c>
      <c r="Q28" s="3198">
        <v>0</v>
      </c>
      <c r="R28" s="3198">
        <v>0</v>
      </c>
      <c r="S28" s="3198">
        <v>0</v>
      </c>
      <c r="T28" s="3198">
        <v>0</v>
      </c>
      <c r="U28" s="3198">
        <v>0</v>
      </c>
      <c r="V28" s="3198">
        <v>0</v>
      </c>
      <c r="W28" s="3198">
        <v>0</v>
      </c>
      <c r="X28" s="3198">
        <v>1</v>
      </c>
      <c r="Y28" s="3198">
        <v>2</v>
      </c>
      <c r="Z28" s="3198">
        <v>2</v>
      </c>
      <c r="AA28" s="3198">
        <v>2</v>
      </c>
      <c r="AB28" s="3198">
        <v>2</v>
      </c>
      <c r="AC28" s="3198">
        <v>2</v>
      </c>
      <c r="AD28" s="3198">
        <v>2</v>
      </c>
      <c r="AE28" s="3198">
        <v>2</v>
      </c>
      <c r="AF28" s="3198">
        <v>2</v>
      </c>
      <c r="AG28" s="3198">
        <v>2</v>
      </c>
      <c r="AH28" s="3198">
        <v>2</v>
      </c>
      <c r="AI28" s="3226">
        <v>0</v>
      </c>
      <c r="AJ28" s="283" cm="1">
        <f t="array" ref="AJ28">SUM(COUNTIFS($D28:$AH28,{"0","4","5","6","7","8","9"}))</f>
        <v>20</v>
      </c>
      <c r="AK28" s="283" cm="1">
        <f t="array" ref="AK28">SUM(COUNTIFS($D28:$AH28,{"0","4","5","6","7","8","9"},$D$4:$AH$4,"0"))</f>
        <v>11</v>
      </c>
      <c r="AL28" s="283" cm="1">
        <f t="array" ref="AL28">SUM(COUNTIFS($D28:$AH28,{"0","4","5","6","7","8","9"},$D$4:$AH$4,"1"))</f>
        <v>3</v>
      </c>
      <c r="AM28" s="283" cm="1">
        <f t="array" ref="AM28">SUM(COUNTIFS($D28:$AH28,{"0","4","5","6","7","8","9"},$D$4:$AH$4,"2"))</f>
        <v>3</v>
      </c>
      <c r="AN28" s="283" cm="1">
        <f t="array" ref="AN28">SUM(COUNTIFS($D28:$AH28,{"0","4","5","6","7","8","9"},$D$4:$AH$4,"3"))</f>
        <v>3</v>
      </c>
      <c r="AO28" s="283" cm="1">
        <f t="array" ref="AO28">SUM(COUNTIFS($D28:$AH28,{"1","2","3"}))</f>
        <v>11</v>
      </c>
      <c r="AP28" s="283" cm="1">
        <f t="array" ref="AP28">SUM(COUNTIFS($D28:$AH28,{"4","5","6"}))</f>
        <v>0</v>
      </c>
      <c r="AQ28" s="283">
        <f>AK28*'Spreadsheet Key'!$A$23 + AL28*'Spreadsheet Key'!$A$24 + AM28*'Spreadsheet Key'!$A$25 + AN28*'Spreadsheet Key'!$A$26</f>
        <v>788</v>
      </c>
      <c r="AR28" s="283">
        <f>AJ28/('MAY Statistics'!$B$30)*ABS(AI28-1)</f>
        <v>3.4722222222222224E-2</v>
      </c>
      <c r="AS28" s="283">
        <f t="shared" ref="AS28" si="24">AI28*AT28</f>
        <v>0</v>
      </c>
      <c r="AT28" s="3228">
        <f>AR28*'MAY Statistics'!$C$11</f>
        <v>42.757638888888891</v>
      </c>
      <c r="AU28" s="283"/>
      <c r="AV28" s="283">
        <f t="shared" si="1"/>
        <v>0</v>
      </c>
      <c r="AW28" s="283">
        <f t="shared" si="2"/>
        <v>1</v>
      </c>
      <c r="AX28" s="283">
        <f t="shared" si="3"/>
        <v>0</v>
      </c>
      <c r="AY28" s="283" cm="1">
        <f t="array" ref="AY28">COUNTIFS($D28:$AH28,"9",$D$4:$AH$4,"1")+SUM(COUNTIFS($D28:$AH28,{"8","9"},$D$4:$AH$4,"2"))+COUNTIFS($D28:$AH28,"8",$D$4:$AH$4,"3")</f>
        <v>1</v>
      </c>
      <c r="AZ28" s="283">
        <f t="shared" si="4"/>
        <v>0</v>
      </c>
      <c r="BA28" s="283">
        <f t="shared" si="5"/>
        <v>2</v>
      </c>
      <c r="BB28" s="283">
        <f>AV28*'Spreadsheet Key'!$A$27+AW28*'Spreadsheet Key'!$A$28+AX28*'Spreadsheet Key'!$A$29+AY28*'Spreadsheet Key'!$A$30+AZ28*'Spreadsheet Key'!$A$31</f>
        <v>48</v>
      </c>
      <c r="BC28" s="283"/>
      <c r="BD28" s="283">
        <f t="shared" ref="BD28" si="25">AT28-BB28</f>
        <v>-5.2423611111111086</v>
      </c>
      <c r="BE28" s="3210"/>
      <c r="BF28" s="3210"/>
      <c r="BG28" s="3210"/>
      <c r="BH28" s="3210"/>
    </row>
    <row r="29" spans="1:60">
      <c r="A29" s="3212"/>
      <c r="B29" s="3212"/>
      <c r="C29" s="3180" t="str">
        <f t="shared" si="0"/>
        <v xml:space="preserve"> </v>
      </c>
      <c r="D29" s="779"/>
      <c r="E29" s="779"/>
      <c r="F29" s="1642" t="s">
        <v>720</v>
      </c>
      <c r="G29" s="2434"/>
      <c r="H29" s="779"/>
      <c r="I29" s="904"/>
      <c r="J29" s="2437"/>
      <c r="K29" s="2437"/>
      <c r="L29" s="904" t="s">
        <v>722</v>
      </c>
      <c r="M29" s="904"/>
      <c r="N29" s="2434"/>
      <c r="O29" s="779"/>
      <c r="P29" s="779"/>
      <c r="Q29" s="779"/>
      <c r="R29" s="779"/>
      <c r="S29" s="904" t="s">
        <v>722</v>
      </c>
      <c r="T29" s="2434"/>
      <c r="U29" s="779"/>
      <c r="V29" s="779"/>
      <c r="W29" s="779"/>
      <c r="X29" s="779"/>
      <c r="Y29" s="779"/>
      <c r="Z29" s="779"/>
      <c r="AA29" s="779"/>
      <c r="AB29" s="779"/>
      <c r="AC29" s="779"/>
      <c r="AD29" s="904"/>
      <c r="AE29" s="779"/>
      <c r="AF29" s="779"/>
      <c r="AG29" s="779"/>
      <c r="AH29" s="804"/>
      <c r="AI29" s="3226"/>
      <c r="AJ29" s="283"/>
      <c r="AK29" s="283"/>
      <c r="AL29" s="283"/>
      <c r="AM29" s="283"/>
      <c r="AN29" s="283"/>
      <c r="AO29" s="283"/>
      <c r="AP29" s="283"/>
      <c r="AQ29" s="283"/>
      <c r="AR29" s="283"/>
      <c r="AS29" s="283"/>
      <c r="AT29" s="3228"/>
      <c r="AU29" s="283"/>
      <c r="AV29" s="283">
        <f t="shared" si="1"/>
        <v>0</v>
      </c>
      <c r="AW29" s="283">
        <f t="shared" si="2"/>
        <v>0</v>
      </c>
      <c r="AX29" s="283">
        <f t="shared" si="3"/>
        <v>0</v>
      </c>
      <c r="AY29" s="283" cm="1">
        <f t="array" ref="AY29">COUNTIFS($D29:$AH29,"9",$D$4:$AH$4,"1")+SUM(COUNTIFS($D29:$AH29,{"8","9"},$D$4:$AH$4,"2"))+COUNTIFS($D29:$AH29,"8",$D$4:$AH$4,"3")</f>
        <v>0</v>
      </c>
      <c r="AZ29" s="283">
        <f t="shared" si="4"/>
        <v>0</v>
      </c>
      <c r="BA29" s="283">
        <f t="shared" si="5"/>
        <v>0</v>
      </c>
      <c r="BB29" s="283">
        <f>AV29*'Spreadsheet Key'!$A$27+AW29*'Spreadsheet Key'!$A$28+AX29*'Spreadsheet Key'!$A$29+AY29*'Spreadsheet Key'!$A$30+AZ29*'Spreadsheet Key'!$A$31</f>
        <v>0</v>
      </c>
      <c r="BC29" s="283"/>
      <c r="BD29" s="283"/>
      <c r="BE29" s="283"/>
      <c r="BF29" s="283"/>
      <c r="BG29" s="283"/>
      <c r="BH29" s="283"/>
    </row>
    <row r="30" spans="1:60" s="3211" customFormat="1">
      <c r="A30" s="3187" t="s">
        <v>692</v>
      </c>
      <c r="B30" s="3187" t="s">
        <v>693</v>
      </c>
      <c r="C30" s="3180" t="str">
        <f t="shared" si="0"/>
        <v>GSMC MCKEOWN</v>
      </c>
      <c r="D30" s="3199">
        <v>0</v>
      </c>
      <c r="E30" s="3198">
        <v>0</v>
      </c>
      <c r="F30" s="3198">
        <v>8</v>
      </c>
      <c r="G30" s="3198">
        <v>0</v>
      </c>
      <c r="H30" s="3198">
        <v>0</v>
      </c>
      <c r="I30" s="3198">
        <v>0</v>
      </c>
      <c r="J30" s="3198">
        <v>0</v>
      </c>
      <c r="K30" s="3198">
        <v>0</v>
      </c>
      <c r="L30" s="3198">
        <v>9</v>
      </c>
      <c r="M30" s="3198">
        <v>0</v>
      </c>
      <c r="N30" s="3198">
        <v>0</v>
      </c>
      <c r="O30" s="3198">
        <v>0</v>
      </c>
      <c r="P30" s="3198">
        <v>0</v>
      </c>
      <c r="Q30" s="3198">
        <v>0</v>
      </c>
      <c r="R30" s="3198">
        <v>0</v>
      </c>
      <c r="S30" s="3198">
        <v>9</v>
      </c>
      <c r="T30" s="3198">
        <v>0</v>
      </c>
      <c r="U30" s="3198">
        <v>0</v>
      </c>
      <c r="V30" s="3198">
        <v>0</v>
      </c>
      <c r="W30" s="3198">
        <v>0</v>
      </c>
      <c r="X30" s="3198">
        <v>0</v>
      </c>
      <c r="Y30" s="3198">
        <v>0</v>
      </c>
      <c r="Z30" s="3198">
        <v>0</v>
      </c>
      <c r="AA30" s="3198">
        <v>0</v>
      </c>
      <c r="AB30" s="3198">
        <v>0</v>
      </c>
      <c r="AC30" s="3198">
        <v>0</v>
      </c>
      <c r="AD30" s="3198">
        <v>0</v>
      </c>
      <c r="AE30" s="3198">
        <v>0</v>
      </c>
      <c r="AF30" s="3198">
        <v>0</v>
      </c>
      <c r="AG30" s="3198">
        <v>0</v>
      </c>
      <c r="AH30" s="3198">
        <v>0</v>
      </c>
      <c r="AI30" s="3226">
        <v>0</v>
      </c>
      <c r="AJ30" s="283" cm="1">
        <f t="array" ref="AJ30">SUM(COUNTIFS($D30:$AH30,{"0","4","5","6","7","8","9"}))</f>
        <v>31</v>
      </c>
      <c r="AK30" s="283" cm="1">
        <f t="array" ref="AK30">SUM(COUNTIFS($D30:$AH30,{"0","4","5","6","7","8","9"},$D$4:$AH$4,"0"))</f>
        <v>15</v>
      </c>
      <c r="AL30" s="283" cm="1">
        <f t="array" ref="AL30">SUM(COUNTIFS($D30:$AH30,{"0","4","5","6","7","8","9"},$D$4:$AH$4,"1"))</f>
        <v>5</v>
      </c>
      <c r="AM30" s="283" cm="1">
        <f t="array" ref="AM30">SUM(COUNTIFS($D30:$AH30,{"0","4","5","6","7","8","9"},$D$4:$AH$4,"2"))</f>
        <v>7</v>
      </c>
      <c r="AN30" s="283" cm="1">
        <f t="array" ref="AN30">SUM(COUNTIFS($D30:$AH30,{"0","4","5","6","7","8","9"},$D$4:$AH$4,"3"))</f>
        <v>4</v>
      </c>
      <c r="AO30" s="283" cm="1">
        <f t="array" ref="AO30">SUM(COUNTIFS($D30:$AH30,{"1","2","3"}))</f>
        <v>0</v>
      </c>
      <c r="AP30" s="283" cm="1">
        <f t="array" ref="AP30">SUM(COUNTIFS($D30:$AH30,{"4","5","6"}))</f>
        <v>0</v>
      </c>
      <c r="AQ30" s="283">
        <f>AK30*'Spreadsheet Key'!$A$23 + AL30*'Spreadsheet Key'!$A$24 + AM30*'Spreadsheet Key'!$A$25 + AN30*'Spreadsheet Key'!$A$26</f>
        <v>1328</v>
      </c>
      <c r="AR30" s="283">
        <f>AJ30/('MAY Statistics'!$B$30)*ABS(AI30-1)</f>
        <v>5.3819444444444448E-2</v>
      </c>
      <c r="AS30" s="283">
        <f t="shared" ref="AS30" si="26">AI30*AT30</f>
        <v>0</v>
      </c>
      <c r="AT30" s="3228">
        <f>AR30*'MAY Statistics'!$C$11</f>
        <v>66.274340277777782</v>
      </c>
      <c r="AU30" s="283"/>
      <c r="AV30" s="283">
        <f t="shared" si="1"/>
        <v>0</v>
      </c>
      <c r="AW30" s="283">
        <f t="shared" si="2"/>
        <v>0</v>
      </c>
      <c r="AX30" s="283">
        <f t="shared" si="3"/>
        <v>0</v>
      </c>
      <c r="AY30" s="283" cm="1">
        <f t="array" ref="AY30">COUNTIFS($D30:$AH30,"9",$D$4:$AH$4,"1")+SUM(COUNTIFS($D30:$AH30,{"8","9"},$D$4:$AH$4,"2"))+COUNTIFS($D30:$AH30,"8",$D$4:$AH$4,"3")</f>
        <v>3</v>
      </c>
      <c r="AZ30" s="283">
        <f t="shared" si="4"/>
        <v>0</v>
      </c>
      <c r="BA30" s="3378">
        <f t="shared" si="5"/>
        <v>3</v>
      </c>
      <c r="BB30" s="283">
        <f>AV30*'Spreadsheet Key'!$A$27+AW30*'Spreadsheet Key'!$A$28+AX30*'Spreadsheet Key'!$A$29+AY30*'Spreadsheet Key'!$A$30+AZ30*'Spreadsheet Key'!$A$31</f>
        <v>108</v>
      </c>
      <c r="BC30" s="283"/>
      <c r="BD30" s="283">
        <f t="shared" ref="BD30" si="27">AT30-BB30</f>
        <v>-41.725659722222218</v>
      </c>
      <c r="BE30" s="3210"/>
      <c r="BF30" s="3210"/>
      <c r="BG30" s="3210"/>
      <c r="BH30" s="3210"/>
    </row>
    <row r="31" spans="1:60">
      <c r="A31" s="3212"/>
      <c r="B31" s="3212"/>
      <c r="C31" s="3180" t="str">
        <f t="shared" si="0"/>
        <v xml:space="preserve"> </v>
      </c>
      <c r="D31" s="779"/>
      <c r="E31" s="779"/>
      <c r="F31" s="779"/>
      <c r="G31" s="2434"/>
      <c r="H31" s="904" t="s">
        <v>722</v>
      </c>
      <c r="I31" s="779"/>
      <c r="J31" s="779"/>
      <c r="K31" s="779"/>
      <c r="L31" s="779"/>
      <c r="M31" s="2437"/>
      <c r="N31" s="904" t="s">
        <v>720</v>
      </c>
      <c r="O31" s="2434"/>
      <c r="P31" s="2434"/>
      <c r="Q31" s="2434"/>
      <c r="R31" s="904" t="s">
        <v>722</v>
      </c>
      <c r="T31" s="779"/>
      <c r="U31" s="2434"/>
      <c r="V31" s="779"/>
      <c r="W31" s="779"/>
      <c r="X31" s="3010" t="s">
        <v>1025</v>
      </c>
      <c r="Y31" s="4724" t="s">
        <v>1285</v>
      </c>
      <c r="Z31" s="4725"/>
      <c r="AA31" s="4725"/>
      <c r="AB31" s="4725"/>
      <c r="AC31" s="4725"/>
      <c r="AD31" s="4725"/>
      <c r="AE31" s="4725"/>
      <c r="AF31" s="4725"/>
      <c r="AG31" s="4725"/>
      <c r="AH31" s="6299"/>
      <c r="AI31" s="3226"/>
      <c r="AJ31" s="283"/>
      <c r="AK31" s="283"/>
      <c r="AL31" s="283"/>
      <c r="AM31" s="283"/>
      <c r="AN31" s="283"/>
      <c r="AO31" s="283"/>
      <c r="AP31" s="283"/>
      <c r="AQ31" s="283"/>
      <c r="AR31" s="283"/>
      <c r="AS31" s="283"/>
      <c r="AT31" s="3228"/>
      <c r="AU31" s="283"/>
      <c r="AV31" s="283">
        <f t="shared" si="1"/>
        <v>0</v>
      </c>
      <c r="AW31" s="283">
        <f t="shared" si="2"/>
        <v>0</v>
      </c>
      <c r="AX31" s="283">
        <f t="shared" si="3"/>
        <v>0</v>
      </c>
      <c r="AY31" s="283" cm="1">
        <f t="array" ref="AY31">COUNTIFS($D31:$AH31,"9",$D$4:$AH$4,"1")+SUM(COUNTIFS($D31:$AH31,{"8","9"},$D$4:$AH$4,"2"))+COUNTIFS($D31:$AH31,"8",$D$4:$AH$4,"3")</f>
        <v>0</v>
      </c>
      <c r="AZ31" s="283">
        <f t="shared" si="4"/>
        <v>0</v>
      </c>
      <c r="BA31" s="283">
        <f t="shared" si="5"/>
        <v>0</v>
      </c>
      <c r="BB31" s="283">
        <f>AV31*'Spreadsheet Key'!$A$27+AW31*'Spreadsheet Key'!$A$28+AX31*'Spreadsheet Key'!$A$29+AY31*'Spreadsheet Key'!$A$30+AZ31*'Spreadsheet Key'!$A$31</f>
        <v>0</v>
      </c>
      <c r="BC31" s="283"/>
      <c r="BD31" s="283"/>
      <c r="BE31" s="283"/>
      <c r="BF31" s="283"/>
      <c r="BG31" s="283"/>
      <c r="BH31" s="283"/>
    </row>
    <row r="32" spans="1:60" s="3211" customFormat="1">
      <c r="A32" s="3187" t="s">
        <v>127</v>
      </c>
      <c r="B32" s="3187" t="s">
        <v>657</v>
      </c>
      <c r="C32" s="3180" t="str">
        <f t="shared" si="0"/>
        <v>ETC PEARSON</v>
      </c>
      <c r="D32" s="3199">
        <v>0</v>
      </c>
      <c r="E32" s="3198">
        <v>0</v>
      </c>
      <c r="F32" s="3198">
        <v>0</v>
      </c>
      <c r="G32" s="3198">
        <v>0</v>
      </c>
      <c r="H32" s="3198">
        <v>9</v>
      </c>
      <c r="I32" s="3198">
        <v>0</v>
      </c>
      <c r="J32" s="3198">
        <v>0</v>
      </c>
      <c r="K32" s="3198">
        <v>0</v>
      </c>
      <c r="L32" s="3198">
        <v>0</v>
      </c>
      <c r="M32" s="3198">
        <v>0</v>
      </c>
      <c r="N32" s="3198">
        <v>8</v>
      </c>
      <c r="O32" s="3198">
        <v>0</v>
      </c>
      <c r="P32" s="3198">
        <v>0</v>
      </c>
      <c r="Q32" s="3198">
        <v>0</v>
      </c>
      <c r="R32" s="3198">
        <v>9</v>
      </c>
      <c r="S32" s="3198">
        <v>0</v>
      </c>
      <c r="T32" s="3198">
        <v>0</v>
      </c>
      <c r="U32" s="3198">
        <v>0</v>
      </c>
      <c r="V32" s="3198">
        <v>0</v>
      </c>
      <c r="W32" s="3198">
        <v>0</v>
      </c>
      <c r="X32" s="3198">
        <v>1</v>
      </c>
      <c r="Y32" s="3198">
        <v>2</v>
      </c>
      <c r="Z32" s="3198">
        <v>2</v>
      </c>
      <c r="AA32" s="3198">
        <v>2</v>
      </c>
      <c r="AB32" s="3198">
        <v>2</v>
      </c>
      <c r="AC32" s="3198">
        <v>2</v>
      </c>
      <c r="AD32" s="3198">
        <v>2</v>
      </c>
      <c r="AE32" s="3198">
        <v>2</v>
      </c>
      <c r="AF32" s="3198">
        <v>2</v>
      </c>
      <c r="AG32" s="3198">
        <v>2</v>
      </c>
      <c r="AH32" s="3198">
        <v>2</v>
      </c>
      <c r="AI32" s="3226">
        <v>0</v>
      </c>
      <c r="AJ32" s="283" cm="1">
        <f t="array" ref="AJ32">SUM(COUNTIFS($D32:$AH32,{"0","4","5","6","7","8","9"}))</f>
        <v>20</v>
      </c>
      <c r="AK32" s="283" cm="1">
        <f t="array" ref="AK32">SUM(COUNTIFS($D32:$AH32,{"0","4","5","6","7","8","9"},$D$4:$AH$4,"0"))</f>
        <v>11</v>
      </c>
      <c r="AL32" s="283" cm="1">
        <f t="array" ref="AL32">SUM(COUNTIFS($D32:$AH32,{"0","4","5","6","7","8","9"},$D$4:$AH$4,"1"))</f>
        <v>3</v>
      </c>
      <c r="AM32" s="283" cm="1">
        <f t="array" ref="AM32">SUM(COUNTIFS($D32:$AH32,{"0","4","5","6","7","8","9"},$D$4:$AH$4,"2"))</f>
        <v>3</v>
      </c>
      <c r="AN32" s="283" cm="1">
        <f t="array" ref="AN32">SUM(COUNTIFS($D32:$AH32,{"0","4","5","6","7","8","9"},$D$4:$AH$4,"3"))</f>
        <v>3</v>
      </c>
      <c r="AO32" s="283" cm="1">
        <f t="array" ref="AO32">SUM(COUNTIFS($D32:$AH32,{"1","2","3"}))</f>
        <v>11</v>
      </c>
      <c r="AP32" s="283" cm="1">
        <f t="array" ref="AP32">SUM(COUNTIFS($D32:$AH32,{"4","5","6"}))</f>
        <v>0</v>
      </c>
      <c r="AQ32" s="283">
        <f>AK32*'Spreadsheet Key'!$A$23 + AL32*'Spreadsheet Key'!$A$24 + AM32*'Spreadsheet Key'!$A$25 + AN32*'Spreadsheet Key'!$A$26</f>
        <v>788</v>
      </c>
      <c r="AR32" s="283">
        <f>AJ32/('MAY Statistics'!$B$30)*ABS(AI32-1)</f>
        <v>3.4722222222222224E-2</v>
      </c>
      <c r="AS32" s="283">
        <f t="shared" ref="AS32" si="28">AI32*AT32</f>
        <v>0</v>
      </c>
      <c r="AT32" s="3228">
        <f>AR32*'MAY Statistics'!$C$11</f>
        <v>42.757638888888891</v>
      </c>
      <c r="AU32" s="283"/>
      <c r="AV32" s="283">
        <f t="shared" si="1"/>
        <v>0</v>
      </c>
      <c r="AW32" s="283">
        <f t="shared" si="2"/>
        <v>2</v>
      </c>
      <c r="AX32" s="283">
        <f t="shared" si="3"/>
        <v>0</v>
      </c>
      <c r="AY32" s="283" cm="1">
        <f t="array" ref="AY32">COUNTIFS($D32:$AH32,"9",$D$4:$AH$4,"1")+SUM(COUNTIFS($D32:$AH32,{"8","9"},$D$4:$AH$4,"2"))+COUNTIFS($D32:$AH32,"8",$D$4:$AH$4,"3")</f>
        <v>1</v>
      </c>
      <c r="AZ32" s="283">
        <f t="shared" si="4"/>
        <v>0</v>
      </c>
      <c r="BA32" s="3378">
        <f t="shared" si="5"/>
        <v>3</v>
      </c>
      <c r="BB32" s="283">
        <f>AV32*'Spreadsheet Key'!$A$27+AW32*'Spreadsheet Key'!$A$28+AX32*'Spreadsheet Key'!$A$29+AY32*'Spreadsheet Key'!$A$30+AZ32*'Spreadsheet Key'!$A$31</f>
        <v>60</v>
      </c>
      <c r="BC32" s="283"/>
      <c r="BD32" s="283">
        <f t="shared" ref="BD32" si="29">AT32-BB32</f>
        <v>-17.242361111111109</v>
      </c>
      <c r="BE32" s="3210"/>
      <c r="BF32" s="3210"/>
      <c r="BG32" s="3210"/>
      <c r="BH32" s="3210"/>
    </row>
    <row r="33" spans="1:60">
      <c r="A33" s="3212"/>
      <c r="B33" s="3212"/>
      <c r="C33" s="3180" t="str">
        <f t="shared" si="0"/>
        <v xml:space="preserve"> </v>
      </c>
      <c r="D33" s="1387" t="s">
        <v>1286</v>
      </c>
      <c r="E33" s="779"/>
      <c r="F33" s="779"/>
      <c r="G33" s="779"/>
      <c r="H33" s="779"/>
      <c r="I33" s="2437"/>
      <c r="J33" s="904" t="s">
        <v>722</v>
      </c>
      <c r="K33" s="2434"/>
      <c r="L33" s="2434"/>
      <c r="M33" s="2434"/>
      <c r="N33" s="904" t="s">
        <v>722</v>
      </c>
      <c r="O33" s="779"/>
      <c r="P33" s="779"/>
      <c r="Q33" s="779"/>
      <c r="R33" s="779"/>
      <c r="S33" s="779"/>
      <c r="T33" s="779"/>
      <c r="U33" s="779"/>
      <c r="V33" s="779"/>
      <c r="W33" s="779"/>
      <c r="Y33" s="779"/>
      <c r="Z33" s="779"/>
      <c r="AA33" s="779"/>
      <c r="AB33" s="3221"/>
      <c r="AC33" s="779"/>
      <c r="AD33" s="2434"/>
      <c r="AE33" s="779"/>
      <c r="AF33" s="779"/>
      <c r="AG33" s="779"/>
      <c r="AH33" s="904" t="s">
        <v>722</v>
      </c>
      <c r="AI33" s="3226"/>
      <c r="AJ33" s="283"/>
      <c r="AK33" s="283"/>
      <c r="AL33" s="283"/>
      <c r="AM33" s="283"/>
      <c r="AN33" s="283"/>
      <c r="AO33" s="283"/>
      <c r="AP33" s="283"/>
      <c r="AQ33" s="283"/>
      <c r="AR33" s="283"/>
      <c r="AS33" s="283"/>
      <c r="AT33" s="3228"/>
      <c r="AU33" s="283"/>
      <c r="AV33" s="283">
        <f t="shared" si="1"/>
        <v>0</v>
      </c>
      <c r="AW33" s="283">
        <f t="shared" si="2"/>
        <v>0</v>
      </c>
      <c r="AX33" s="283">
        <f t="shared" si="3"/>
        <v>0</v>
      </c>
      <c r="AY33" s="283" cm="1">
        <f t="array" ref="AY33">COUNTIFS($D33:$AH33,"9",$D$4:$AH$4,"1")+SUM(COUNTIFS($D33:$AH33,{"8","9"},$D$4:$AH$4,"2"))+COUNTIFS($D33:$AH33,"8",$D$4:$AH$4,"3")</f>
        <v>0</v>
      </c>
      <c r="AZ33" s="283">
        <f t="shared" si="4"/>
        <v>0</v>
      </c>
      <c r="BA33" s="283">
        <f t="shared" si="5"/>
        <v>0</v>
      </c>
      <c r="BB33" s="283">
        <f>AV33*'Spreadsheet Key'!$A$27+AW33*'Spreadsheet Key'!$A$28+AX33*'Spreadsheet Key'!$A$29+AY33*'Spreadsheet Key'!$A$30+AZ33*'Spreadsheet Key'!$A$31</f>
        <v>0</v>
      </c>
      <c r="BC33" s="283"/>
      <c r="BD33" s="283"/>
      <c r="BE33" s="3139"/>
      <c r="BF33" s="3139"/>
      <c r="BG33" s="3139"/>
      <c r="BH33" s="3139"/>
    </row>
    <row r="34" spans="1:60" s="3211" customFormat="1">
      <c r="A34" s="3187" t="s">
        <v>155</v>
      </c>
      <c r="B34" s="3187" t="s">
        <v>135</v>
      </c>
      <c r="C34" s="3180" t="str">
        <f t="shared" si="0"/>
        <v>GMC OGLE</v>
      </c>
      <c r="D34" s="3199">
        <v>3</v>
      </c>
      <c r="E34" s="3198">
        <v>0</v>
      </c>
      <c r="F34" s="3198">
        <v>0</v>
      </c>
      <c r="G34" s="3198">
        <v>0</v>
      </c>
      <c r="H34" s="3198">
        <v>0</v>
      </c>
      <c r="I34" s="3198">
        <v>0</v>
      </c>
      <c r="J34" s="3198">
        <v>9</v>
      </c>
      <c r="K34" s="3198">
        <v>0</v>
      </c>
      <c r="L34" s="3198">
        <v>0</v>
      </c>
      <c r="M34" s="3198">
        <v>0</v>
      </c>
      <c r="N34" s="3198">
        <v>9</v>
      </c>
      <c r="O34" s="3198">
        <v>0</v>
      </c>
      <c r="P34" s="3198">
        <v>0</v>
      </c>
      <c r="Q34" s="3198">
        <v>0</v>
      </c>
      <c r="R34" s="3198">
        <v>0</v>
      </c>
      <c r="S34" s="3198">
        <v>0</v>
      </c>
      <c r="T34" s="3198">
        <v>0</v>
      </c>
      <c r="U34" s="3198">
        <v>0</v>
      </c>
      <c r="V34" s="3198">
        <v>0</v>
      </c>
      <c r="W34" s="3198">
        <v>0</v>
      </c>
      <c r="X34" s="3198">
        <v>0</v>
      </c>
      <c r="Y34" s="3198">
        <v>0</v>
      </c>
      <c r="Z34" s="3198">
        <v>0</v>
      </c>
      <c r="AA34" s="3198">
        <v>0</v>
      </c>
      <c r="AB34" s="3198">
        <v>0</v>
      </c>
      <c r="AC34" s="3198">
        <v>0</v>
      </c>
      <c r="AD34" s="3198">
        <v>0</v>
      </c>
      <c r="AE34" s="3198">
        <v>0</v>
      </c>
      <c r="AF34" s="3198">
        <v>0</v>
      </c>
      <c r="AG34" s="3198">
        <v>0</v>
      </c>
      <c r="AH34" s="3198">
        <v>9</v>
      </c>
      <c r="AI34" s="3226">
        <v>0</v>
      </c>
      <c r="AJ34" s="283" cm="1">
        <f t="array" ref="AJ34">SUM(COUNTIFS($D34:$AH34,{"0","4","5","6","7","8","9"}))</f>
        <v>30</v>
      </c>
      <c r="AK34" s="283" cm="1">
        <f t="array" ref="AK34">SUM(COUNTIFS($D34:$AH34,{"0","4","5","6","7","8","9"},$D$4:$AH$4,"0"))</f>
        <v>14</v>
      </c>
      <c r="AL34" s="283" cm="1">
        <f t="array" ref="AL34">SUM(COUNTIFS($D34:$AH34,{"0","4","5","6","7","8","9"},$D$4:$AH$4,"1"))</f>
        <v>5</v>
      </c>
      <c r="AM34" s="283" cm="1">
        <f t="array" ref="AM34">SUM(COUNTIFS($D34:$AH34,{"0","4","5","6","7","8","9"},$D$4:$AH$4,"2"))</f>
        <v>7</v>
      </c>
      <c r="AN34" s="283" cm="1">
        <f t="array" ref="AN34">SUM(COUNTIFS($D34:$AH34,{"0","4","5","6","7","8","9"},$D$4:$AH$4,"3"))</f>
        <v>4</v>
      </c>
      <c r="AO34" s="283" cm="1">
        <f t="array" ref="AO34">SUM(COUNTIFS($D34:$AH34,{"1","2","3"}))</f>
        <v>1</v>
      </c>
      <c r="AP34" s="283" cm="1">
        <f t="array" ref="AP34">SUM(COUNTIFS($D34:$AH34,{"4","5","6"}))</f>
        <v>0</v>
      </c>
      <c r="AQ34" s="283">
        <f>AK34*'Spreadsheet Key'!$A$23 + AL34*'Spreadsheet Key'!$A$24 + AM34*'Spreadsheet Key'!$A$25 + AN34*'Spreadsheet Key'!$A$26</f>
        <v>1306</v>
      </c>
      <c r="AR34" s="283">
        <f>AJ34/('MAY Statistics'!$B$30)*ABS(AI34-1)</f>
        <v>5.2083333333333336E-2</v>
      </c>
      <c r="AS34" s="283">
        <f t="shared" ref="AS34" si="30">AI34*AT34</f>
        <v>0</v>
      </c>
      <c r="AT34" s="3228">
        <f>AR34*'MAY Statistics'!$C$11</f>
        <v>64.136458333333337</v>
      </c>
      <c r="AU34" s="283"/>
      <c r="AV34" s="283">
        <f t="shared" si="1"/>
        <v>0</v>
      </c>
      <c r="AW34" s="283">
        <f t="shared" si="2"/>
        <v>1</v>
      </c>
      <c r="AX34" s="283">
        <f t="shared" si="3"/>
        <v>0</v>
      </c>
      <c r="AY34" s="283" cm="1">
        <f t="array" ref="AY34">COUNTIFS($D34:$AH34,"9",$D$4:$AH$4,"1")+SUM(COUNTIFS($D34:$AH34,{"8","9"},$D$4:$AH$4,"2"))+COUNTIFS($D34:$AH34,"8",$D$4:$AH$4,"3")</f>
        <v>1</v>
      </c>
      <c r="AZ34" s="283">
        <f t="shared" si="4"/>
        <v>1</v>
      </c>
      <c r="BA34" s="3378">
        <f t="shared" si="5"/>
        <v>3</v>
      </c>
      <c r="BB34" s="283">
        <f>AV34*'Spreadsheet Key'!$A$27+AW34*'Spreadsheet Key'!$A$28+AX34*'Spreadsheet Key'!$A$29+AY34*'Spreadsheet Key'!$A$30+AZ34*'Spreadsheet Key'!$A$31</f>
        <v>68</v>
      </c>
      <c r="BC34" s="283"/>
      <c r="BD34" s="283">
        <f t="shared" ref="BD34" si="31">AT34-BB34</f>
        <v>-3.8635416666666629</v>
      </c>
      <c r="BE34" s="3213"/>
      <c r="BF34" s="3213"/>
      <c r="BG34" s="3213"/>
      <c r="BH34" s="3213"/>
    </row>
    <row r="35" spans="1:60">
      <c r="A35" s="3212"/>
      <c r="B35" s="3212"/>
      <c r="C35" s="3180" t="str">
        <f t="shared" si="0"/>
        <v xml:space="preserve"> </v>
      </c>
      <c r="D35" s="780"/>
      <c r="E35" s="780"/>
      <c r="F35" s="780"/>
      <c r="G35" s="2434"/>
      <c r="H35" s="904" t="s">
        <v>720</v>
      </c>
      <c r="I35" s="2435"/>
      <c r="J35" s="780"/>
      <c r="K35" s="780"/>
      <c r="L35" s="2434"/>
      <c r="M35" s="780"/>
      <c r="N35" s="2437"/>
      <c r="O35" s="780"/>
      <c r="P35" s="780"/>
      <c r="Q35" s="780"/>
      <c r="R35" s="780"/>
      <c r="S35" s="780"/>
      <c r="T35" s="904" t="s">
        <v>720</v>
      </c>
      <c r="U35" s="780"/>
      <c r="V35" s="780"/>
      <c r="W35" s="780"/>
      <c r="X35" s="780"/>
      <c r="Y35" s="780"/>
      <c r="Z35" s="780"/>
      <c r="AA35" s="780"/>
      <c r="AB35" s="780"/>
      <c r="AC35" s="780"/>
      <c r="AD35" s="780"/>
      <c r="AE35" s="780"/>
      <c r="AF35" s="780"/>
      <c r="AG35" s="904" t="s">
        <v>722</v>
      </c>
      <c r="AH35" s="806"/>
      <c r="AI35" s="3226"/>
      <c r="AJ35" s="283"/>
      <c r="AK35" s="283"/>
      <c r="AL35" s="283"/>
      <c r="AM35" s="283"/>
      <c r="AN35" s="283"/>
      <c r="AO35" s="283"/>
      <c r="AP35" s="283"/>
      <c r="AQ35" s="283"/>
      <c r="AR35" s="283"/>
      <c r="AS35" s="283"/>
      <c r="AT35" s="3228"/>
      <c r="AU35" s="283"/>
      <c r="AV35" s="283">
        <f t="shared" si="1"/>
        <v>0</v>
      </c>
      <c r="AW35" s="283">
        <f t="shared" si="2"/>
        <v>0</v>
      </c>
      <c r="AX35" s="283">
        <f t="shared" si="3"/>
        <v>0</v>
      </c>
      <c r="AY35" s="283" cm="1">
        <f t="array" ref="AY35">COUNTIFS($D35:$AH35,"9",$D$4:$AH$4,"1")+SUM(COUNTIFS($D35:$AH35,{"8","9"},$D$4:$AH$4,"2"))+COUNTIFS($D35:$AH35,"8",$D$4:$AH$4,"3")</f>
        <v>0</v>
      </c>
      <c r="AZ35" s="283">
        <f t="shared" si="4"/>
        <v>0</v>
      </c>
      <c r="BA35" s="283">
        <f t="shared" si="5"/>
        <v>0</v>
      </c>
      <c r="BB35" s="283">
        <f>AV35*'Spreadsheet Key'!$A$27+AW35*'Spreadsheet Key'!$A$28+AX35*'Spreadsheet Key'!$A$29+AY35*'Spreadsheet Key'!$A$30+AZ35*'Spreadsheet Key'!$A$31</f>
        <v>0</v>
      </c>
      <c r="BC35" s="283"/>
      <c r="BD35" s="283"/>
      <c r="BE35" s="3139"/>
      <c r="BF35" s="3139"/>
      <c r="BG35" s="3139"/>
      <c r="BH35" s="3139"/>
    </row>
    <row r="36" spans="1:60" s="3211" customFormat="1">
      <c r="A36" s="3187" t="s">
        <v>1056</v>
      </c>
      <c r="B36" s="3187" t="s">
        <v>334</v>
      </c>
      <c r="C36" s="3180" t="str">
        <f t="shared" si="0"/>
        <v>DCC ALLEN</v>
      </c>
      <c r="D36" s="3199">
        <v>0</v>
      </c>
      <c r="E36" s="3198">
        <v>0</v>
      </c>
      <c r="F36" s="3198">
        <v>0</v>
      </c>
      <c r="G36" s="3198">
        <v>0</v>
      </c>
      <c r="H36" s="3198">
        <v>8</v>
      </c>
      <c r="I36" s="3198">
        <v>0</v>
      </c>
      <c r="J36" s="3198">
        <v>0</v>
      </c>
      <c r="K36" s="3198">
        <v>0</v>
      </c>
      <c r="L36" s="3198">
        <v>0</v>
      </c>
      <c r="M36" s="3198">
        <v>0</v>
      </c>
      <c r="N36" s="3198">
        <v>0</v>
      </c>
      <c r="O36" s="3198">
        <v>0</v>
      </c>
      <c r="P36" s="3198">
        <v>0</v>
      </c>
      <c r="Q36" s="3198">
        <v>0</v>
      </c>
      <c r="R36" s="3198">
        <v>0</v>
      </c>
      <c r="S36" s="3198">
        <v>0</v>
      </c>
      <c r="T36" s="3198">
        <v>8</v>
      </c>
      <c r="U36" s="3198">
        <v>0</v>
      </c>
      <c r="V36" s="3198">
        <v>0</v>
      </c>
      <c r="W36" s="3198">
        <v>0</v>
      </c>
      <c r="X36" s="3198">
        <v>0</v>
      </c>
      <c r="Y36" s="3198">
        <v>0</v>
      </c>
      <c r="Z36" s="3198">
        <v>0</v>
      </c>
      <c r="AA36" s="3198">
        <v>0</v>
      </c>
      <c r="AB36" s="3198">
        <v>0</v>
      </c>
      <c r="AC36" s="3198">
        <v>0</v>
      </c>
      <c r="AD36" s="3198">
        <v>0</v>
      </c>
      <c r="AE36" s="3198">
        <v>0</v>
      </c>
      <c r="AF36" s="3198">
        <v>0</v>
      </c>
      <c r="AG36" s="3198">
        <v>9</v>
      </c>
      <c r="AH36" s="3198">
        <v>0</v>
      </c>
      <c r="AI36" s="3226">
        <v>0</v>
      </c>
      <c r="AJ36" s="283" cm="1">
        <f t="array" ref="AJ36">SUM(COUNTIFS($D36:$AH36,{"0","4","5","6","7","8","9"}))</f>
        <v>31</v>
      </c>
      <c r="AK36" s="283" cm="1">
        <f t="array" ref="AK36">SUM(COUNTIFS($D36:$AH36,{"0","4","5","6","7","8","9"},$D$4:$AH$4,"0"))</f>
        <v>15</v>
      </c>
      <c r="AL36" s="283" cm="1">
        <f t="array" ref="AL36">SUM(COUNTIFS($D36:$AH36,{"0","4","5","6","7","8","9"},$D$4:$AH$4,"1"))</f>
        <v>5</v>
      </c>
      <c r="AM36" s="283" cm="1">
        <f t="array" ref="AM36">SUM(COUNTIFS($D36:$AH36,{"0","4","5","6","7","8","9"},$D$4:$AH$4,"2"))</f>
        <v>7</v>
      </c>
      <c r="AN36" s="283" cm="1">
        <f t="array" ref="AN36">SUM(COUNTIFS($D36:$AH36,{"0","4","5","6","7","8","9"},$D$4:$AH$4,"3"))</f>
        <v>4</v>
      </c>
      <c r="AO36" s="283" cm="1">
        <f t="array" ref="AO36">SUM(COUNTIFS($D36:$AH36,{"1","2","3"}))</f>
        <v>0</v>
      </c>
      <c r="AP36" s="283" cm="1">
        <f t="array" ref="AP36">SUM(COUNTIFS($D36:$AH36,{"4","5","6"}))</f>
        <v>0</v>
      </c>
      <c r="AQ36" s="283">
        <f>AK36*'Spreadsheet Key'!$A$23 + AL36*'Spreadsheet Key'!$A$24 + AM36*'Spreadsheet Key'!$A$25 + AN36*'Spreadsheet Key'!$A$26</f>
        <v>1328</v>
      </c>
      <c r="AR36" s="283">
        <f>AJ36/('MAY Statistics'!$B$30)*ABS(AI36-1)</f>
        <v>5.3819444444444448E-2</v>
      </c>
      <c r="AS36" s="283">
        <f t="shared" ref="AS36" si="32">AI36*AT36</f>
        <v>0</v>
      </c>
      <c r="AT36" s="3228">
        <f>AR36*'MAY Statistics'!$C$11</f>
        <v>66.274340277777782</v>
      </c>
      <c r="AU36" s="283"/>
      <c r="AV36" s="283">
        <f t="shared" si="1"/>
        <v>1</v>
      </c>
      <c r="AW36" s="283">
        <f t="shared" si="2"/>
        <v>0</v>
      </c>
      <c r="AX36" s="283">
        <f t="shared" si="3"/>
        <v>0</v>
      </c>
      <c r="AY36" s="283" cm="1">
        <f t="array" ref="AY36">COUNTIFS($D36:$AH36,"9",$D$4:$AH$4,"1")+SUM(COUNTIFS($D36:$AH36,{"8","9"},$D$4:$AH$4,"2"))+COUNTIFS($D36:$AH36,"8",$D$4:$AH$4,"3")</f>
        <v>2</v>
      </c>
      <c r="AZ36" s="283">
        <f t="shared" si="4"/>
        <v>0</v>
      </c>
      <c r="BA36" s="3378">
        <f t="shared" si="5"/>
        <v>3</v>
      </c>
      <c r="BB36" s="283">
        <f>AV36*'Spreadsheet Key'!$A$27+AW36*'Spreadsheet Key'!$A$28+AX36*'Spreadsheet Key'!$A$29+AY36*'Spreadsheet Key'!$A$30+AZ36*'Spreadsheet Key'!$A$31</f>
        <v>82</v>
      </c>
      <c r="BC36" s="283"/>
      <c r="BD36" s="283">
        <f t="shared" ref="BD36" si="33">AT36-BB36</f>
        <v>-15.725659722222218</v>
      </c>
      <c r="BE36" s="3213"/>
      <c r="BF36" s="3213"/>
      <c r="BG36" s="3213"/>
      <c r="BH36" s="3213"/>
    </row>
    <row r="37" spans="1:60">
      <c r="A37" s="3212"/>
      <c r="B37" s="3212"/>
      <c r="C37" s="3180" t="str">
        <f t="shared" si="0"/>
        <v xml:space="preserve"> </v>
      </c>
      <c r="D37" s="2435"/>
      <c r="E37" s="904" t="s">
        <v>720</v>
      </c>
      <c r="F37" s="1580"/>
      <c r="G37" s="780"/>
      <c r="H37" s="780"/>
      <c r="I37" s="2435"/>
      <c r="J37" s="2435"/>
      <c r="K37" s="2435"/>
      <c r="L37" s="904">
        <v>0</v>
      </c>
      <c r="M37" s="904" t="s">
        <v>722</v>
      </c>
      <c r="N37" s="2435"/>
      <c r="O37" s="780"/>
      <c r="P37" s="780"/>
      <c r="Q37" s="2435"/>
      <c r="R37" s="780"/>
      <c r="S37" s="780"/>
      <c r="T37" s="780"/>
      <c r="U37" s="904" t="s">
        <v>720</v>
      </c>
      <c r="V37" s="780"/>
      <c r="W37" s="6308" t="s">
        <v>1287</v>
      </c>
      <c r="X37" s="6309"/>
      <c r="Y37" s="780"/>
      <c r="Z37" s="780"/>
      <c r="AA37" s="780"/>
      <c r="AB37" s="780"/>
      <c r="AC37" s="904"/>
      <c r="AD37" s="780"/>
      <c r="AE37" s="780"/>
      <c r="AF37" s="780"/>
      <c r="AG37" s="780"/>
      <c r="AH37" s="806"/>
      <c r="AI37" s="3226"/>
      <c r="AJ37" s="283"/>
      <c r="AK37" s="283"/>
      <c r="AL37" s="283"/>
      <c r="AM37" s="283"/>
      <c r="AN37" s="283"/>
      <c r="AO37" s="283"/>
      <c r="AP37" s="283"/>
      <c r="AQ37" s="283"/>
      <c r="AR37" s="283"/>
      <c r="AS37" s="283"/>
      <c r="AT37" s="3228"/>
      <c r="AU37" s="283"/>
      <c r="AV37" s="283">
        <f t="shared" si="1"/>
        <v>0</v>
      </c>
      <c r="AW37" s="283">
        <f t="shared" si="2"/>
        <v>0</v>
      </c>
      <c r="AX37" s="283">
        <f t="shared" si="3"/>
        <v>0</v>
      </c>
      <c r="AY37" s="283" cm="1">
        <f t="array" ref="AY37">COUNTIFS($D37:$AH37,"9",$D$4:$AH$4,"1")+SUM(COUNTIFS($D37:$AH37,{"8","9"},$D$4:$AH$4,"2"))+COUNTIFS($D37:$AH37,"8",$D$4:$AH$4,"3")</f>
        <v>0</v>
      </c>
      <c r="AZ37" s="283">
        <f t="shared" si="4"/>
        <v>0</v>
      </c>
      <c r="BA37" s="283">
        <f t="shared" si="5"/>
        <v>0</v>
      </c>
      <c r="BB37" s="283">
        <f>AV37*'Spreadsheet Key'!$A$27+AW37*'Spreadsheet Key'!$A$28+AX37*'Spreadsheet Key'!$A$29+AY37*'Spreadsheet Key'!$A$30+AZ37*'Spreadsheet Key'!$A$31</f>
        <v>0</v>
      </c>
      <c r="BC37" s="283"/>
      <c r="BD37" s="283"/>
      <c r="BE37" s="283"/>
      <c r="BF37" s="283"/>
      <c r="BG37" s="283"/>
      <c r="BH37" s="283"/>
    </row>
    <row r="38" spans="1:60" s="3211" customFormat="1">
      <c r="A38" s="3187" t="s">
        <v>129</v>
      </c>
      <c r="B38" s="3187" t="s">
        <v>474</v>
      </c>
      <c r="C38" s="3180" t="str">
        <f t="shared" si="0"/>
        <v>FC1 FERNANDEZ</v>
      </c>
      <c r="D38" s="3199">
        <v>0</v>
      </c>
      <c r="E38" s="3198">
        <v>8</v>
      </c>
      <c r="F38" s="3198">
        <v>0</v>
      </c>
      <c r="G38" s="3198">
        <v>0</v>
      </c>
      <c r="H38" s="3198">
        <v>0</v>
      </c>
      <c r="I38" s="3198">
        <v>0</v>
      </c>
      <c r="J38" s="3198">
        <v>0</v>
      </c>
      <c r="K38" s="3198">
        <v>0</v>
      </c>
      <c r="L38" s="3198">
        <v>0</v>
      </c>
      <c r="M38" s="3198">
        <v>9</v>
      </c>
      <c r="N38" s="3198">
        <v>0</v>
      </c>
      <c r="O38" s="3198">
        <v>0</v>
      </c>
      <c r="P38" s="3198">
        <v>0</v>
      </c>
      <c r="Q38" s="3198">
        <v>0</v>
      </c>
      <c r="R38" s="3198">
        <v>0</v>
      </c>
      <c r="S38" s="3198">
        <v>0</v>
      </c>
      <c r="T38" s="3198">
        <v>0</v>
      </c>
      <c r="U38" s="3198">
        <v>8</v>
      </c>
      <c r="V38" s="3198">
        <v>0</v>
      </c>
      <c r="W38" s="3198">
        <v>4</v>
      </c>
      <c r="X38" s="3198">
        <v>6</v>
      </c>
      <c r="Y38" s="3198">
        <v>0</v>
      </c>
      <c r="Z38" s="3198">
        <v>0</v>
      </c>
      <c r="AA38" s="3198">
        <v>0</v>
      </c>
      <c r="AB38" s="3198">
        <v>0</v>
      </c>
      <c r="AC38" s="3198">
        <v>0</v>
      </c>
      <c r="AD38" s="3198">
        <v>0</v>
      </c>
      <c r="AE38" s="3198">
        <v>0</v>
      </c>
      <c r="AF38" s="3198">
        <v>0</v>
      </c>
      <c r="AG38" s="3198">
        <v>0</v>
      </c>
      <c r="AH38" s="3198">
        <v>0</v>
      </c>
      <c r="AI38" s="3226">
        <v>0</v>
      </c>
      <c r="AJ38" s="283" cm="1">
        <f t="array" ref="AJ38">SUM(COUNTIFS($D38:$AH38,{"0","4","5","6","7","8","9"}))</f>
        <v>31</v>
      </c>
      <c r="AK38" s="283" cm="1">
        <f t="array" ref="AK38">SUM(COUNTIFS($D38:$AH38,{"0","4","5","6","7","8","9"},$D$4:$AH$4,"0"))</f>
        <v>15</v>
      </c>
      <c r="AL38" s="283" cm="1">
        <f t="array" ref="AL38">SUM(COUNTIFS($D38:$AH38,{"0","4","5","6","7","8","9"},$D$4:$AH$4,"1"))</f>
        <v>5</v>
      </c>
      <c r="AM38" s="283" cm="1">
        <f t="array" ref="AM38">SUM(COUNTIFS($D38:$AH38,{"0","4","5","6","7","8","9"},$D$4:$AH$4,"2"))</f>
        <v>7</v>
      </c>
      <c r="AN38" s="283" cm="1">
        <f t="array" ref="AN38">SUM(COUNTIFS($D38:$AH38,{"0","4","5","6","7","8","9"},$D$4:$AH$4,"3"))</f>
        <v>4</v>
      </c>
      <c r="AO38" s="283" cm="1">
        <f t="array" ref="AO38">SUM(COUNTIFS($D38:$AH38,{"1","2","3"}))</f>
        <v>0</v>
      </c>
      <c r="AP38" s="283" cm="1">
        <f t="array" ref="AP38">SUM(COUNTIFS($D38:$AH38,{"4","5","6"}))</f>
        <v>2</v>
      </c>
      <c r="AQ38" s="283">
        <f>AK38*'Spreadsheet Key'!$A$23 + AL38*'Spreadsheet Key'!$A$24 + AM38*'Spreadsheet Key'!$A$25 + AN38*'Spreadsheet Key'!$A$26</f>
        <v>1328</v>
      </c>
      <c r="AR38" s="283">
        <f>AJ38/('MAY Statistics'!$B$30)*ABS(AI38-1)</f>
        <v>5.3819444444444448E-2</v>
      </c>
      <c r="AS38" s="283">
        <f t="shared" ref="AS38" si="34">AI38*AT38</f>
        <v>0</v>
      </c>
      <c r="AT38" s="3228">
        <f>AR38*'MAY Statistics'!$C$11</f>
        <v>66.274340277777782</v>
      </c>
      <c r="AU38" s="283"/>
      <c r="AV38" s="283">
        <f t="shared" si="1"/>
        <v>0</v>
      </c>
      <c r="AW38" s="283">
        <f t="shared" si="2"/>
        <v>0</v>
      </c>
      <c r="AX38" s="283">
        <f t="shared" si="3"/>
        <v>1</v>
      </c>
      <c r="AY38" s="283" cm="1">
        <f t="array" ref="AY38">COUNTIFS($D38:$AH38,"9",$D$4:$AH$4,"1")+SUM(COUNTIFS($D38:$AH38,{"8","9"},$D$4:$AH$4,"2"))+COUNTIFS($D38:$AH38,"8",$D$4:$AH$4,"3")</f>
        <v>2</v>
      </c>
      <c r="AZ38" s="283">
        <f t="shared" si="4"/>
        <v>0</v>
      </c>
      <c r="BA38" s="3378">
        <f t="shared" si="5"/>
        <v>3</v>
      </c>
      <c r="BB38" s="283">
        <f>AV38*'Spreadsheet Key'!$A$27+AW38*'Spreadsheet Key'!$A$28+AX38*'Spreadsheet Key'!$A$29+AY38*'Spreadsheet Key'!$A$30+AZ38*'Spreadsheet Key'!$A$31</f>
        <v>90</v>
      </c>
      <c r="BC38" s="283"/>
      <c r="BD38" s="283">
        <f t="shared" ref="BD38" si="35">AT38-BB38</f>
        <v>-23.725659722222218</v>
      </c>
      <c r="BE38" s="3210"/>
      <c r="BF38" s="3210"/>
      <c r="BG38" s="3210"/>
      <c r="BH38" s="3210"/>
    </row>
    <row r="39" spans="1:60">
      <c r="A39" s="3212"/>
      <c r="B39" s="3212"/>
      <c r="C39" s="3180" t="str">
        <f t="shared" si="0"/>
        <v xml:space="preserve"> </v>
      </c>
      <c r="D39" s="6310" t="s">
        <v>1288</v>
      </c>
      <c r="E39" s="6311"/>
      <c r="F39" s="3019" t="s">
        <v>1025</v>
      </c>
      <c r="G39" s="3019" t="s">
        <v>1025</v>
      </c>
      <c r="H39" s="6312" t="s">
        <v>1279</v>
      </c>
      <c r="I39" s="6312"/>
      <c r="J39" s="6312"/>
      <c r="K39" s="6312"/>
      <c r="L39" s="6312"/>
      <c r="M39" s="6312"/>
      <c r="N39" s="6312"/>
      <c r="O39" s="6312"/>
      <c r="P39" s="6312"/>
      <c r="Q39" s="6312"/>
      <c r="R39" s="6312"/>
      <c r="S39" s="6312"/>
      <c r="T39" s="3019" t="s">
        <v>1025</v>
      </c>
      <c r="U39" s="937"/>
      <c r="V39" s="937"/>
      <c r="W39" s="937"/>
      <c r="X39" s="2433"/>
      <c r="Y39" s="2433"/>
      <c r="Z39" s="937"/>
      <c r="AA39" s="937"/>
      <c r="AB39" s="937"/>
      <c r="AC39" s="937"/>
      <c r="AD39" s="937"/>
      <c r="AE39" s="937"/>
      <c r="AF39" s="3266" t="s">
        <v>720</v>
      </c>
      <c r="AG39" s="2433"/>
      <c r="AH39" s="1333"/>
      <c r="AI39" s="3226"/>
      <c r="AJ39" s="283"/>
      <c r="AK39" s="283"/>
      <c r="AL39" s="283"/>
      <c r="AM39" s="283"/>
      <c r="AN39" s="283"/>
      <c r="AO39" s="283"/>
      <c r="AP39" s="283"/>
      <c r="AQ39" s="283"/>
      <c r="AR39" s="283"/>
      <c r="AS39" s="283"/>
      <c r="AT39" s="3228"/>
      <c r="AU39" s="283"/>
      <c r="AV39" s="283">
        <f t="shared" si="1"/>
        <v>0</v>
      </c>
      <c r="AW39" s="283">
        <f t="shared" si="2"/>
        <v>0</v>
      </c>
      <c r="AX39" s="283">
        <f t="shared" si="3"/>
        <v>0</v>
      </c>
      <c r="AY39" s="283" cm="1">
        <f t="array" ref="AY39">COUNTIFS($D39:$AH39,"9",$D$4:$AH$4,"1")+SUM(COUNTIFS($D39:$AH39,{"8","9"},$D$4:$AH$4,"2"))+COUNTIFS($D39:$AH39,"8",$D$4:$AH$4,"3")</f>
        <v>0</v>
      </c>
      <c r="AZ39" s="283">
        <f t="shared" si="4"/>
        <v>0</v>
      </c>
      <c r="BA39" s="283">
        <f t="shared" si="5"/>
        <v>0</v>
      </c>
      <c r="BB39" s="283">
        <f>AV39*'Spreadsheet Key'!$A$27+AW39*'Spreadsheet Key'!$A$28+AX39*'Spreadsheet Key'!$A$29+AY39*'Spreadsheet Key'!$A$30+AZ39*'Spreadsheet Key'!$A$31</f>
        <v>0</v>
      </c>
      <c r="BC39" s="283"/>
      <c r="BD39" s="283"/>
      <c r="BE39" s="283"/>
      <c r="BF39" s="283"/>
      <c r="BG39" s="283"/>
      <c r="BH39" s="283"/>
    </row>
    <row r="40" spans="1:60" s="3211" customFormat="1">
      <c r="A40" s="3180" t="s">
        <v>283</v>
      </c>
      <c r="B40" s="3180" t="s">
        <v>1036</v>
      </c>
      <c r="C40" s="3180" t="str">
        <f t="shared" si="0"/>
        <v>LCDR  KIM</v>
      </c>
      <c r="D40" s="3199">
        <v>2</v>
      </c>
      <c r="E40" s="3198">
        <v>2</v>
      </c>
      <c r="F40" s="3198">
        <v>2</v>
      </c>
      <c r="G40" s="3198">
        <v>2</v>
      </c>
      <c r="H40" s="3198">
        <v>2</v>
      </c>
      <c r="I40" s="3198">
        <v>2</v>
      </c>
      <c r="J40" s="3198">
        <v>2</v>
      </c>
      <c r="K40" s="3198">
        <v>2</v>
      </c>
      <c r="L40" s="3198">
        <v>2</v>
      </c>
      <c r="M40" s="3198">
        <v>2</v>
      </c>
      <c r="N40" s="3198">
        <v>2</v>
      </c>
      <c r="O40" s="3198">
        <v>2</v>
      </c>
      <c r="P40" s="3198">
        <v>2</v>
      </c>
      <c r="Q40" s="3198">
        <v>2</v>
      </c>
      <c r="R40" s="3198">
        <v>2</v>
      </c>
      <c r="S40" s="3198">
        <v>2</v>
      </c>
      <c r="T40" s="3198">
        <v>3</v>
      </c>
      <c r="U40" s="3198">
        <v>0</v>
      </c>
      <c r="V40" s="3198">
        <v>0</v>
      </c>
      <c r="W40" s="3198">
        <v>0</v>
      </c>
      <c r="X40" s="3198">
        <v>0</v>
      </c>
      <c r="Y40" s="3198">
        <v>0</v>
      </c>
      <c r="Z40" s="3198">
        <v>0</v>
      </c>
      <c r="AA40" s="3198">
        <v>0</v>
      </c>
      <c r="AB40" s="3198">
        <v>0</v>
      </c>
      <c r="AC40" s="3198">
        <v>0</v>
      </c>
      <c r="AD40" s="3198">
        <v>0</v>
      </c>
      <c r="AE40" s="3198">
        <v>0</v>
      </c>
      <c r="AF40" s="3198">
        <v>8</v>
      </c>
      <c r="AG40" s="3198">
        <v>0</v>
      </c>
      <c r="AH40" s="3198">
        <v>0</v>
      </c>
      <c r="AI40" s="3226">
        <v>1</v>
      </c>
      <c r="AJ40" s="283" cm="1">
        <f t="array" ref="AJ40">SUM(COUNTIFS($D40:$AH40,{"0","4","5","6","7","8","9"}))</f>
        <v>14</v>
      </c>
      <c r="AK40" s="283" cm="1">
        <f t="array" ref="AK40">SUM(COUNTIFS($D40:$AH40,{"0","4","5","6","7","8","9"},$D$4:$AH$4,"0"))</f>
        <v>6</v>
      </c>
      <c r="AL40" s="283" cm="1">
        <f t="array" ref="AL40">SUM(COUNTIFS($D40:$AH40,{"0","4","5","6","7","8","9"},$D$4:$AH$4,"1"))</f>
        <v>2</v>
      </c>
      <c r="AM40" s="283" cm="1">
        <f t="array" ref="AM40">SUM(COUNTIFS($D40:$AH40,{"0","4","5","6","7","8","9"},$D$4:$AH$4,"2"))</f>
        <v>4</v>
      </c>
      <c r="AN40" s="283" cm="1">
        <f t="array" ref="AN40">SUM(COUNTIFS($D40:$AH40,{"0","4","5","6","7","8","9"},$D$4:$AH$4,"3"))</f>
        <v>2</v>
      </c>
      <c r="AO40" s="283" cm="1">
        <f t="array" ref="AO40">SUM(COUNTIFS($D40:$AH40,{"1","2","3"}))</f>
        <v>17</v>
      </c>
      <c r="AP40" s="283" cm="1">
        <f t="array" ref="AP40">SUM(COUNTIFS($D40:$AH40,{"4","5","6"}))</f>
        <v>0</v>
      </c>
      <c r="AQ40" s="283">
        <f>AK40*'Spreadsheet Key'!$A$23 + AL40*'Spreadsheet Key'!$A$24 + AM40*'Spreadsheet Key'!$A$25 + AN40*'Spreadsheet Key'!$A$26</f>
        <v>640</v>
      </c>
      <c r="AR40" s="283">
        <f>AJ40/('MAY Statistics'!$B$30)*ABS(AI40-1)</f>
        <v>0</v>
      </c>
      <c r="AS40" s="283">
        <f>AI40*AT40</f>
        <v>12.64516129032258</v>
      </c>
      <c r="AT40" s="3228">
        <f>(AJ40/'MAY Statistics'!$B$6)*'Spreadsheet Key'!$A$32</f>
        <v>12.64516129032258</v>
      </c>
      <c r="AU40" s="283"/>
      <c r="AV40" s="283">
        <f t="shared" si="1"/>
        <v>1</v>
      </c>
      <c r="AW40" s="283">
        <f t="shared" si="2"/>
        <v>0</v>
      </c>
      <c r="AX40" s="283">
        <f t="shared" si="3"/>
        <v>0</v>
      </c>
      <c r="AY40" s="283" cm="1">
        <f t="array" ref="AY40">COUNTIFS($D40:$AH40,"9",$D$4:$AH$4,"1")+SUM(COUNTIFS($D40:$AH40,{"8","9"},$D$4:$AH$4,"2"))+COUNTIFS($D40:$AH40,"8",$D$4:$AH$4,"3")</f>
        <v>0</v>
      </c>
      <c r="AZ40" s="283">
        <f t="shared" si="4"/>
        <v>0</v>
      </c>
      <c r="BA40" s="283">
        <f t="shared" si="5"/>
        <v>1</v>
      </c>
      <c r="BB40" s="283">
        <f>AV40*'Spreadsheet Key'!$A$27+AW40*'Spreadsheet Key'!$A$28+AX40*'Spreadsheet Key'!$A$29+AY40*'Spreadsheet Key'!$A$30+AZ40*'Spreadsheet Key'!$A$31</f>
        <v>10</v>
      </c>
      <c r="BC40" s="283"/>
      <c r="BD40" s="283">
        <f t="shared" ref="BD40" si="36">AT40-BB40</f>
        <v>2.6451612903225801</v>
      </c>
      <c r="BE40" s="3210"/>
      <c r="BF40" s="3210"/>
      <c r="BG40" s="3210"/>
      <c r="BH40" s="3210"/>
    </row>
    <row r="41" spans="1:60">
      <c r="A41" s="3208"/>
      <c r="B41" s="3208"/>
      <c r="C41" s="3180" t="str">
        <f t="shared" si="0"/>
        <v xml:space="preserve"> </v>
      </c>
      <c r="D41" s="5579" t="s">
        <v>1289</v>
      </c>
      <c r="E41" s="5873"/>
      <c r="F41" s="5873"/>
      <c r="G41" s="5873"/>
      <c r="H41" s="5873"/>
      <c r="I41" s="5873"/>
      <c r="J41" s="5873"/>
      <c r="K41" s="5580"/>
      <c r="L41" s="3019" t="s">
        <v>1025</v>
      </c>
      <c r="M41" s="779"/>
      <c r="N41" s="779"/>
      <c r="O41" s="779"/>
      <c r="P41" s="779"/>
      <c r="Q41" s="779"/>
      <c r="R41" s="779"/>
      <c r="S41" s="2434"/>
      <c r="T41" s="779"/>
      <c r="U41" s="779"/>
      <c r="V41" s="904" t="s">
        <v>722</v>
      </c>
      <c r="W41" s="779"/>
      <c r="X41" s="779"/>
      <c r="Y41" s="779"/>
      <c r="Z41" s="4333" t="s">
        <v>1290</v>
      </c>
      <c r="AA41" s="4411"/>
      <c r="AB41" s="4411"/>
      <c r="AC41" s="4334"/>
      <c r="AD41" s="2437"/>
      <c r="AE41" s="2437"/>
      <c r="AF41" s="779"/>
      <c r="AG41" s="779"/>
      <c r="AH41" s="904" t="s">
        <v>720</v>
      </c>
      <c r="AI41" s="3226"/>
      <c r="AJ41" s="283"/>
      <c r="AK41" s="283"/>
      <c r="AL41" s="283"/>
      <c r="AM41" s="283"/>
      <c r="AN41" s="283"/>
      <c r="AO41" s="283"/>
      <c r="AP41" s="283"/>
      <c r="AQ41" s="283"/>
      <c r="AR41" s="283"/>
      <c r="AS41" s="283"/>
      <c r="AT41" s="3228"/>
      <c r="AU41" s="283"/>
      <c r="AV41" s="283">
        <f t="shared" si="1"/>
        <v>0</v>
      </c>
      <c r="AW41" s="283">
        <f t="shared" si="2"/>
        <v>0</v>
      </c>
      <c r="AX41" s="283">
        <f t="shared" si="3"/>
        <v>0</v>
      </c>
      <c r="AY41" s="283" cm="1">
        <f t="array" ref="AY41">COUNTIFS($D41:$AH41,"9",$D$4:$AH$4,"1")+SUM(COUNTIFS($D41:$AH41,{"8","9"},$D$4:$AH$4,"2"))+COUNTIFS($D41:$AH41,"8",$D$4:$AH$4,"3")</f>
        <v>0</v>
      </c>
      <c r="AZ41" s="283">
        <f t="shared" si="4"/>
        <v>0</v>
      </c>
      <c r="BA41" s="283">
        <f t="shared" si="5"/>
        <v>0</v>
      </c>
      <c r="BB41" s="283">
        <f>AV41*'Spreadsheet Key'!$A$27+AW41*'Spreadsheet Key'!$A$28+AX41*'Spreadsheet Key'!$A$29+AY41*'Spreadsheet Key'!$A$30+AZ41*'Spreadsheet Key'!$A$31</f>
        <v>0</v>
      </c>
      <c r="BC41" s="283"/>
      <c r="BD41" s="283"/>
      <c r="BE41" s="283"/>
      <c r="BF41" s="283"/>
      <c r="BG41" s="283"/>
      <c r="BH41" s="283"/>
    </row>
    <row r="42" spans="1:60" s="3211" customFormat="1">
      <c r="A42" s="3180" t="s">
        <v>95</v>
      </c>
      <c r="B42" s="3180" t="s">
        <v>1058</v>
      </c>
      <c r="C42" s="3180" t="str">
        <f t="shared" si="0"/>
        <v>LT GARCIA</v>
      </c>
      <c r="D42" s="3199">
        <v>2</v>
      </c>
      <c r="E42" s="3198">
        <v>2</v>
      </c>
      <c r="F42" s="3198">
        <v>2</v>
      </c>
      <c r="G42" s="3198">
        <v>2</v>
      </c>
      <c r="H42" s="3198">
        <v>2</v>
      </c>
      <c r="I42" s="3198">
        <v>2</v>
      </c>
      <c r="J42" s="3198">
        <v>2</v>
      </c>
      <c r="K42" s="3198">
        <v>2</v>
      </c>
      <c r="L42" s="3198">
        <v>3</v>
      </c>
      <c r="M42" s="3198">
        <v>0</v>
      </c>
      <c r="N42" s="3198">
        <v>0</v>
      </c>
      <c r="O42" s="3198">
        <v>0</v>
      </c>
      <c r="P42" s="3198">
        <v>0</v>
      </c>
      <c r="Q42" s="3198">
        <v>0</v>
      </c>
      <c r="R42" s="3198">
        <v>0</v>
      </c>
      <c r="S42" s="3198">
        <v>0</v>
      </c>
      <c r="T42" s="3198">
        <v>0</v>
      </c>
      <c r="U42" s="3198">
        <v>0</v>
      </c>
      <c r="V42" s="3198">
        <v>9</v>
      </c>
      <c r="W42" s="3198">
        <v>0</v>
      </c>
      <c r="X42" s="3198">
        <v>0</v>
      </c>
      <c r="Y42" s="3198">
        <v>0</v>
      </c>
      <c r="Z42" s="3198">
        <v>4</v>
      </c>
      <c r="AA42" s="3198">
        <v>5</v>
      </c>
      <c r="AB42" s="3198">
        <v>5</v>
      </c>
      <c r="AC42" s="3198">
        <v>6</v>
      </c>
      <c r="AD42" s="3198">
        <v>0</v>
      </c>
      <c r="AE42" s="3198">
        <v>0</v>
      </c>
      <c r="AF42" s="3198">
        <v>0</v>
      </c>
      <c r="AG42" s="3198">
        <v>0</v>
      </c>
      <c r="AH42" s="3198">
        <v>8</v>
      </c>
      <c r="AI42" s="3226">
        <v>0</v>
      </c>
      <c r="AJ42" s="283" cm="1">
        <f t="array" ref="AJ42">SUM(COUNTIFS($D42:$AH42,{"0","4","5","6","7","8","9"}))</f>
        <v>22</v>
      </c>
      <c r="AK42" s="283" cm="1">
        <f t="array" ref="AK42">SUM(COUNTIFS($D42:$AH42,{"0","4","5","6","7","8","9"},$D$4:$AH$4,"0"))</f>
        <v>10</v>
      </c>
      <c r="AL42" s="283" cm="1">
        <f t="array" ref="AL42">SUM(COUNTIFS($D42:$AH42,{"0","4","5","6","7","8","9"},$D$4:$AH$4,"1"))</f>
        <v>3</v>
      </c>
      <c r="AM42" s="283" cm="1">
        <f t="array" ref="AM42">SUM(COUNTIFS($D42:$AH42,{"0","4","5","6","7","8","9"},$D$4:$AH$4,"2"))</f>
        <v>6</v>
      </c>
      <c r="AN42" s="283" cm="1">
        <f t="array" ref="AN42">SUM(COUNTIFS($D42:$AH42,{"0","4","5","6","7","8","9"},$D$4:$AH$4,"3"))</f>
        <v>3</v>
      </c>
      <c r="AO42" s="283" cm="1">
        <f t="array" ref="AO42">SUM(COUNTIFS($D42:$AH42,{"1","2","3"}))</f>
        <v>9</v>
      </c>
      <c r="AP42" s="283" cm="1">
        <f t="array" ref="AP42">SUM(COUNTIFS($D42:$AH42,{"4","5","6"}))</f>
        <v>4</v>
      </c>
      <c r="AQ42" s="283">
        <f>AK42*'Spreadsheet Key'!$A$23 + AL42*'Spreadsheet Key'!$A$24 + AM42*'Spreadsheet Key'!$A$25 + AN42*'Spreadsheet Key'!$A$26</f>
        <v>982</v>
      </c>
      <c r="AR42" s="283">
        <f>AJ42/('MAY Statistics'!$B$30)*ABS(AI42-1)</f>
        <v>3.8194444444444448E-2</v>
      </c>
      <c r="AS42" s="283">
        <f t="shared" ref="AS42" si="37">AI42*AT42</f>
        <v>0</v>
      </c>
      <c r="AT42" s="3228">
        <f>AR42*'MAY Statistics'!$C$11</f>
        <v>47.033402777777788</v>
      </c>
      <c r="AU42" s="283"/>
      <c r="AV42" s="283">
        <f t="shared" si="1"/>
        <v>0</v>
      </c>
      <c r="AW42" s="283">
        <f t="shared" si="2"/>
        <v>1</v>
      </c>
      <c r="AX42" s="283">
        <f t="shared" si="3"/>
        <v>0</v>
      </c>
      <c r="AY42" s="283" cm="1">
        <f t="array" ref="AY42">COUNTIFS($D42:$AH42,"9",$D$4:$AH$4,"1")+SUM(COUNTIFS($D42:$AH42,{"8","9"},$D$4:$AH$4,"2"))+COUNTIFS($D42:$AH42,"8",$D$4:$AH$4,"3")</f>
        <v>1</v>
      </c>
      <c r="AZ42" s="283">
        <f t="shared" si="4"/>
        <v>0</v>
      </c>
      <c r="BA42" s="283">
        <f t="shared" si="5"/>
        <v>2</v>
      </c>
      <c r="BB42" s="283">
        <f>AV42*'Spreadsheet Key'!$A$27+AW42*'Spreadsheet Key'!$A$28+AX42*'Spreadsheet Key'!$A$29+AY42*'Spreadsheet Key'!$A$30+AZ42*'Spreadsheet Key'!$A$31</f>
        <v>48</v>
      </c>
      <c r="BC42" s="283"/>
      <c r="BD42" s="283">
        <f t="shared" ref="BD42" si="38">AT42-BB42</f>
        <v>-0.96659722222221234</v>
      </c>
      <c r="BE42" s="3210"/>
      <c r="BF42" s="3210"/>
      <c r="BG42" s="3210"/>
      <c r="BH42" s="3210"/>
    </row>
    <row r="43" spans="1:60">
      <c r="A43" s="3208"/>
      <c r="B43" s="3208"/>
      <c r="C43" s="3180" t="str">
        <f t="shared" si="0"/>
        <v xml:space="preserve"> </v>
      </c>
      <c r="D43" s="4417" t="s">
        <v>438</v>
      </c>
      <c r="E43" s="4468"/>
      <c r="F43" s="4468"/>
      <c r="G43" s="6313" t="s">
        <v>1025</v>
      </c>
      <c r="H43" s="6314"/>
      <c r="I43" s="6302" t="s">
        <v>1291</v>
      </c>
      <c r="J43" s="6303"/>
      <c r="K43" s="6303"/>
      <c r="L43" s="6303"/>
      <c r="M43" s="6303"/>
      <c r="N43" s="6303"/>
      <c r="O43" s="6303"/>
      <c r="P43" s="6303"/>
      <c r="Q43" s="6303"/>
      <c r="R43" s="6303"/>
      <c r="S43" s="6304"/>
      <c r="T43" s="3010" t="s">
        <v>1025</v>
      </c>
      <c r="U43" s="779"/>
      <c r="V43" s="2437"/>
      <c r="W43" s="2437"/>
      <c r="X43" s="904" t="s">
        <v>722</v>
      </c>
      <c r="Y43" s="779"/>
      <c r="Z43" s="4333" t="s">
        <v>1290</v>
      </c>
      <c r="AA43" s="4411"/>
      <c r="AB43" s="4411"/>
      <c r="AC43" s="4334"/>
      <c r="AD43" s="779"/>
      <c r="AE43" s="904" t="s">
        <v>722</v>
      </c>
      <c r="AF43" s="2437"/>
      <c r="AG43" s="779"/>
      <c r="AH43" s="804"/>
      <c r="AI43" s="3226"/>
      <c r="AJ43" s="283"/>
      <c r="AK43" s="283"/>
      <c r="AL43" s="283"/>
      <c r="AM43" s="283"/>
      <c r="AN43" s="283"/>
      <c r="AO43" s="283"/>
      <c r="AP43" s="283"/>
      <c r="AQ43" s="283"/>
      <c r="AR43" s="283"/>
      <c r="AS43" s="283"/>
      <c r="AT43" s="3228"/>
      <c r="AU43" s="283"/>
      <c r="AV43" s="283">
        <f t="shared" si="1"/>
        <v>0</v>
      </c>
      <c r="AW43" s="283">
        <f t="shared" si="2"/>
        <v>0</v>
      </c>
      <c r="AX43" s="283">
        <f t="shared" si="3"/>
        <v>0</v>
      </c>
      <c r="AY43" s="283" cm="1">
        <f t="array" ref="AY43">COUNTIFS($D43:$AH43,"9",$D$4:$AH$4,"1")+SUM(COUNTIFS($D43:$AH43,{"8","9"},$D$4:$AH$4,"2"))+COUNTIFS($D43:$AH43,"8",$D$4:$AH$4,"3")</f>
        <v>0</v>
      </c>
      <c r="AZ43" s="283">
        <f t="shared" si="4"/>
        <v>0</v>
      </c>
      <c r="BA43" s="283">
        <f t="shared" si="5"/>
        <v>0</v>
      </c>
      <c r="BB43" s="283">
        <f>AV43*'Spreadsheet Key'!$A$27+AW43*'Spreadsheet Key'!$A$28+AX43*'Spreadsheet Key'!$A$29+AY43*'Spreadsheet Key'!$A$30+AZ43*'Spreadsheet Key'!$A$31</f>
        <v>0</v>
      </c>
      <c r="BC43" s="283"/>
      <c r="BD43" s="283"/>
      <c r="BE43" s="283"/>
      <c r="BF43" s="283"/>
      <c r="BG43" s="283"/>
      <c r="BH43" s="283"/>
    </row>
    <row r="44" spans="1:60" s="3211" customFormat="1">
      <c r="A44" s="3180" t="s">
        <v>95</v>
      </c>
      <c r="B44" s="3180" t="s">
        <v>620</v>
      </c>
      <c r="C44" s="3180" t="str">
        <f t="shared" si="0"/>
        <v>LT GRAHAM</v>
      </c>
      <c r="D44" s="3199">
        <v>2</v>
      </c>
      <c r="E44" s="3199">
        <v>2</v>
      </c>
      <c r="F44" s="3199">
        <v>2</v>
      </c>
      <c r="G44" s="3199">
        <v>2</v>
      </c>
      <c r="H44" s="3199">
        <v>2</v>
      </c>
      <c r="I44" s="3199">
        <v>2</v>
      </c>
      <c r="J44" s="3199">
        <v>2</v>
      </c>
      <c r="K44" s="3199">
        <v>2</v>
      </c>
      <c r="L44" s="3199">
        <v>2</v>
      </c>
      <c r="M44" s="3199">
        <v>2</v>
      </c>
      <c r="N44" s="3199">
        <v>2</v>
      </c>
      <c r="O44" s="3199">
        <v>2</v>
      </c>
      <c r="P44" s="3199">
        <v>2</v>
      </c>
      <c r="Q44" s="3199">
        <v>2</v>
      </c>
      <c r="R44" s="3199">
        <v>2</v>
      </c>
      <c r="S44" s="3199">
        <v>2</v>
      </c>
      <c r="T44" s="3198">
        <v>3</v>
      </c>
      <c r="U44" s="3198">
        <v>0</v>
      </c>
      <c r="V44" s="3198">
        <v>0</v>
      </c>
      <c r="W44" s="3198">
        <v>0</v>
      </c>
      <c r="X44" s="3198">
        <v>9</v>
      </c>
      <c r="Y44" s="3198">
        <v>0</v>
      </c>
      <c r="Z44" s="3198">
        <v>4</v>
      </c>
      <c r="AA44" s="3198">
        <v>5</v>
      </c>
      <c r="AB44" s="3198">
        <v>5</v>
      </c>
      <c r="AC44" s="3198">
        <v>6</v>
      </c>
      <c r="AD44" s="3198">
        <v>0</v>
      </c>
      <c r="AE44" s="3198">
        <v>9</v>
      </c>
      <c r="AF44" s="3198">
        <v>0</v>
      </c>
      <c r="AG44" s="3198">
        <v>0</v>
      </c>
      <c r="AH44" s="3198">
        <v>0</v>
      </c>
      <c r="AI44" s="3226">
        <v>0</v>
      </c>
      <c r="AJ44" s="283" cm="1">
        <f t="array" ref="AJ44">SUM(COUNTIFS($D44:$AH44,{"0","4","5","6","7","8","9"}))</f>
        <v>14</v>
      </c>
      <c r="AK44" s="283" cm="1">
        <f t="array" ref="AK44">SUM(COUNTIFS($D44:$AH44,{"0","4","5","6","7","8","9"},$D$4:$AH$4,"0"))</f>
        <v>6</v>
      </c>
      <c r="AL44" s="283" cm="1">
        <f t="array" ref="AL44">SUM(COUNTIFS($D44:$AH44,{"0","4","5","6","7","8","9"},$D$4:$AH$4,"1"))</f>
        <v>2</v>
      </c>
      <c r="AM44" s="283" cm="1">
        <f t="array" ref="AM44">SUM(COUNTIFS($D44:$AH44,{"0","4","5","6","7","8","9"},$D$4:$AH$4,"2"))</f>
        <v>4</v>
      </c>
      <c r="AN44" s="283" cm="1">
        <f t="array" ref="AN44">SUM(COUNTIFS($D44:$AH44,{"0","4","5","6","7","8","9"},$D$4:$AH$4,"3"))</f>
        <v>2</v>
      </c>
      <c r="AO44" s="283" cm="1">
        <f t="array" ref="AO44">SUM(COUNTIFS($D44:$AH44,{"1","2","3"}))</f>
        <v>17</v>
      </c>
      <c r="AP44" s="283" cm="1">
        <f t="array" ref="AP44">SUM(COUNTIFS($D44:$AH44,{"4","5","6"}))</f>
        <v>4</v>
      </c>
      <c r="AQ44" s="283">
        <f>AK44*'Spreadsheet Key'!$A$23 + AL44*'Spreadsheet Key'!$A$24 + AM44*'Spreadsheet Key'!$A$25 + AN44*'Spreadsheet Key'!$A$26</f>
        <v>640</v>
      </c>
      <c r="AR44" s="283">
        <f>AJ44/('MAY Statistics'!$B$30)*ABS(AI44-1)</f>
        <v>2.4305555555555556E-2</v>
      </c>
      <c r="AS44" s="283">
        <f t="shared" ref="AS44" si="39">AI44*AT44</f>
        <v>0</v>
      </c>
      <c r="AT44" s="3228">
        <f>AR44*'MAY Statistics'!$C$11</f>
        <v>29.930347222222224</v>
      </c>
      <c r="AU44" s="283"/>
      <c r="AV44" s="283">
        <f t="shared" si="1"/>
        <v>0</v>
      </c>
      <c r="AW44" s="283">
        <f t="shared" si="2"/>
        <v>2</v>
      </c>
      <c r="AX44" s="283">
        <f t="shared" si="3"/>
        <v>0</v>
      </c>
      <c r="AY44" s="283" cm="1">
        <f t="array" ref="AY44">COUNTIFS($D44:$AH44,"9",$D$4:$AH$4,"1")+SUM(COUNTIFS($D44:$AH44,{"8","9"},$D$4:$AH$4,"2"))+COUNTIFS($D44:$AH44,"8",$D$4:$AH$4,"3")</f>
        <v>0</v>
      </c>
      <c r="AZ44" s="283">
        <f t="shared" si="4"/>
        <v>0</v>
      </c>
      <c r="BA44" s="283">
        <f t="shared" si="5"/>
        <v>2</v>
      </c>
      <c r="BB44" s="283">
        <f>AV44*'Spreadsheet Key'!$A$27+AW44*'Spreadsheet Key'!$A$28+AX44*'Spreadsheet Key'!$A$29+AY44*'Spreadsheet Key'!$A$30+AZ44*'Spreadsheet Key'!$A$31</f>
        <v>24</v>
      </c>
      <c r="BC44" s="283"/>
      <c r="BD44" s="283">
        <f t="shared" ref="BD44" si="40">AT44-BB44</f>
        <v>5.930347222222224</v>
      </c>
      <c r="BE44" s="3210"/>
      <c r="BF44" s="3210"/>
      <c r="BG44" s="3210"/>
      <c r="BH44" s="3210"/>
    </row>
    <row r="45" spans="1:60">
      <c r="A45" s="3208"/>
      <c r="B45" s="3208"/>
      <c r="C45" s="3180" t="str">
        <f t="shared" si="0"/>
        <v xml:space="preserve"> </v>
      </c>
      <c r="D45" s="6310" t="s">
        <v>1288</v>
      </c>
      <c r="E45" s="6311"/>
      <c r="F45" s="3010" t="s">
        <v>1025</v>
      </c>
      <c r="G45" s="3010" t="s">
        <v>1025</v>
      </c>
      <c r="H45" s="6300" t="s">
        <v>1281</v>
      </c>
      <c r="I45" s="6300"/>
      <c r="J45" s="6300"/>
      <c r="K45" s="6300"/>
      <c r="L45" s="6300"/>
      <c r="M45" s="6300"/>
      <c r="N45" s="6300"/>
      <c r="O45" s="6300"/>
      <c r="P45" s="6300"/>
      <c r="Q45" s="6300"/>
      <c r="R45" s="6300"/>
      <c r="S45" s="6300"/>
      <c r="T45" s="3010" t="s">
        <v>1025</v>
      </c>
      <c r="U45" s="779"/>
      <c r="V45" s="779"/>
      <c r="W45" s="904" t="s">
        <v>722</v>
      </c>
      <c r="X45" s="779"/>
      <c r="Y45" s="779"/>
      <c r="Z45" s="4333" t="s">
        <v>1292</v>
      </c>
      <c r="AA45" s="4411"/>
      <c r="AB45" s="4411"/>
      <c r="AC45" s="4334"/>
      <c r="AD45" s="779"/>
      <c r="AF45" s="779"/>
      <c r="AG45" s="779"/>
      <c r="AH45" s="2444"/>
      <c r="AI45" s="3226"/>
      <c r="AJ45" s="283"/>
      <c r="AK45" s="283"/>
      <c r="AL45" s="283"/>
      <c r="AM45" s="283"/>
      <c r="AN45" s="283"/>
      <c r="AO45" s="283"/>
      <c r="AP45" s="283"/>
      <c r="AQ45" s="283"/>
      <c r="AR45" s="283"/>
      <c r="AS45" s="283"/>
      <c r="AT45" s="3228"/>
      <c r="AU45" s="283"/>
      <c r="AV45" s="283">
        <f t="shared" si="1"/>
        <v>0</v>
      </c>
      <c r="AW45" s="283">
        <f t="shared" si="2"/>
        <v>0</v>
      </c>
      <c r="AX45" s="283">
        <f t="shared" si="3"/>
        <v>0</v>
      </c>
      <c r="AY45" s="283" cm="1">
        <f t="array" ref="AY45">COUNTIFS($D45:$AH45,"9",$D$4:$AH$4,"1")+SUM(COUNTIFS($D45:$AH45,{"8","9"},$D$4:$AH$4,"2"))+COUNTIFS($D45:$AH45,"8",$D$4:$AH$4,"3")</f>
        <v>0</v>
      </c>
      <c r="AZ45" s="283">
        <f t="shared" si="4"/>
        <v>0</v>
      </c>
      <c r="BA45" s="283">
        <f t="shared" si="5"/>
        <v>0</v>
      </c>
      <c r="BB45" s="283">
        <f>AV45*'Spreadsheet Key'!$A$27+AW45*'Spreadsheet Key'!$A$28+AX45*'Spreadsheet Key'!$A$29+AY45*'Spreadsheet Key'!$A$30+AZ45*'Spreadsheet Key'!$A$31</f>
        <v>0</v>
      </c>
      <c r="BC45" s="283"/>
      <c r="BD45" s="283"/>
      <c r="BE45" s="283"/>
      <c r="BF45" s="283"/>
      <c r="BG45" s="283"/>
      <c r="BH45" s="283"/>
    </row>
    <row r="46" spans="1:60" s="3211" customFormat="1">
      <c r="A46" s="3180" t="s">
        <v>95</v>
      </c>
      <c r="B46" s="3180" t="s">
        <v>1037</v>
      </c>
      <c r="C46" s="3180" t="str">
        <f t="shared" si="0"/>
        <v>LT DECKER</v>
      </c>
      <c r="D46" s="3199">
        <v>2</v>
      </c>
      <c r="E46" s="3199">
        <v>2</v>
      </c>
      <c r="F46" s="3199">
        <v>2</v>
      </c>
      <c r="G46" s="3199">
        <v>2</v>
      </c>
      <c r="H46" s="3199">
        <v>2</v>
      </c>
      <c r="I46" s="3199">
        <v>2</v>
      </c>
      <c r="J46" s="3199">
        <v>2</v>
      </c>
      <c r="K46" s="3199">
        <v>2</v>
      </c>
      <c r="L46" s="3199">
        <v>2</v>
      </c>
      <c r="M46" s="3199">
        <v>2</v>
      </c>
      <c r="N46" s="3199">
        <v>2</v>
      </c>
      <c r="O46" s="3199">
        <v>2</v>
      </c>
      <c r="P46" s="3199">
        <v>2</v>
      </c>
      <c r="Q46" s="3199">
        <v>2</v>
      </c>
      <c r="R46" s="3199">
        <v>2</v>
      </c>
      <c r="S46" s="3199">
        <v>2</v>
      </c>
      <c r="T46" s="3198">
        <v>3</v>
      </c>
      <c r="U46" s="3198">
        <v>0</v>
      </c>
      <c r="V46" s="3198">
        <v>0</v>
      </c>
      <c r="W46" s="3198">
        <v>9</v>
      </c>
      <c r="X46" s="3198">
        <v>0</v>
      </c>
      <c r="Y46" s="3198">
        <v>0</v>
      </c>
      <c r="Z46" s="3198">
        <v>4</v>
      </c>
      <c r="AA46" s="3198">
        <v>5</v>
      </c>
      <c r="AB46" s="3198">
        <v>5</v>
      </c>
      <c r="AC46" s="3198">
        <v>6</v>
      </c>
      <c r="AD46" s="3198">
        <v>0</v>
      </c>
      <c r="AE46" s="3198">
        <v>0</v>
      </c>
      <c r="AF46" s="3198">
        <v>0</v>
      </c>
      <c r="AG46" s="3198">
        <v>0</v>
      </c>
      <c r="AH46" s="3198">
        <v>0</v>
      </c>
      <c r="AI46" s="3226">
        <v>0</v>
      </c>
      <c r="AJ46" s="283" cm="1">
        <f t="array" ref="AJ46">SUM(COUNTIFS($D46:$AH46,{"0","4","5","6","7","8","9"}))</f>
        <v>14</v>
      </c>
      <c r="AK46" s="283" cm="1">
        <f t="array" ref="AK46">SUM(COUNTIFS($D46:$AH46,{"0","4","5","6","7","8","9"},$D$4:$AH$4,"0"))</f>
        <v>6</v>
      </c>
      <c r="AL46" s="283" cm="1">
        <f t="array" ref="AL46">SUM(COUNTIFS($D46:$AH46,{"0","4","5","6","7","8","9"},$D$4:$AH$4,"1"))</f>
        <v>2</v>
      </c>
      <c r="AM46" s="283" cm="1">
        <f t="array" ref="AM46">SUM(COUNTIFS($D46:$AH46,{"0","4","5","6","7","8","9"},$D$4:$AH$4,"2"))</f>
        <v>4</v>
      </c>
      <c r="AN46" s="283" cm="1">
        <f t="array" ref="AN46">SUM(COUNTIFS($D46:$AH46,{"0","4","5","6","7","8","9"},$D$4:$AH$4,"3"))</f>
        <v>2</v>
      </c>
      <c r="AO46" s="283" cm="1">
        <f t="array" ref="AO46">SUM(COUNTIFS($D46:$AH46,{"1","2","3"}))</f>
        <v>17</v>
      </c>
      <c r="AP46" s="283" cm="1">
        <f t="array" ref="AP46">SUM(COUNTIFS($D46:$AH46,{"4","5","6"}))</f>
        <v>4</v>
      </c>
      <c r="AQ46" s="283">
        <f>AK46*'Spreadsheet Key'!$A$23 + AL46*'Spreadsheet Key'!$A$24 + AM46*'Spreadsheet Key'!$A$25 + AN46*'Spreadsheet Key'!$A$26</f>
        <v>640</v>
      </c>
      <c r="AR46" s="283">
        <f>AJ46/('MAY Statistics'!$B$30)*ABS(AI46-1)</f>
        <v>2.4305555555555556E-2</v>
      </c>
      <c r="AS46" s="283">
        <f t="shared" ref="AS46" si="41">AI46*AT46</f>
        <v>0</v>
      </c>
      <c r="AT46" s="3228">
        <f>AR46*'MAY Statistics'!$C$11</f>
        <v>29.930347222222224</v>
      </c>
      <c r="AU46" s="283"/>
      <c r="AV46" s="283">
        <f t="shared" si="1"/>
        <v>0</v>
      </c>
      <c r="AW46" s="283">
        <f t="shared" si="2"/>
        <v>1</v>
      </c>
      <c r="AX46" s="283">
        <f t="shared" si="3"/>
        <v>0</v>
      </c>
      <c r="AY46" s="283" cm="1">
        <f t="array" ref="AY46">COUNTIFS($D46:$AH46,"9",$D$4:$AH$4,"1")+SUM(COUNTIFS($D46:$AH46,{"8","9"},$D$4:$AH$4,"2"))+COUNTIFS($D46:$AH46,"8",$D$4:$AH$4,"3")</f>
        <v>0</v>
      </c>
      <c r="AZ46" s="283">
        <f t="shared" si="4"/>
        <v>0</v>
      </c>
      <c r="BA46" s="283">
        <f t="shared" si="5"/>
        <v>1</v>
      </c>
      <c r="BB46" s="283">
        <f>AV46*'Spreadsheet Key'!$A$27+AW46*'Spreadsheet Key'!$A$28+AX46*'Spreadsheet Key'!$A$29+AY46*'Spreadsheet Key'!$A$30+AZ46*'Spreadsheet Key'!$A$31</f>
        <v>12</v>
      </c>
      <c r="BC46" s="283"/>
      <c r="BD46" s="283">
        <f t="shared" ref="BD46" si="42">AT46-BB46</f>
        <v>17.930347222222224</v>
      </c>
      <c r="BE46" s="3210"/>
      <c r="BF46" s="3210"/>
      <c r="BG46" s="3210"/>
      <c r="BH46" s="3210"/>
    </row>
    <row r="47" spans="1:60">
      <c r="A47" s="3208"/>
      <c r="B47" s="3208"/>
      <c r="C47" s="3180" t="str">
        <f t="shared" si="0"/>
        <v xml:space="preserve"> </v>
      </c>
      <c r="D47" s="3095"/>
      <c r="E47" s="2287"/>
      <c r="F47" s="2287"/>
      <c r="G47" s="3010" t="s">
        <v>1025</v>
      </c>
      <c r="H47" s="6300" t="s">
        <v>1279</v>
      </c>
      <c r="I47" s="6300"/>
      <c r="J47" s="6300"/>
      <c r="K47" s="6300"/>
      <c r="L47" s="6300"/>
      <c r="M47" s="6300"/>
      <c r="N47" s="6300"/>
      <c r="O47" s="6300"/>
      <c r="P47" s="6300"/>
      <c r="Q47" s="6300"/>
      <c r="R47" s="6300"/>
      <c r="S47" s="6300"/>
      <c r="T47" s="3010" t="s">
        <v>1025</v>
      </c>
      <c r="U47" s="779"/>
      <c r="V47" s="779"/>
      <c r="W47" s="779"/>
      <c r="X47" s="2434"/>
      <c r="Y47" s="779"/>
      <c r="Z47" s="904" t="s">
        <v>720</v>
      </c>
      <c r="AA47" s="2434"/>
      <c r="AB47" s="779"/>
      <c r="AC47" s="779"/>
      <c r="AD47" s="779"/>
      <c r="AE47" s="2434"/>
      <c r="AF47" s="779"/>
      <c r="AG47" s="779"/>
      <c r="AH47" s="2444"/>
      <c r="AI47" s="3226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3228"/>
      <c r="AU47" s="283"/>
      <c r="AV47" s="283">
        <f t="shared" si="1"/>
        <v>0</v>
      </c>
      <c r="AW47" s="283">
        <f t="shared" si="2"/>
        <v>0</v>
      </c>
      <c r="AX47" s="283">
        <f t="shared" si="3"/>
        <v>0</v>
      </c>
      <c r="AY47" s="283" cm="1">
        <f t="array" ref="AY47">COUNTIFS($D47:$AH47,"9",$D$4:$AH$4,"1")+SUM(COUNTIFS($D47:$AH47,{"8","9"},$D$4:$AH$4,"2"))+COUNTIFS($D47:$AH47,"8",$D$4:$AH$4,"3")</f>
        <v>0</v>
      </c>
      <c r="AZ47" s="283">
        <f t="shared" si="4"/>
        <v>0</v>
      </c>
      <c r="BA47" s="283">
        <f t="shared" si="5"/>
        <v>0</v>
      </c>
      <c r="BB47" s="283">
        <f>AV47*'Spreadsheet Key'!$A$27+AW47*'Spreadsheet Key'!$A$28+AX47*'Spreadsheet Key'!$A$29+AY47*'Spreadsheet Key'!$A$30+AZ47*'Spreadsheet Key'!$A$31</f>
        <v>0</v>
      </c>
      <c r="BC47" s="283"/>
      <c r="BD47" s="283"/>
      <c r="BE47" s="283"/>
      <c r="BF47" s="283"/>
      <c r="BG47" s="283"/>
      <c r="BH47" s="283"/>
    </row>
    <row r="48" spans="1:60" s="3211" customFormat="1">
      <c r="A48" s="3180" t="s">
        <v>739</v>
      </c>
      <c r="B48" s="3180" t="s">
        <v>740</v>
      </c>
      <c r="C48" s="3180" t="str">
        <f t="shared" si="0"/>
        <v>STGC PLACENCIA</v>
      </c>
      <c r="D48" s="3199">
        <v>0</v>
      </c>
      <c r="E48" s="3198">
        <v>0</v>
      </c>
      <c r="F48" s="3198">
        <v>0</v>
      </c>
      <c r="G48" s="3198">
        <v>1</v>
      </c>
      <c r="H48" s="3198">
        <v>2</v>
      </c>
      <c r="I48" s="3198">
        <v>2</v>
      </c>
      <c r="J48" s="3198">
        <v>2</v>
      </c>
      <c r="K48" s="3198">
        <v>2</v>
      </c>
      <c r="L48" s="3198">
        <v>2</v>
      </c>
      <c r="M48" s="3198">
        <v>2</v>
      </c>
      <c r="N48" s="3198">
        <v>2</v>
      </c>
      <c r="O48" s="3198">
        <v>2</v>
      </c>
      <c r="P48" s="3198">
        <v>2</v>
      </c>
      <c r="Q48" s="3198">
        <v>2</v>
      </c>
      <c r="R48" s="3198">
        <v>2</v>
      </c>
      <c r="S48" s="3198">
        <v>2</v>
      </c>
      <c r="T48" s="3198">
        <v>3</v>
      </c>
      <c r="U48" s="3198">
        <v>0</v>
      </c>
      <c r="V48" s="3198">
        <v>0</v>
      </c>
      <c r="W48" s="3198">
        <v>0</v>
      </c>
      <c r="X48" s="3198">
        <v>0</v>
      </c>
      <c r="Y48" s="3198">
        <v>0</v>
      </c>
      <c r="Z48" s="3198">
        <v>8</v>
      </c>
      <c r="AA48" s="3198">
        <v>0</v>
      </c>
      <c r="AB48" s="3198">
        <v>0</v>
      </c>
      <c r="AC48" s="3198">
        <v>0</v>
      </c>
      <c r="AD48" s="3198">
        <v>0</v>
      </c>
      <c r="AE48" s="3198">
        <v>0</v>
      </c>
      <c r="AF48" s="3198">
        <v>0</v>
      </c>
      <c r="AG48" s="3198">
        <v>0</v>
      </c>
      <c r="AH48" s="3198">
        <v>0</v>
      </c>
      <c r="AI48" s="3226">
        <v>0</v>
      </c>
      <c r="AJ48" s="283" cm="1">
        <f t="array" ref="AJ48">SUM(COUNTIFS($D48:$AH48,{"0","4","5","6","7","8","9"}))</f>
        <v>17</v>
      </c>
      <c r="AK48" s="283" cm="1">
        <f t="array" ref="AK48">SUM(COUNTIFS($D48:$AH48,{"0","4","5","6","7","8","9"},$D$4:$AH$4,"0"))</f>
        <v>7</v>
      </c>
      <c r="AL48" s="283" cm="1">
        <f t="array" ref="AL48">SUM(COUNTIFS($D48:$AH48,{"0","4","5","6","7","8","9"},$D$4:$AH$4,"1"))</f>
        <v>3</v>
      </c>
      <c r="AM48" s="283" cm="1">
        <f t="array" ref="AM48">SUM(COUNTIFS($D48:$AH48,{"0","4","5","6","7","8","9"},$D$4:$AH$4,"2"))</f>
        <v>5</v>
      </c>
      <c r="AN48" s="283" cm="1">
        <f t="array" ref="AN48">SUM(COUNTIFS($D48:$AH48,{"0","4","5","6","7","8","9"},$D$4:$AH$4,"3"))</f>
        <v>2</v>
      </c>
      <c r="AO48" s="283" cm="1">
        <f t="array" ref="AO48">SUM(COUNTIFS($D48:$AH48,{"1","2","3"}))</f>
        <v>14</v>
      </c>
      <c r="AP48" s="283" cm="1">
        <f t="array" ref="AP48">SUM(COUNTIFS($D48:$AH48,{"4","5","6"}))</f>
        <v>0</v>
      </c>
      <c r="AQ48" s="283">
        <f>AK48*'Spreadsheet Key'!$A$23 + AL48*'Spreadsheet Key'!$A$24 + AM48*'Spreadsheet Key'!$A$25 + AN48*'Spreadsheet Key'!$A$26</f>
        <v>788</v>
      </c>
      <c r="AR48" s="283">
        <f>AJ48/('MAY Statistics'!$B$30)*ABS(AI48-1)</f>
        <v>2.9513888888888888E-2</v>
      </c>
      <c r="AS48" s="283">
        <f t="shared" ref="AS48" si="43">AI48*AT48</f>
        <v>0</v>
      </c>
      <c r="AT48" s="3228">
        <f>AR48*'MAY Statistics'!$C$11</f>
        <v>36.343993055555558</v>
      </c>
      <c r="AU48" s="283"/>
      <c r="AV48" s="283">
        <f t="shared" si="1"/>
        <v>0</v>
      </c>
      <c r="AW48" s="283">
        <f t="shared" si="2"/>
        <v>0</v>
      </c>
      <c r="AX48" s="283">
        <f t="shared" si="3"/>
        <v>0</v>
      </c>
      <c r="AY48" s="283" cm="1">
        <f t="array" ref="AY48">COUNTIFS($D48:$AH48,"9",$D$4:$AH$4,"1")+SUM(COUNTIFS($D48:$AH48,{"8","9"},$D$4:$AH$4,"2"))+COUNTIFS($D48:$AH48,"8",$D$4:$AH$4,"3")</f>
        <v>1</v>
      </c>
      <c r="AZ48" s="283">
        <f t="shared" si="4"/>
        <v>0</v>
      </c>
      <c r="BA48" s="283">
        <f t="shared" si="5"/>
        <v>1</v>
      </c>
      <c r="BB48" s="283">
        <f>AV48*'Spreadsheet Key'!$A$27+AW48*'Spreadsheet Key'!$A$28+AX48*'Spreadsheet Key'!$A$29+AY48*'Spreadsheet Key'!$A$30+AZ48*'Spreadsheet Key'!$A$31</f>
        <v>36</v>
      </c>
      <c r="BC48" s="283"/>
      <c r="BD48" s="283">
        <f t="shared" ref="BD48" si="44">AT48-BB48</f>
        <v>0.3439930555555577</v>
      </c>
      <c r="BE48" s="3210"/>
      <c r="BF48" s="3210"/>
      <c r="BG48" s="3210"/>
      <c r="BH48" s="3210"/>
    </row>
    <row r="49" spans="1:60">
      <c r="A49" s="3208"/>
      <c r="B49" s="3208"/>
      <c r="C49" s="3180" t="str">
        <f t="shared" si="0"/>
        <v xml:space="preserve"> </v>
      </c>
      <c r="D49" s="3222"/>
      <c r="E49" s="904" t="s">
        <v>722</v>
      </c>
      <c r="F49" s="2879"/>
      <c r="G49" s="2599" t="s">
        <v>1025</v>
      </c>
      <c r="H49" s="6319" t="s">
        <v>1279</v>
      </c>
      <c r="I49" s="6319"/>
      <c r="J49" s="6319"/>
      <c r="K49" s="6319"/>
      <c r="L49" s="6319"/>
      <c r="M49" s="6319"/>
      <c r="N49" s="6319"/>
      <c r="O49" s="6319"/>
      <c r="P49" s="6319"/>
      <c r="Q49" s="6319"/>
      <c r="R49" s="6319"/>
      <c r="S49" s="6319"/>
      <c r="T49" s="2599" t="s">
        <v>1025</v>
      </c>
      <c r="U49" s="321"/>
      <c r="V49" s="2443"/>
      <c r="W49" s="321"/>
      <c r="X49" s="321"/>
      <c r="Y49" s="321"/>
      <c r="Z49" s="4333" t="s">
        <v>1293</v>
      </c>
      <c r="AA49" s="4411"/>
      <c r="AB49" s="4411"/>
      <c r="AC49" s="4334"/>
      <c r="AD49" s="2434"/>
      <c r="AE49" s="321"/>
      <c r="AF49" s="321"/>
      <c r="AG49" s="321"/>
      <c r="AH49" s="322"/>
      <c r="AI49" s="3226"/>
      <c r="AJ49" s="283"/>
      <c r="AK49" s="283"/>
      <c r="AL49" s="283"/>
      <c r="AM49" s="283"/>
      <c r="AN49" s="283"/>
      <c r="AO49" s="283"/>
      <c r="AP49" s="283"/>
      <c r="AQ49" s="283"/>
      <c r="AR49" s="283"/>
      <c r="AS49" s="283"/>
      <c r="AT49" s="3228"/>
      <c r="AU49" s="283"/>
      <c r="AV49" s="283">
        <f t="shared" si="1"/>
        <v>0</v>
      </c>
      <c r="AW49" s="283">
        <f t="shared" si="2"/>
        <v>0</v>
      </c>
      <c r="AX49" s="283">
        <f t="shared" si="3"/>
        <v>0</v>
      </c>
      <c r="AY49" s="283" cm="1">
        <f t="array" ref="AY49">COUNTIFS($D49:$AH49,"9",$D$4:$AH$4,"1")+SUM(COUNTIFS($D49:$AH49,{"8","9"},$D$4:$AH$4,"2"))+COUNTIFS($D49:$AH49,"8",$D$4:$AH$4,"3")</f>
        <v>0</v>
      </c>
      <c r="AZ49" s="283">
        <f t="shared" si="4"/>
        <v>0</v>
      </c>
      <c r="BA49" s="283">
        <f t="shared" si="5"/>
        <v>0</v>
      </c>
      <c r="BB49" s="283">
        <f>AV49*'Spreadsheet Key'!$A$27+AW49*'Spreadsheet Key'!$A$28+AX49*'Spreadsheet Key'!$A$29+AY49*'Spreadsheet Key'!$A$30+AZ49*'Spreadsheet Key'!$A$31</f>
        <v>0</v>
      </c>
      <c r="BC49" s="283"/>
      <c r="BD49" s="283"/>
      <c r="BE49" s="283"/>
      <c r="BF49" s="283"/>
      <c r="BG49" s="283"/>
      <c r="BH49" s="283"/>
    </row>
    <row r="50" spans="1:60" s="3211" customFormat="1">
      <c r="A50" s="3180" t="s">
        <v>108</v>
      </c>
      <c r="B50" s="3180" t="s">
        <v>1106</v>
      </c>
      <c r="C50" s="3180" t="str">
        <f t="shared" si="0"/>
        <v>OS1 LARA</v>
      </c>
      <c r="D50" s="3199">
        <v>0</v>
      </c>
      <c r="E50" s="3198">
        <v>9</v>
      </c>
      <c r="F50" s="3198">
        <v>0</v>
      </c>
      <c r="G50" s="3198">
        <v>1</v>
      </c>
      <c r="H50" s="3198">
        <v>2</v>
      </c>
      <c r="I50" s="3198">
        <v>2</v>
      </c>
      <c r="J50" s="3198">
        <v>2</v>
      </c>
      <c r="K50" s="3198">
        <v>2</v>
      </c>
      <c r="L50" s="3198">
        <v>2</v>
      </c>
      <c r="M50" s="3198">
        <v>2</v>
      </c>
      <c r="N50" s="3198">
        <v>2</v>
      </c>
      <c r="O50" s="3198">
        <v>2</v>
      </c>
      <c r="P50" s="3198">
        <v>2</v>
      </c>
      <c r="Q50" s="3198">
        <v>2</v>
      </c>
      <c r="R50" s="3198">
        <v>2</v>
      </c>
      <c r="S50" s="3198">
        <v>2</v>
      </c>
      <c r="T50" s="3198">
        <v>3</v>
      </c>
      <c r="U50" s="3198">
        <v>0</v>
      </c>
      <c r="V50" s="3198">
        <v>0</v>
      </c>
      <c r="W50" s="3198">
        <v>0</v>
      </c>
      <c r="X50" s="3198">
        <v>0</v>
      </c>
      <c r="Y50" s="3198">
        <v>0</v>
      </c>
      <c r="Z50" s="3198">
        <v>4</v>
      </c>
      <c r="AA50" s="3198">
        <v>5</v>
      </c>
      <c r="AB50" s="3198">
        <v>5</v>
      </c>
      <c r="AC50" s="3198">
        <v>6</v>
      </c>
      <c r="AD50" s="3198">
        <v>0</v>
      </c>
      <c r="AE50" s="3198">
        <v>0</v>
      </c>
      <c r="AF50" s="3198">
        <v>0</v>
      </c>
      <c r="AG50" s="3198">
        <v>0</v>
      </c>
      <c r="AH50" s="3198">
        <v>0</v>
      </c>
      <c r="AI50" s="3226">
        <v>0</v>
      </c>
      <c r="AJ50" s="283" cm="1">
        <f t="array" ref="AJ50">SUM(COUNTIFS($D50:$AH50,{"0","4","5","6","7","8","9"}))</f>
        <v>17</v>
      </c>
      <c r="AK50" s="283" cm="1">
        <f t="array" ref="AK50">SUM(COUNTIFS($D50:$AH50,{"0","4","5","6","7","8","9"},$D$4:$AH$4,"0"))</f>
        <v>7</v>
      </c>
      <c r="AL50" s="283" cm="1">
        <f t="array" ref="AL50">SUM(COUNTIFS($D50:$AH50,{"0","4","5","6","7","8","9"},$D$4:$AH$4,"1"))</f>
        <v>3</v>
      </c>
      <c r="AM50" s="283" cm="1">
        <f t="array" ref="AM50">SUM(COUNTIFS($D50:$AH50,{"0","4","5","6","7","8","9"},$D$4:$AH$4,"2"))</f>
        <v>5</v>
      </c>
      <c r="AN50" s="283" cm="1">
        <f t="array" ref="AN50">SUM(COUNTIFS($D50:$AH50,{"0","4","5","6","7","8","9"},$D$4:$AH$4,"3"))</f>
        <v>2</v>
      </c>
      <c r="AO50" s="283" cm="1">
        <f t="array" ref="AO50">SUM(COUNTIFS($D50:$AH50,{"1","2","3"}))</f>
        <v>14</v>
      </c>
      <c r="AP50" s="283" cm="1">
        <f t="array" ref="AP50">SUM(COUNTIFS($D50:$AH50,{"4","5","6"}))</f>
        <v>4</v>
      </c>
      <c r="AQ50" s="283">
        <f>AK50*'Spreadsheet Key'!$A$23 + AL50*'Spreadsheet Key'!$A$24 + AM50*'Spreadsheet Key'!$A$25 + AN50*'Spreadsheet Key'!$A$26</f>
        <v>788</v>
      </c>
      <c r="AR50" s="283">
        <f>AJ50/('MAY Statistics'!$B$30)*ABS(AI50-1)</f>
        <v>2.9513888888888888E-2</v>
      </c>
      <c r="AS50" s="283">
        <f t="shared" ref="AS50" si="45">AI50*AT50</f>
        <v>0</v>
      </c>
      <c r="AT50" s="3228">
        <f>AR50*'MAY Statistics'!$C$11</f>
        <v>36.343993055555558</v>
      </c>
      <c r="AU50" s="283"/>
      <c r="AV50" s="283">
        <f t="shared" si="1"/>
        <v>0</v>
      </c>
      <c r="AW50" s="283">
        <f t="shared" si="2"/>
        <v>0</v>
      </c>
      <c r="AX50" s="283">
        <f t="shared" si="3"/>
        <v>0</v>
      </c>
      <c r="AY50" s="283" cm="1">
        <f t="array" ref="AY50">COUNTIFS($D50:$AH50,"9",$D$4:$AH$4,"1")+SUM(COUNTIFS($D50:$AH50,{"8","9"},$D$4:$AH$4,"2"))+COUNTIFS($D50:$AH50,"8",$D$4:$AH$4,"3")</f>
        <v>1</v>
      </c>
      <c r="AZ50" s="283">
        <f t="shared" si="4"/>
        <v>0</v>
      </c>
      <c r="BA50" s="283">
        <f t="shared" si="5"/>
        <v>1</v>
      </c>
      <c r="BB50" s="283">
        <f>AV50*'Spreadsheet Key'!$A$27+AW50*'Spreadsheet Key'!$A$28+AX50*'Spreadsheet Key'!$A$29+AY50*'Spreadsheet Key'!$A$30+AZ50*'Spreadsheet Key'!$A$31</f>
        <v>36</v>
      </c>
      <c r="BC50" s="283"/>
      <c r="BD50" s="283">
        <f t="shared" ref="BD50" si="46">AT50-BB50</f>
        <v>0.3439930555555577</v>
      </c>
      <c r="BE50" s="3210"/>
      <c r="BF50" s="3210"/>
      <c r="BG50" s="3210"/>
      <c r="BH50" s="3210"/>
    </row>
    <row r="51" spans="1:60">
      <c r="A51" s="3208"/>
      <c r="B51" s="3208"/>
      <c r="C51" s="3180" t="str">
        <f t="shared" si="0"/>
        <v xml:space="preserve"> </v>
      </c>
      <c r="D51" s="778"/>
      <c r="E51" s="778"/>
      <c r="F51" s="2437"/>
      <c r="G51" s="776"/>
      <c r="H51" s="776"/>
      <c r="I51" s="3019" t="s">
        <v>1025</v>
      </c>
      <c r="J51" s="4593" t="s">
        <v>1280</v>
      </c>
      <c r="K51" s="4593"/>
      <c r="L51" s="3019" t="s">
        <v>1025</v>
      </c>
      <c r="M51" s="2705"/>
      <c r="N51" s="2437"/>
      <c r="O51" s="904" t="s">
        <v>720</v>
      </c>
      <c r="P51" s="776"/>
      <c r="Q51" s="776"/>
      <c r="R51" s="776"/>
      <c r="S51" s="904"/>
      <c r="T51" s="776"/>
      <c r="U51" s="778"/>
      <c r="V51" s="778"/>
      <c r="W51" s="778"/>
      <c r="X51" s="778"/>
      <c r="Y51" s="778"/>
      <c r="Z51" s="778"/>
      <c r="AA51" s="778"/>
      <c r="AB51" s="778"/>
      <c r="AC51" s="778"/>
      <c r="AD51" s="904" t="s">
        <v>722</v>
      </c>
      <c r="AE51" s="778"/>
      <c r="AF51" s="778"/>
      <c r="AG51" s="778"/>
      <c r="AH51" s="805"/>
      <c r="AI51" s="3226"/>
      <c r="AJ51" s="283"/>
      <c r="AK51" s="283"/>
      <c r="AL51" s="283"/>
      <c r="AM51" s="283"/>
      <c r="AN51" s="283"/>
      <c r="AO51" s="283"/>
      <c r="AP51" s="283"/>
      <c r="AQ51" s="283"/>
      <c r="AR51" s="283"/>
      <c r="AS51" s="283"/>
      <c r="AT51" s="3228"/>
      <c r="AU51" s="283"/>
      <c r="AV51" s="283">
        <f t="shared" si="1"/>
        <v>0</v>
      </c>
      <c r="AW51" s="283">
        <f t="shared" si="2"/>
        <v>0</v>
      </c>
      <c r="AX51" s="283">
        <f t="shared" si="3"/>
        <v>0</v>
      </c>
      <c r="AY51" s="283" cm="1">
        <f t="array" ref="AY51">COUNTIFS($D51:$AH51,"9",$D$4:$AH$4,"1")+SUM(COUNTIFS($D51:$AH51,{"8","9"},$D$4:$AH$4,"2"))+COUNTIFS($D51:$AH51,"8",$D$4:$AH$4,"3")</f>
        <v>0</v>
      </c>
      <c r="AZ51" s="283">
        <f t="shared" si="4"/>
        <v>0</v>
      </c>
      <c r="BA51" s="283">
        <f t="shared" si="5"/>
        <v>0</v>
      </c>
      <c r="BB51" s="283">
        <f>AV51*'Spreadsheet Key'!$A$27+AW51*'Spreadsheet Key'!$A$28+AX51*'Spreadsheet Key'!$A$29+AY51*'Spreadsheet Key'!$A$30+AZ51*'Spreadsheet Key'!$A$31</f>
        <v>0</v>
      </c>
      <c r="BC51" s="283"/>
      <c r="BD51" s="283"/>
      <c r="BE51" s="283"/>
      <c r="BF51" s="283"/>
      <c r="BG51" s="283"/>
      <c r="BH51" s="283"/>
    </row>
    <row r="52" spans="1:60" s="3211" customFormat="1">
      <c r="A52" s="3180" t="s">
        <v>145</v>
      </c>
      <c r="B52" s="3180" t="s">
        <v>148</v>
      </c>
      <c r="C52" s="3180" t="str">
        <f t="shared" si="0"/>
        <v>ITC ANTERO</v>
      </c>
      <c r="D52" s="3199">
        <v>0</v>
      </c>
      <c r="E52" s="3198">
        <v>0</v>
      </c>
      <c r="F52" s="3198">
        <v>0</v>
      </c>
      <c r="G52" s="3198">
        <v>0</v>
      </c>
      <c r="H52" s="3198">
        <v>0</v>
      </c>
      <c r="I52" s="3198">
        <v>1</v>
      </c>
      <c r="J52" s="3198">
        <v>2</v>
      </c>
      <c r="K52" s="3198">
        <v>2</v>
      </c>
      <c r="L52" s="3198">
        <v>3</v>
      </c>
      <c r="M52" s="3263">
        <v>0</v>
      </c>
      <c r="N52" s="3198">
        <v>0</v>
      </c>
      <c r="O52" s="3198">
        <v>8</v>
      </c>
      <c r="P52" s="3198">
        <v>0</v>
      </c>
      <c r="Q52" s="3198">
        <v>0</v>
      </c>
      <c r="R52" s="3198">
        <v>0</v>
      </c>
      <c r="S52" s="3198">
        <v>0</v>
      </c>
      <c r="T52" s="3198">
        <v>0</v>
      </c>
      <c r="U52" s="3198">
        <v>0</v>
      </c>
      <c r="V52" s="3198">
        <v>0</v>
      </c>
      <c r="W52" s="3198">
        <v>0</v>
      </c>
      <c r="X52" s="3198">
        <v>0</v>
      </c>
      <c r="Y52" s="3198">
        <v>0</v>
      </c>
      <c r="Z52" s="3198">
        <v>0</v>
      </c>
      <c r="AA52" s="3198">
        <v>0</v>
      </c>
      <c r="AB52" s="3198">
        <v>0</v>
      </c>
      <c r="AC52" s="3198">
        <v>0</v>
      </c>
      <c r="AD52" s="3198">
        <v>9</v>
      </c>
      <c r="AE52" s="3198">
        <v>0</v>
      </c>
      <c r="AF52" s="3198">
        <v>0</v>
      </c>
      <c r="AG52" s="3198">
        <v>0</v>
      </c>
      <c r="AH52" s="3198">
        <v>0</v>
      </c>
      <c r="AI52" s="3226">
        <v>0</v>
      </c>
      <c r="AJ52" s="283" cm="1">
        <f t="array" ref="AJ52">SUM(COUNTIFS($D52:$AH52,{"0","4","5","6","7","8","9"}))</f>
        <v>27</v>
      </c>
      <c r="AK52" s="283" cm="1">
        <f t="array" ref="AK52">SUM(COUNTIFS($D52:$AH52,{"0","4","5","6","7","8","9"},$D$4:$AH$4,"0"))</f>
        <v>12</v>
      </c>
      <c r="AL52" s="283" cm="1">
        <f t="array" ref="AL52">SUM(COUNTIFS($D52:$AH52,{"0","4","5","6","7","8","9"},$D$4:$AH$4,"1"))</f>
        <v>4</v>
      </c>
      <c r="AM52" s="283" cm="1">
        <f t="array" ref="AM52">SUM(COUNTIFS($D52:$AH52,{"0","4","5","6","7","8","9"},$D$4:$AH$4,"2"))</f>
        <v>7</v>
      </c>
      <c r="AN52" s="283" cm="1">
        <f t="array" ref="AN52">SUM(COUNTIFS($D52:$AH52,{"0","4","5","6","7","8","9"},$D$4:$AH$4,"3"))</f>
        <v>4</v>
      </c>
      <c r="AO52" s="283" cm="1">
        <f t="array" ref="AO52">SUM(COUNTIFS($D52:$AH52,{"1","2","3"}))</f>
        <v>4</v>
      </c>
      <c r="AP52" s="283" cm="1">
        <f t="array" ref="AP52">SUM(COUNTIFS($D52:$AH52,{"4","5","6"}))</f>
        <v>0</v>
      </c>
      <c r="AQ52" s="283">
        <f>AK52*'Spreadsheet Key'!$A$23 + AL52*'Spreadsheet Key'!$A$24 + AM52*'Spreadsheet Key'!$A$25 + AN52*'Spreadsheet Key'!$A$26</f>
        <v>1208</v>
      </c>
      <c r="AR52" s="283">
        <f>AJ52/('MAY Statistics'!$B$30)*ABS(AI52-1)</f>
        <v>4.6875E-2</v>
      </c>
      <c r="AS52" s="283">
        <f t="shared" ref="AS52" si="47">AI52*AT52</f>
        <v>0</v>
      </c>
      <c r="AT52" s="3228">
        <f>AR52*'MAY Statistics'!$C$11</f>
        <v>57.722812500000003</v>
      </c>
      <c r="AU52" s="283"/>
      <c r="AV52" s="283">
        <f t="shared" si="1"/>
        <v>1</v>
      </c>
      <c r="AW52" s="283">
        <f t="shared" si="2"/>
        <v>1</v>
      </c>
      <c r="AX52" s="283">
        <f t="shared" si="3"/>
        <v>0</v>
      </c>
      <c r="AY52" s="283" cm="1">
        <f t="array" ref="AY52">COUNTIFS($D52:$AH52,"9",$D$4:$AH$4,"1")+SUM(COUNTIFS($D52:$AH52,{"8","9"},$D$4:$AH$4,"2"))+COUNTIFS($D52:$AH52,"8",$D$4:$AH$4,"3")</f>
        <v>0</v>
      </c>
      <c r="AZ52" s="283">
        <f t="shared" si="4"/>
        <v>0</v>
      </c>
      <c r="BA52" s="283">
        <f t="shared" si="5"/>
        <v>2</v>
      </c>
      <c r="BB52" s="283">
        <f>AV52*'Spreadsheet Key'!$A$27+AW52*'Spreadsheet Key'!$A$28+AX52*'Spreadsheet Key'!$A$29+AY52*'Spreadsheet Key'!$A$30+AZ52*'Spreadsheet Key'!$A$31</f>
        <v>22</v>
      </c>
      <c r="BC52" s="283"/>
      <c r="BD52" s="283">
        <f t="shared" ref="BD52" si="48">AT52-BB52</f>
        <v>35.722812500000003</v>
      </c>
      <c r="BE52" s="3210"/>
      <c r="BF52" s="3210"/>
      <c r="BG52" s="3210"/>
      <c r="BH52" s="3210"/>
    </row>
    <row r="53" spans="1:60">
      <c r="A53" s="3208"/>
      <c r="B53" s="3208"/>
      <c r="C53" s="3180" t="str">
        <f t="shared" si="0"/>
        <v xml:space="preserve"> </v>
      </c>
      <c r="D53" s="3010" t="s">
        <v>1025</v>
      </c>
      <c r="E53" s="6302" t="s">
        <v>1279</v>
      </c>
      <c r="F53" s="6303"/>
      <c r="G53" s="6303"/>
      <c r="H53" s="6303"/>
      <c r="I53" s="6303"/>
      <c r="J53" s="6303"/>
      <c r="K53" s="6303"/>
      <c r="L53" s="6303"/>
      <c r="M53" s="6303"/>
      <c r="N53" s="6303"/>
      <c r="O53" s="6303"/>
      <c r="P53" s="6303"/>
      <c r="Q53" s="6303"/>
      <c r="R53" s="6303"/>
      <c r="S53" s="6304"/>
      <c r="T53" s="3010" t="s">
        <v>1025</v>
      </c>
      <c r="U53" s="779"/>
      <c r="V53" s="779"/>
      <c r="W53" s="779"/>
      <c r="X53" s="2434"/>
      <c r="Y53" s="779"/>
      <c r="Z53" s="779"/>
      <c r="AA53" s="2434"/>
      <c r="AB53" s="779"/>
      <c r="AC53" s="3266"/>
      <c r="AD53" s="2434"/>
      <c r="AE53" s="779"/>
      <c r="AF53" s="779"/>
      <c r="AG53" s="779"/>
      <c r="AH53" s="804"/>
      <c r="AI53" s="3226"/>
      <c r="AJ53" s="283"/>
      <c r="AK53" s="283"/>
      <c r="AL53" s="283"/>
      <c r="AM53" s="283"/>
      <c r="AN53" s="283"/>
      <c r="AO53" s="283"/>
      <c r="AP53" s="283"/>
      <c r="AQ53" s="283"/>
      <c r="AR53" s="283"/>
      <c r="AS53" s="283"/>
      <c r="AT53" s="3228"/>
      <c r="AU53" s="283"/>
      <c r="AV53" s="283">
        <f t="shared" si="1"/>
        <v>0</v>
      </c>
      <c r="AW53" s="283">
        <f t="shared" si="2"/>
        <v>0</v>
      </c>
      <c r="AX53" s="283">
        <f t="shared" si="3"/>
        <v>0</v>
      </c>
      <c r="AY53" s="283" cm="1">
        <f t="array" ref="AY53">COUNTIFS($D53:$AH53,"9",$D$4:$AH$4,"1")+SUM(COUNTIFS($D53:$AH53,{"8","9"},$D$4:$AH$4,"2"))+COUNTIFS($D53:$AH53,"8",$D$4:$AH$4,"3")</f>
        <v>0</v>
      </c>
      <c r="AZ53" s="283">
        <f t="shared" si="4"/>
        <v>0</v>
      </c>
      <c r="BA53" s="283">
        <f t="shared" si="5"/>
        <v>0</v>
      </c>
      <c r="BB53" s="283">
        <f>AV53*'Spreadsheet Key'!$A$27+AW53*'Spreadsheet Key'!$A$28+AX53*'Spreadsheet Key'!$A$29+AY53*'Spreadsheet Key'!$A$30+AZ53*'Spreadsheet Key'!$A$31</f>
        <v>0</v>
      </c>
      <c r="BC53" s="283"/>
      <c r="BD53" s="283"/>
      <c r="BE53" s="283"/>
      <c r="BF53" s="283"/>
      <c r="BG53" s="283"/>
      <c r="BH53" s="283"/>
    </row>
    <row r="54" spans="1:60" s="3211" customFormat="1">
      <c r="A54" s="3180" t="s">
        <v>1272</v>
      </c>
      <c r="B54" s="3180" t="s">
        <v>618</v>
      </c>
      <c r="C54" s="3180" t="str">
        <f t="shared" si="0"/>
        <v>ITCS VALENCIA</v>
      </c>
      <c r="D54" s="3199">
        <v>2</v>
      </c>
      <c r="E54" s="3199">
        <v>2</v>
      </c>
      <c r="F54" s="3199">
        <v>2</v>
      </c>
      <c r="G54" s="3199">
        <v>2</v>
      </c>
      <c r="H54" s="3199">
        <v>2</v>
      </c>
      <c r="I54" s="3199">
        <v>2</v>
      </c>
      <c r="J54" s="3199">
        <v>2</v>
      </c>
      <c r="K54" s="3199">
        <v>2</v>
      </c>
      <c r="L54" s="3199">
        <v>2</v>
      </c>
      <c r="M54" s="3199">
        <v>2</v>
      </c>
      <c r="N54" s="3199">
        <v>2</v>
      </c>
      <c r="O54" s="3199">
        <v>2</v>
      </c>
      <c r="P54" s="3199">
        <v>2</v>
      </c>
      <c r="Q54" s="3199">
        <v>2</v>
      </c>
      <c r="R54" s="3199">
        <v>2</v>
      </c>
      <c r="S54" s="3199">
        <v>2</v>
      </c>
      <c r="T54" s="3198">
        <v>3</v>
      </c>
      <c r="U54" s="3198">
        <v>0</v>
      </c>
      <c r="V54" s="3198">
        <v>0</v>
      </c>
      <c r="W54" s="3198">
        <v>0</v>
      </c>
      <c r="X54" s="3198">
        <v>0</v>
      </c>
      <c r="Y54" s="3198">
        <v>0</v>
      </c>
      <c r="Z54" s="3198">
        <v>0</v>
      </c>
      <c r="AA54" s="3198">
        <v>0</v>
      </c>
      <c r="AB54" s="3198">
        <v>0</v>
      </c>
      <c r="AC54" s="3198">
        <v>0</v>
      </c>
      <c r="AD54" s="3198">
        <v>0</v>
      </c>
      <c r="AE54" s="3198">
        <v>0</v>
      </c>
      <c r="AF54" s="3198">
        <v>0</v>
      </c>
      <c r="AG54" s="3198">
        <v>0</v>
      </c>
      <c r="AH54" s="3198">
        <v>0</v>
      </c>
      <c r="AI54" s="3226">
        <v>0</v>
      </c>
      <c r="AJ54" s="283" cm="1">
        <f t="array" ref="AJ54">SUM(COUNTIFS($D54:$AH54,{"0","4","5","6","7","8","9"}))</f>
        <v>14</v>
      </c>
      <c r="AK54" s="283" cm="1">
        <f t="array" ref="AK54">SUM(COUNTIFS($D54:$AH54,{"0","4","5","6","7","8","9"},$D$4:$AH$4,"0"))</f>
        <v>6</v>
      </c>
      <c r="AL54" s="283" cm="1">
        <f t="array" ref="AL54">SUM(COUNTIFS($D54:$AH54,{"0","4","5","6","7","8","9"},$D$4:$AH$4,"1"))</f>
        <v>2</v>
      </c>
      <c r="AM54" s="283" cm="1">
        <f t="array" ref="AM54">SUM(COUNTIFS($D54:$AH54,{"0","4","5","6","7","8","9"},$D$4:$AH$4,"2"))</f>
        <v>4</v>
      </c>
      <c r="AN54" s="283" cm="1">
        <f t="array" ref="AN54">SUM(COUNTIFS($D54:$AH54,{"0","4","5","6","7","8","9"},$D$4:$AH$4,"3"))</f>
        <v>2</v>
      </c>
      <c r="AO54" s="283" cm="1">
        <f t="array" ref="AO54">SUM(COUNTIFS($D54:$AH54,{"1","2","3"}))</f>
        <v>17</v>
      </c>
      <c r="AP54" s="283" cm="1">
        <f t="array" ref="AP54">SUM(COUNTIFS($D54:$AH54,{"4","5","6"}))</f>
        <v>0</v>
      </c>
      <c r="AQ54" s="283">
        <f>AK54*'Spreadsheet Key'!$A$23 + AL54*'Spreadsheet Key'!$A$24 + AM54*'Spreadsheet Key'!$A$25 + AN54*'Spreadsheet Key'!$A$26</f>
        <v>640</v>
      </c>
      <c r="AR54" s="283">
        <f>AJ54/('MAY Statistics'!$B$30)*ABS(AI54-1)</f>
        <v>2.4305555555555556E-2</v>
      </c>
      <c r="AS54" s="283">
        <f t="shared" ref="AS54" si="49">AI54*AT54</f>
        <v>0</v>
      </c>
      <c r="AT54" s="3228">
        <f>AR54*'MAY Statistics'!$C$11</f>
        <v>29.930347222222224</v>
      </c>
      <c r="AU54" s="283"/>
      <c r="AV54" s="283">
        <f t="shared" si="1"/>
        <v>0</v>
      </c>
      <c r="AW54" s="283">
        <f t="shared" si="2"/>
        <v>0</v>
      </c>
      <c r="AX54" s="283">
        <f t="shared" si="3"/>
        <v>0</v>
      </c>
      <c r="AY54" s="283" cm="1">
        <f t="array" ref="AY54">COUNTIFS($D54:$AH54,"9",$D$4:$AH$4,"1")+SUM(COUNTIFS($D54:$AH54,{"8","9"},$D$4:$AH$4,"2"))+COUNTIFS($D54:$AH54,"8",$D$4:$AH$4,"3")</f>
        <v>0</v>
      </c>
      <c r="AZ54" s="283">
        <f t="shared" si="4"/>
        <v>0</v>
      </c>
      <c r="BA54" s="283">
        <f t="shared" si="5"/>
        <v>0</v>
      </c>
      <c r="BB54" s="283">
        <f>AV54*'Spreadsheet Key'!$A$27+AW54*'Spreadsheet Key'!$A$28+AX54*'Spreadsheet Key'!$A$29+AY54*'Spreadsheet Key'!$A$30+AZ54*'Spreadsheet Key'!$A$31</f>
        <v>0</v>
      </c>
      <c r="BC54" s="283"/>
      <c r="BD54" s="283">
        <f t="shared" ref="BD54" si="50">AT54-BB54</f>
        <v>29.930347222222224</v>
      </c>
    </row>
    <row r="55" spans="1:60">
      <c r="A55" s="3208"/>
      <c r="B55" s="3208"/>
      <c r="C55" s="3180" t="str">
        <f t="shared" si="0"/>
        <v xml:space="preserve"> </v>
      </c>
      <c r="D55" s="779"/>
      <c r="E55" s="779"/>
      <c r="F55" s="2434"/>
      <c r="G55" s="904" t="s">
        <v>720</v>
      </c>
      <c r="H55" s="779"/>
      <c r="I55" s="779"/>
      <c r="J55" s="3215"/>
      <c r="K55" s="904"/>
      <c r="L55" s="904" t="s">
        <v>720</v>
      </c>
      <c r="M55" s="2437"/>
      <c r="N55" s="779"/>
      <c r="O55" s="779"/>
      <c r="P55" s="779"/>
      <c r="Q55" s="904" t="s">
        <v>722</v>
      </c>
      <c r="R55" s="2434"/>
      <c r="S55" s="2894"/>
      <c r="T55" s="779"/>
      <c r="U55" s="779"/>
      <c r="V55" s="779"/>
      <c r="W55" s="779"/>
      <c r="X55" s="779"/>
      <c r="Y55" s="779"/>
      <c r="Z55" s="779"/>
      <c r="AA55" s="779"/>
      <c r="AB55" s="904" t="s">
        <v>722</v>
      </c>
      <c r="AC55" s="779"/>
      <c r="AD55" s="779"/>
      <c r="AE55" s="779"/>
      <c r="AF55" s="779"/>
      <c r="AG55" s="779"/>
      <c r="AH55" s="804"/>
      <c r="AI55" s="3226"/>
      <c r="AJ55" s="283"/>
      <c r="AK55" s="283"/>
      <c r="AL55" s="283"/>
      <c r="AM55" s="283"/>
      <c r="AN55" s="283"/>
      <c r="AO55" s="283"/>
      <c r="AP55" s="283"/>
      <c r="AQ55" s="283"/>
      <c r="AR55" s="283"/>
      <c r="AS55" s="283"/>
      <c r="AT55" s="3228"/>
      <c r="AU55" s="283"/>
      <c r="AV55" s="283">
        <f t="shared" si="1"/>
        <v>0</v>
      </c>
      <c r="AW55" s="283">
        <f t="shared" si="2"/>
        <v>0</v>
      </c>
      <c r="AX55" s="283">
        <f t="shared" si="3"/>
        <v>0</v>
      </c>
      <c r="AY55" s="283" cm="1">
        <f t="array" ref="AY55">COUNTIFS($D55:$AH55,"9",$D$4:$AH$4,"1")+SUM(COUNTIFS($D55:$AH55,{"8","9"},$D$4:$AH$4,"2"))+COUNTIFS($D55:$AH55,"8",$D$4:$AH$4,"3")</f>
        <v>0</v>
      </c>
      <c r="AZ55" s="283">
        <f t="shared" si="4"/>
        <v>0</v>
      </c>
      <c r="BA55" s="283">
        <f t="shared" si="5"/>
        <v>0</v>
      </c>
      <c r="BB55" s="283">
        <f>AV55*'Spreadsheet Key'!$A$27+AW55*'Spreadsheet Key'!$A$28+AX55*'Spreadsheet Key'!$A$29+AY55*'Spreadsheet Key'!$A$30+AZ55*'Spreadsheet Key'!$A$31</f>
        <v>0</v>
      </c>
      <c r="BC55" s="283"/>
      <c r="BD55" s="283"/>
    </row>
    <row r="56" spans="1:60" s="3211" customFormat="1">
      <c r="A56" s="3180" t="s">
        <v>149</v>
      </c>
      <c r="B56" s="3180" t="s">
        <v>151</v>
      </c>
      <c r="C56" s="3180" t="str">
        <f t="shared" si="0"/>
        <v>IT1 LUCAS</v>
      </c>
      <c r="D56" s="3199">
        <v>0</v>
      </c>
      <c r="E56" s="3198">
        <v>0</v>
      </c>
      <c r="F56" s="3198">
        <v>0</v>
      </c>
      <c r="G56" s="3198">
        <v>8</v>
      </c>
      <c r="H56" s="3198">
        <v>0</v>
      </c>
      <c r="I56" s="3198">
        <v>0</v>
      </c>
      <c r="J56" s="3198">
        <v>0</v>
      </c>
      <c r="K56" s="3198">
        <v>0</v>
      </c>
      <c r="L56" s="3198">
        <v>8</v>
      </c>
      <c r="M56" s="3198">
        <v>0</v>
      </c>
      <c r="N56" s="3198">
        <v>0</v>
      </c>
      <c r="O56" s="3198">
        <v>0</v>
      </c>
      <c r="P56" s="3198">
        <v>0</v>
      </c>
      <c r="Q56" s="3198">
        <v>9</v>
      </c>
      <c r="R56" s="3198">
        <v>0</v>
      </c>
      <c r="S56" s="3198">
        <v>0</v>
      </c>
      <c r="T56" s="3198">
        <v>0</v>
      </c>
      <c r="U56" s="3198">
        <v>0</v>
      </c>
      <c r="V56" s="3198">
        <v>0</v>
      </c>
      <c r="W56" s="3198">
        <v>1</v>
      </c>
      <c r="X56" s="3198">
        <v>2</v>
      </c>
      <c r="Y56" s="3198">
        <v>3</v>
      </c>
      <c r="Z56" s="3198">
        <v>0</v>
      </c>
      <c r="AA56" s="3198">
        <v>0</v>
      </c>
      <c r="AB56" s="3198">
        <v>9</v>
      </c>
      <c r="AC56" s="3198">
        <v>0</v>
      </c>
      <c r="AD56" s="3198">
        <v>0</v>
      </c>
      <c r="AE56" s="3198">
        <v>0</v>
      </c>
      <c r="AF56" s="3198">
        <v>0</v>
      </c>
      <c r="AG56" s="3198">
        <v>0</v>
      </c>
      <c r="AH56" s="3198">
        <v>0</v>
      </c>
      <c r="AI56" s="3226">
        <v>0</v>
      </c>
      <c r="AJ56" s="283" cm="1">
        <f t="array" ref="AJ56">SUM(COUNTIFS($D56:$AH56,{"0","4","5","6","7","8","9"}))</f>
        <v>28</v>
      </c>
      <c r="AK56" s="283" cm="1">
        <f t="array" ref="AK56">SUM(COUNTIFS($D56:$AH56,{"0","4","5","6","7","8","9"},$D$4:$AH$4,"0"))</f>
        <v>13</v>
      </c>
      <c r="AL56" s="283" cm="1">
        <f t="array" ref="AL56">SUM(COUNTIFS($D56:$AH56,{"0","4","5","6","7","8","9"},$D$4:$AH$4,"1"))</f>
        <v>4</v>
      </c>
      <c r="AM56" s="283" cm="1">
        <f t="array" ref="AM56">SUM(COUNTIFS($D56:$AH56,{"0","4","5","6","7","8","9"},$D$4:$AH$4,"2"))</f>
        <v>7</v>
      </c>
      <c r="AN56" s="283" cm="1">
        <f t="array" ref="AN56">SUM(COUNTIFS($D56:$AH56,{"0","4","5","6","7","8","9"},$D$4:$AH$4,"3"))</f>
        <v>4</v>
      </c>
      <c r="AO56" s="283" cm="1">
        <f t="array" ref="AO56">SUM(COUNTIFS($D56:$AH56,{"1","2","3"}))</f>
        <v>3</v>
      </c>
      <c r="AP56" s="283" cm="1">
        <f t="array" ref="AP56">SUM(COUNTIFS($D56:$AH56,{"4","5","6"}))</f>
        <v>0</v>
      </c>
      <c r="AQ56" s="283">
        <f>AK56*'Spreadsheet Key'!$A$23 + AL56*'Spreadsheet Key'!$A$24 + AM56*'Spreadsheet Key'!$A$25 + AN56*'Spreadsheet Key'!$A$26</f>
        <v>1230</v>
      </c>
      <c r="AR56" s="283">
        <f>AJ56/('MAY Statistics'!$B$30)*ABS(AI56-1)</f>
        <v>4.8611111111111112E-2</v>
      </c>
      <c r="AS56" s="283">
        <f t="shared" ref="AS56" si="51">AI56*AT56</f>
        <v>0</v>
      </c>
      <c r="AT56" s="3228">
        <f>AR56*'MAY Statistics'!$C$11</f>
        <v>59.860694444444448</v>
      </c>
      <c r="AU56" s="283"/>
      <c r="AV56" s="283">
        <f t="shared" si="1"/>
        <v>0</v>
      </c>
      <c r="AW56" s="283">
        <f t="shared" si="2"/>
        <v>1</v>
      </c>
      <c r="AX56" s="283">
        <f t="shared" si="3"/>
        <v>1</v>
      </c>
      <c r="AY56" s="283" cm="1">
        <f t="array" ref="AY56">COUNTIFS($D56:$AH56,"9",$D$4:$AH$4,"1")+SUM(COUNTIFS($D56:$AH56,{"8","9"},$D$4:$AH$4,"2"))+COUNTIFS($D56:$AH56,"8",$D$4:$AH$4,"3")</f>
        <v>2</v>
      </c>
      <c r="AZ56" s="283">
        <f t="shared" si="4"/>
        <v>0</v>
      </c>
      <c r="BA56" s="3379">
        <f t="shared" si="5"/>
        <v>4</v>
      </c>
      <c r="BB56" s="283">
        <f>AV56*'Spreadsheet Key'!$A$27+AW56*'Spreadsheet Key'!$A$28+AX56*'Spreadsheet Key'!$A$29+AY56*'Spreadsheet Key'!$A$30+AZ56*'Spreadsheet Key'!$A$31</f>
        <v>102</v>
      </c>
      <c r="BC56" s="283"/>
      <c r="BD56" s="283">
        <f t="shared" ref="BD56" si="52">AT56-BB56</f>
        <v>-42.139305555555552</v>
      </c>
    </row>
    <row r="57" spans="1:60">
      <c r="A57" s="3208"/>
      <c r="B57" s="3208"/>
      <c r="C57" s="3180" t="str">
        <f t="shared" si="0"/>
        <v xml:space="preserve"> </v>
      </c>
      <c r="D57" s="3019" t="s">
        <v>1025</v>
      </c>
      <c r="E57" s="937"/>
      <c r="F57" s="937"/>
      <c r="G57" s="937"/>
      <c r="H57" s="937"/>
      <c r="I57" s="3019" t="s">
        <v>1025</v>
      </c>
      <c r="J57" s="4593" t="s">
        <v>1280</v>
      </c>
      <c r="K57" s="4593"/>
      <c r="L57" s="3019" t="s">
        <v>1025</v>
      </c>
      <c r="M57" s="937"/>
      <c r="N57" s="937"/>
      <c r="O57" s="937"/>
      <c r="P57" s="904" t="s">
        <v>720</v>
      </c>
      <c r="Q57" s="2433"/>
      <c r="R57" s="937"/>
      <c r="S57" s="937"/>
      <c r="T57" s="937"/>
      <c r="U57" s="937"/>
      <c r="V57" s="2433"/>
      <c r="W57" s="937"/>
      <c r="X57" s="904" t="s">
        <v>720</v>
      </c>
      <c r="Y57" s="937"/>
      <c r="Z57" s="937"/>
      <c r="AA57" s="937"/>
      <c r="AB57" s="937"/>
      <c r="AC57" s="937"/>
      <c r="AD57" s="3130"/>
      <c r="AE57" s="3130"/>
      <c r="AF57" s="3130"/>
      <c r="AG57" s="3130"/>
      <c r="AH57" s="3223"/>
      <c r="AI57" s="3226"/>
      <c r="AJ57" s="283"/>
      <c r="AK57" s="283"/>
      <c r="AL57" s="283"/>
      <c r="AM57" s="283"/>
      <c r="AN57" s="283"/>
      <c r="AO57" s="283"/>
      <c r="AP57" s="283"/>
      <c r="AQ57" s="283"/>
      <c r="AR57" s="283"/>
      <c r="AS57" s="283"/>
      <c r="AT57" s="3228"/>
      <c r="AU57" s="283"/>
      <c r="AV57" s="283">
        <f t="shared" si="1"/>
        <v>0</v>
      </c>
      <c r="AW57" s="283">
        <f t="shared" si="2"/>
        <v>0</v>
      </c>
      <c r="AX57" s="283">
        <f t="shared" si="3"/>
        <v>0</v>
      </c>
      <c r="AY57" s="283" cm="1">
        <f t="array" ref="AY57">COUNTIFS($D57:$AH57,"9",$D$4:$AH$4,"1")+SUM(COUNTIFS($D57:$AH57,{"8","9"},$D$4:$AH$4,"2"))+COUNTIFS($D57:$AH57,"8",$D$4:$AH$4,"3")</f>
        <v>0</v>
      </c>
      <c r="AZ57" s="283">
        <f t="shared" si="4"/>
        <v>0</v>
      </c>
      <c r="BA57" s="283">
        <f t="shared" si="5"/>
        <v>0</v>
      </c>
      <c r="BB57" s="283">
        <f>AV57*'Spreadsheet Key'!$A$27+AW57*'Spreadsheet Key'!$A$28+AX57*'Spreadsheet Key'!$A$29+AY57*'Spreadsheet Key'!$A$30+AZ57*'Spreadsheet Key'!$A$31</f>
        <v>0</v>
      </c>
      <c r="BC57" s="283"/>
      <c r="BD57" s="283"/>
    </row>
    <row r="58" spans="1:60" s="3211" customFormat="1">
      <c r="A58" s="3180" t="s">
        <v>77</v>
      </c>
      <c r="B58" s="3180" t="s">
        <v>1005</v>
      </c>
      <c r="C58" s="3180" t="str">
        <f t="shared" si="0"/>
        <v>LCDR DESORMIER</v>
      </c>
      <c r="D58" s="3199">
        <v>3</v>
      </c>
      <c r="E58" s="3198">
        <v>0</v>
      </c>
      <c r="F58" s="3198">
        <v>0</v>
      </c>
      <c r="G58" s="3198">
        <v>0</v>
      </c>
      <c r="H58" s="3198">
        <v>0</v>
      </c>
      <c r="I58" s="3198">
        <v>1</v>
      </c>
      <c r="J58" s="3198">
        <v>2</v>
      </c>
      <c r="K58" s="3198">
        <v>2</v>
      </c>
      <c r="L58" s="3198">
        <v>3</v>
      </c>
      <c r="M58" s="3198">
        <v>0</v>
      </c>
      <c r="N58" s="3198">
        <v>0</v>
      </c>
      <c r="O58" s="3198">
        <v>0</v>
      </c>
      <c r="P58" s="3198">
        <v>8</v>
      </c>
      <c r="Q58" s="3198">
        <v>0</v>
      </c>
      <c r="R58" s="3198">
        <v>0</v>
      </c>
      <c r="S58" s="3198">
        <v>0</v>
      </c>
      <c r="T58" s="3198">
        <v>0</v>
      </c>
      <c r="U58" s="3198">
        <v>0</v>
      </c>
      <c r="V58" s="3198">
        <v>0</v>
      </c>
      <c r="W58" s="3198">
        <v>0</v>
      </c>
      <c r="X58" s="3198">
        <v>8</v>
      </c>
      <c r="Y58" s="3198">
        <v>0</v>
      </c>
      <c r="Z58" s="3198">
        <v>0</v>
      </c>
      <c r="AA58" s="3198">
        <v>0</v>
      </c>
      <c r="AB58" s="3198">
        <v>0</v>
      </c>
      <c r="AC58" s="3198">
        <v>0</v>
      </c>
      <c r="AD58" s="3198">
        <v>0</v>
      </c>
      <c r="AE58" s="3198">
        <v>0</v>
      </c>
      <c r="AF58" s="3198">
        <v>0</v>
      </c>
      <c r="AG58" s="3198">
        <v>0</v>
      </c>
      <c r="AH58" s="3198">
        <v>0</v>
      </c>
      <c r="AI58" s="3226">
        <v>1</v>
      </c>
      <c r="AJ58" s="283" cm="1">
        <f t="array" ref="AJ58">SUM(COUNTIFS($D58:$AH58,{"0","4","5","6","7","8","9"}))</f>
        <v>26</v>
      </c>
      <c r="AK58" s="283" cm="1">
        <f t="array" ref="AK58">SUM(COUNTIFS($D58:$AH58,{"0","4","5","6","7","8","9"},$D$4:$AH$4,"0"))</f>
        <v>11</v>
      </c>
      <c r="AL58" s="283" cm="1">
        <f t="array" ref="AL58">SUM(COUNTIFS($D58:$AH58,{"0","4","5","6","7","8","9"},$D$4:$AH$4,"1"))</f>
        <v>4</v>
      </c>
      <c r="AM58" s="283" cm="1">
        <f t="array" ref="AM58">SUM(COUNTIFS($D58:$AH58,{"0","4","5","6","7","8","9"},$D$4:$AH$4,"2"))</f>
        <v>7</v>
      </c>
      <c r="AN58" s="283" cm="1">
        <f t="array" ref="AN58">SUM(COUNTIFS($D58:$AH58,{"0","4","5","6","7","8","9"},$D$4:$AH$4,"3"))</f>
        <v>4</v>
      </c>
      <c r="AO58" s="283" cm="1">
        <f t="array" ref="AO58">SUM(COUNTIFS($D58:$AH58,{"1","2","3"}))</f>
        <v>5</v>
      </c>
      <c r="AP58" s="283" cm="1">
        <f t="array" ref="AP58">SUM(COUNTIFS($D58:$AH58,{"4","5","6"}))</f>
        <v>0</v>
      </c>
      <c r="AQ58" s="283">
        <f>AK58*'Spreadsheet Key'!$A$23 + AL58*'Spreadsheet Key'!$A$24 + AM58*'Spreadsheet Key'!$A$25 + AN58*'Spreadsheet Key'!$A$26</f>
        <v>1186</v>
      </c>
      <c r="AR58" s="283">
        <f>AJ58/('MAY Statistics'!$B$30)*ABS(AI58-1)</f>
        <v>0</v>
      </c>
      <c r="AS58" s="283">
        <f>AI58*AT58</f>
        <v>23.483870967741936</v>
      </c>
      <c r="AT58" s="3228">
        <f>(AJ58/'MAY Statistics'!$B$6)*'Spreadsheet Key'!$A$32</f>
        <v>23.483870967741936</v>
      </c>
      <c r="AU58" s="283"/>
      <c r="AV58" s="283">
        <f t="shared" si="1"/>
        <v>2</v>
      </c>
      <c r="AW58" s="283">
        <f t="shared" si="2"/>
        <v>0</v>
      </c>
      <c r="AX58" s="283">
        <f t="shared" si="3"/>
        <v>0</v>
      </c>
      <c r="AY58" s="283" cm="1">
        <f t="array" ref="AY58">COUNTIFS($D58:$AH58,"9",$D$4:$AH$4,"1")+SUM(COUNTIFS($D58:$AH58,{"8","9"},$D$4:$AH$4,"2"))+COUNTIFS($D58:$AH58,"8",$D$4:$AH$4,"3")</f>
        <v>0</v>
      </c>
      <c r="AZ58" s="283">
        <f t="shared" si="4"/>
        <v>0</v>
      </c>
      <c r="BA58" s="283">
        <f t="shared" si="5"/>
        <v>2</v>
      </c>
      <c r="BB58" s="283">
        <f>AV58*'Spreadsheet Key'!$A$27+AW58*'Spreadsheet Key'!$A$28+AX58*'Spreadsheet Key'!$A$29+AY58*'Spreadsheet Key'!$A$30+AZ58*'Spreadsheet Key'!$A$31</f>
        <v>20</v>
      </c>
      <c r="BC58" s="283"/>
      <c r="BD58" s="283">
        <f t="shared" ref="BD58" si="53">AT58-BB58</f>
        <v>3.4838709677419359</v>
      </c>
    </row>
    <row r="59" spans="1:60">
      <c r="A59" s="3208"/>
      <c r="B59" s="3208"/>
      <c r="C59" s="3180" t="str">
        <f t="shared" si="0"/>
        <v xml:space="preserve"> </v>
      </c>
      <c r="D59" s="779"/>
      <c r="E59" s="904"/>
      <c r="F59" s="904" t="s">
        <v>722</v>
      </c>
      <c r="G59" s="779"/>
      <c r="H59" s="779"/>
      <c r="I59" s="2434"/>
      <c r="J59" s="779"/>
      <c r="K59" s="2434"/>
      <c r="L59" s="779"/>
      <c r="M59" s="2434"/>
      <c r="N59" s="779"/>
      <c r="O59" s="904" t="s">
        <v>722</v>
      </c>
      <c r="P59" s="779"/>
      <c r="Q59" s="2434"/>
      <c r="R59" s="2434"/>
      <c r="S59" s="2434"/>
      <c r="T59" s="2434"/>
      <c r="U59" s="904" t="s">
        <v>722</v>
      </c>
      <c r="V59" s="779"/>
      <c r="W59" s="779"/>
      <c r="X59" s="779"/>
      <c r="Y59" s="779"/>
      <c r="Z59" s="779"/>
      <c r="AA59" s="904" t="s">
        <v>720</v>
      </c>
      <c r="AB59" s="779"/>
      <c r="AC59" s="2434"/>
      <c r="AD59" s="675"/>
      <c r="AE59" s="675"/>
      <c r="AF59" s="675"/>
      <c r="AG59" s="675"/>
      <c r="AH59" s="2444"/>
      <c r="AI59" s="3226"/>
      <c r="AJ59" s="283"/>
      <c r="AK59" s="283"/>
      <c r="AL59" s="283"/>
      <c r="AM59" s="283"/>
      <c r="AN59" s="283"/>
      <c r="AO59" s="283"/>
      <c r="AP59" s="283"/>
      <c r="AQ59" s="283"/>
      <c r="AR59" s="283"/>
      <c r="AS59" s="283"/>
      <c r="AT59" s="3228"/>
      <c r="AU59" s="283"/>
      <c r="AV59" s="283">
        <f t="shared" si="1"/>
        <v>0</v>
      </c>
      <c r="AW59" s="283">
        <f t="shared" si="2"/>
        <v>0</v>
      </c>
      <c r="AX59" s="283">
        <f t="shared" si="3"/>
        <v>0</v>
      </c>
      <c r="AY59" s="283" cm="1">
        <f t="array" ref="AY59">COUNTIFS($D59:$AH59,"9",$D$4:$AH$4,"1")+SUM(COUNTIFS($D59:$AH59,{"8","9"},$D$4:$AH$4,"2"))+COUNTIFS($D59:$AH59,"8",$D$4:$AH$4,"3")</f>
        <v>0</v>
      </c>
      <c r="AZ59" s="283">
        <f t="shared" si="4"/>
        <v>0</v>
      </c>
      <c r="BA59" s="283">
        <f t="shared" si="5"/>
        <v>0</v>
      </c>
      <c r="BB59" s="283">
        <f>AV59*'Spreadsheet Key'!$A$27+AW59*'Spreadsheet Key'!$A$28+AX59*'Spreadsheet Key'!$A$29+AY59*'Spreadsheet Key'!$A$30+AZ59*'Spreadsheet Key'!$A$31</f>
        <v>0</v>
      </c>
      <c r="BC59" s="283"/>
      <c r="BD59" s="283"/>
    </row>
    <row r="60" spans="1:60" s="3211" customFormat="1">
      <c r="A60" s="3180" t="s">
        <v>602</v>
      </c>
      <c r="B60" s="3216" t="s">
        <v>660</v>
      </c>
      <c r="C60" s="3180" t="str">
        <f t="shared" si="0"/>
        <v>BMC FUENTES</v>
      </c>
      <c r="D60" s="3199">
        <v>0</v>
      </c>
      <c r="E60" s="3198">
        <v>0</v>
      </c>
      <c r="F60" s="3198">
        <v>9</v>
      </c>
      <c r="G60" s="3198">
        <v>0</v>
      </c>
      <c r="H60" s="3198">
        <v>0</v>
      </c>
      <c r="I60" s="3198">
        <v>0</v>
      </c>
      <c r="J60" s="3198">
        <v>0</v>
      </c>
      <c r="K60" s="3198">
        <v>0</v>
      </c>
      <c r="L60" s="3198">
        <v>0</v>
      </c>
      <c r="M60" s="3198">
        <v>0</v>
      </c>
      <c r="N60" s="3198">
        <v>0</v>
      </c>
      <c r="O60" s="3198">
        <v>9</v>
      </c>
      <c r="P60" s="3198">
        <v>0</v>
      </c>
      <c r="Q60" s="3198">
        <v>0</v>
      </c>
      <c r="R60" s="3198">
        <v>0</v>
      </c>
      <c r="S60" s="3198">
        <v>0</v>
      </c>
      <c r="T60" s="3198">
        <v>0</v>
      </c>
      <c r="U60" s="3198">
        <v>9</v>
      </c>
      <c r="V60" s="3198">
        <v>0</v>
      </c>
      <c r="W60" s="3198">
        <v>0</v>
      </c>
      <c r="X60" s="3198">
        <v>0</v>
      </c>
      <c r="Y60" s="3198">
        <v>0</v>
      </c>
      <c r="Z60" s="3198">
        <v>0</v>
      </c>
      <c r="AA60" s="3198">
        <v>8</v>
      </c>
      <c r="AB60" s="3198">
        <v>0</v>
      </c>
      <c r="AC60" s="3198">
        <v>0</v>
      </c>
      <c r="AD60" s="3198">
        <v>0</v>
      </c>
      <c r="AE60" s="3198">
        <v>0</v>
      </c>
      <c r="AF60" s="3198">
        <v>0</v>
      </c>
      <c r="AG60" s="3198">
        <v>0</v>
      </c>
      <c r="AH60" s="3198">
        <v>0</v>
      </c>
      <c r="AI60" s="3226">
        <v>0</v>
      </c>
      <c r="AJ60" s="283" cm="1">
        <f t="array" ref="AJ60">SUM(COUNTIFS($D60:$AH60,{"0","4","5","6","7","8","9"}))</f>
        <v>31</v>
      </c>
      <c r="AK60" s="283" cm="1">
        <f t="array" ref="AK60">SUM(COUNTIFS($D60:$AH60,{"0","4","5","6","7","8","9"},$D$4:$AH$4,"0"))</f>
        <v>15</v>
      </c>
      <c r="AL60" s="283" cm="1">
        <f t="array" ref="AL60">SUM(COUNTIFS($D60:$AH60,{"0","4","5","6","7","8","9"},$D$4:$AH$4,"1"))</f>
        <v>5</v>
      </c>
      <c r="AM60" s="283" cm="1">
        <f t="array" ref="AM60">SUM(COUNTIFS($D60:$AH60,{"0","4","5","6","7","8","9"},$D$4:$AH$4,"2"))</f>
        <v>7</v>
      </c>
      <c r="AN60" s="283" cm="1">
        <f t="array" ref="AN60">SUM(COUNTIFS($D60:$AH60,{"0","4","5","6","7","8","9"},$D$4:$AH$4,"3"))</f>
        <v>4</v>
      </c>
      <c r="AO60" s="283" cm="1">
        <f t="array" ref="AO60">SUM(COUNTIFS($D60:$AH60,{"1","2","3"}))</f>
        <v>0</v>
      </c>
      <c r="AP60" s="283" cm="1">
        <f t="array" ref="AP60">SUM(COUNTIFS($D60:$AH60,{"4","5","6"}))</f>
        <v>0</v>
      </c>
      <c r="AQ60" s="283">
        <f>AK60*'Spreadsheet Key'!$A$23 + AL60*'Spreadsheet Key'!$A$24 + AM60*'Spreadsheet Key'!$A$25 + AN60*'Spreadsheet Key'!$A$26</f>
        <v>1328</v>
      </c>
      <c r="AR60" s="283">
        <f>AJ60/('MAY Statistics'!$B$30)*ABS(AI60-1)</f>
        <v>5.3819444444444448E-2</v>
      </c>
      <c r="AS60" s="283">
        <f t="shared" ref="AS60:AS116" si="54">AI60*AT60</f>
        <v>0</v>
      </c>
      <c r="AT60" s="3228">
        <f>AR60*'MAY Statistics'!$C$11</f>
        <v>66.274340277777782</v>
      </c>
      <c r="AU60" s="283"/>
      <c r="AV60" s="283">
        <f t="shared" si="1"/>
        <v>0</v>
      </c>
      <c r="AW60" s="283">
        <f t="shared" si="2"/>
        <v>1</v>
      </c>
      <c r="AX60" s="283">
        <f t="shared" si="3"/>
        <v>0</v>
      </c>
      <c r="AY60" s="283" cm="1">
        <f t="array" ref="AY60">COUNTIFS($D60:$AH60,"9",$D$4:$AH$4,"1")+SUM(COUNTIFS($D60:$AH60,{"8","9"},$D$4:$AH$4,"2"))+COUNTIFS($D60:$AH60,"8",$D$4:$AH$4,"3")</f>
        <v>2</v>
      </c>
      <c r="AZ60" s="283">
        <f t="shared" si="4"/>
        <v>1</v>
      </c>
      <c r="BA60" s="3380">
        <f t="shared" si="5"/>
        <v>4</v>
      </c>
      <c r="BB60" s="283">
        <f>AV60*'Spreadsheet Key'!$A$27+AW60*'Spreadsheet Key'!$A$28+AX60*'Spreadsheet Key'!$A$29+AY60*'Spreadsheet Key'!$A$30+AZ60*'Spreadsheet Key'!$A$31</f>
        <v>104</v>
      </c>
      <c r="BC60" s="283"/>
      <c r="BD60" s="283">
        <f t="shared" ref="BD60" si="55">AT60-BB60</f>
        <v>-37.725659722222218</v>
      </c>
    </row>
    <row r="61" spans="1:60">
      <c r="A61" s="3208"/>
      <c r="B61" s="3208"/>
      <c r="C61" s="3180" t="str">
        <f t="shared" si="0"/>
        <v xml:space="preserve"> </v>
      </c>
      <c r="D61" s="3010" t="s">
        <v>1025</v>
      </c>
      <c r="E61" s="782"/>
      <c r="F61" s="782"/>
      <c r="G61" s="904" t="s">
        <v>722</v>
      </c>
      <c r="H61" s="782"/>
      <c r="I61" s="3010" t="s">
        <v>1025</v>
      </c>
      <c r="J61" s="4306" t="s">
        <v>1280</v>
      </c>
      <c r="K61" s="4306"/>
      <c r="L61" s="3010" t="s">
        <v>1025</v>
      </c>
      <c r="M61" s="782"/>
      <c r="N61" s="782"/>
      <c r="O61" s="782"/>
      <c r="P61" s="782"/>
      <c r="Q61" s="2443"/>
      <c r="R61" s="2437"/>
      <c r="S61" s="904" t="s">
        <v>720</v>
      </c>
      <c r="T61" s="782"/>
      <c r="U61" s="2443"/>
      <c r="V61" s="2443"/>
      <c r="W61" s="782"/>
      <c r="X61" s="782"/>
      <c r="Y61" s="904"/>
      <c r="Z61" s="782"/>
      <c r="AA61" s="904" t="s">
        <v>722</v>
      </c>
      <c r="AB61" s="782"/>
      <c r="AC61" s="782"/>
      <c r="AD61" s="3591" t="s">
        <v>483</v>
      </c>
      <c r="AE61" s="3591" t="s">
        <v>483</v>
      </c>
      <c r="AF61" s="3679"/>
      <c r="AG61" s="3070"/>
      <c r="AH61" s="3224"/>
      <c r="AI61" s="3226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3228"/>
      <c r="AU61" s="283"/>
      <c r="AV61" s="283">
        <f t="shared" si="1"/>
        <v>0</v>
      </c>
      <c r="AW61" s="283">
        <f t="shared" si="2"/>
        <v>0</v>
      </c>
      <c r="AX61" s="283">
        <f t="shared" si="3"/>
        <v>0</v>
      </c>
      <c r="AY61" s="283" cm="1">
        <f t="array" ref="AY61">COUNTIFS($D61:$AH61,"9",$D$4:$AH$4,"1")+SUM(COUNTIFS($D61:$AH61,{"8","9"},$D$4:$AH$4,"2"))+COUNTIFS($D61:$AH61,"8",$D$4:$AH$4,"3")</f>
        <v>0</v>
      </c>
      <c r="AZ61" s="283">
        <f t="shared" si="4"/>
        <v>0</v>
      </c>
      <c r="BA61" s="283">
        <f t="shared" si="5"/>
        <v>0</v>
      </c>
      <c r="BB61" s="283">
        <f>AV61*'Spreadsheet Key'!$A$27+AW61*'Spreadsheet Key'!$A$28+AX61*'Spreadsheet Key'!$A$29+AY61*'Spreadsheet Key'!$A$30+AZ61*'Spreadsheet Key'!$A$31</f>
        <v>0</v>
      </c>
      <c r="BC61" s="283"/>
      <c r="BD61" s="283"/>
    </row>
    <row r="62" spans="1:60" s="3211" customFormat="1">
      <c r="A62" s="3180" t="s">
        <v>81</v>
      </c>
      <c r="B62" s="3180" t="s">
        <v>396</v>
      </c>
      <c r="C62" s="3180" t="str">
        <f t="shared" si="0"/>
        <v>LTJG MOORE</v>
      </c>
      <c r="D62" s="3199">
        <v>3</v>
      </c>
      <c r="E62" s="3198">
        <v>0</v>
      </c>
      <c r="F62" s="3198">
        <v>0</v>
      </c>
      <c r="G62" s="3198">
        <v>9</v>
      </c>
      <c r="H62" s="3198">
        <v>0</v>
      </c>
      <c r="I62" s="3198">
        <v>1</v>
      </c>
      <c r="J62" s="3198">
        <v>2</v>
      </c>
      <c r="K62" s="3198">
        <v>2</v>
      </c>
      <c r="L62" s="3198">
        <v>3</v>
      </c>
      <c r="M62" s="3198">
        <v>0</v>
      </c>
      <c r="N62" s="3198">
        <v>0</v>
      </c>
      <c r="O62" s="3198">
        <v>0</v>
      </c>
      <c r="P62" s="3198">
        <v>0</v>
      </c>
      <c r="Q62" s="3198">
        <v>0</v>
      </c>
      <c r="R62" s="3198">
        <v>0</v>
      </c>
      <c r="S62" s="3198">
        <v>8</v>
      </c>
      <c r="T62" s="3198">
        <v>0</v>
      </c>
      <c r="U62" s="3198">
        <v>0</v>
      </c>
      <c r="V62" s="3198">
        <v>0</v>
      </c>
      <c r="W62" s="3198">
        <v>0</v>
      </c>
      <c r="X62" s="3198">
        <v>0</v>
      </c>
      <c r="Y62" s="3198">
        <v>0</v>
      </c>
      <c r="Z62" s="3198">
        <v>0</v>
      </c>
      <c r="AA62" s="3198">
        <v>9</v>
      </c>
      <c r="AB62" s="3198">
        <v>0</v>
      </c>
      <c r="AC62" s="3198">
        <v>0</v>
      </c>
      <c r="AD62" s="3198">
        <v>7</v>
      </c>
      <c r="AE62" s="3198">
        <v>7</v>
      </c>
      <c r="AF62" s="3198">
        <v>0</v>
      </c>
      <c r="AG62" s="3198">
        <v>0</v>
      </c>
      <c r="AH62" s="3198">
        <v>0</v>
      </c>
      <c r="AI62" s="3226">
        <v>0</v>
      </c>
      <c r="AJ62" s="283" cm="1">
        <f t="array" ref="AJ62">SUM(COUNTIFS($D62:$AH62,{"0","4","5","6","7","8","9"}))</f>
        <v>26</v>
      </c>
      <c r="AK62" s="283" cm="1">
        <f t="array" ref="AK62">SUM(COUNTIFS($D62:$AH62,{"0","4","5","6","7","8","9"},$D$4:$AH$4,"0"))</f>
        <v>11</v>
      </c>
      <c r="AL62" s="283" cm="1">
        <f t="array" ref="AL62">SUM(COUNTIFS($D62:$AH62,{"0","4","5","6","7","8","9"},$D$4:$AH$4,"1"))</f>
        <v>4</v>
      </c>
      <c r="AM62" s="283" cm="1">
        <f t="array" ref="AM62">SUM(COUNTIFS($D62:$AH62,{"0","4","5","6","7","8","9"},$D$4:$AH$4,"2"))</f>
        <v>7</v>
      </c>
      <c r="AN62" s="283" cm="1">
        <f t="array" ref="AN62">SUM(COUNTIFS($D62:$AH62,{"0","4","5","6","7","8","9"},$D$4:$AH$4,"3"))</f>
        <v>4</v>
      </c>
      <c r="AO62" s="283" cm="1">
        <f t="array" ref="AO62">SUM(COUNTIFS($D62:$AH62,{"1","2","3"}))</f>
        <v>5</v>
      </c>
      <c r="AP62" s="283" cm="1">
        <f t="array" ref="AP62">SUM(COUNTIFS($D62:$AH62,{"4","5","6"}))</f>
        <v>0</v>
      </c>
      <c r="AQ62" s="283">
        <f>AK62*'Spreadsheet Key'!$A$23 + AL62*'Spreadsheet Key'!$A$24 + AM62*'Spreadsheet Key'!$A$25 + AN62*'Spreadsheet Key'!$A$26</f>
        <v>1186</v>
      </c>
      <c r="AR62" s="283">
        <f>AJ62/('MAY Statistics'!$B$30)*ABS(AI62-1)</f>
        <v>4.5138888888888888E-2</v>
      </c>
      <c r="AS62" s="283">
        <v>0</v>
      </c>
      <c r="AT62" s="3228">
        <f>AR62*'MAY Statistics'!$C$11</f>
        <v>55.584930555555559</v>
      </c>
      <c r="AU62" s="283"/>
      <c r="AV62" s="283">
        <f t="shared" si="1"/>
        <v>0</v>
      </c>
      <c r="AW62" s="283">
        <f t="shared" si="2"/>
        <v>0</v>
      </c>
      <c r="AX62" s="283">
        <f t="shared" si="3"/>
        <v>1</v>
      </c>
      <c r="AY62" s="283" cm="1">
        <f t="array" ref="AY62">COUNTIFS($D62:$AH62,"9",$D$4:$AH$4,"1")+SUM(COUNTIFS($D62:$AH62,{"8","9"},$D$4:$AH$4,"2"))+COUNTIFS($D62:$AH62,"8",$D$4:$AH$4,"3")</f>
        <v>1</v>
      </c>
      <c r="AZ62" s="283">
        <f t="shared" si="4"/>
        <v>1</v>
      </c>
      <c r="BA62" s="3378">
        <f t="shared" si="5"/>
        <v>3</v>
      </c>
      <c r="BB62" s="283">
        <f>AV62*'Spreadsheet Key'!$A$27+AW62*'Spreadsheet Key'!$A$28+AX62*'Spreadsheet Key'!$A$29+AY62*'Spreadsheet Key'!$A$30+AZ62*'Spreadsheet Key'!$A$31</f>
        <v>74</v>
      </c>
      <c r="BC62" s="283"/>
      <c r="BD62" s="283">
        <f t="shared" ref="BD62" si="56">AT62-BB62</f>
        <v>-18.415069444444441</v>
      </c>
    </row>
    <row r="63" spans="1:60">
      <c r="A63" s="3208"/>
      <c r="B63" s="3208"/>
      <c r="C63" s="3180" t="str">
        <f t="shared" si="0"/>
        <v xml:space="preserve"> </v>
      </c>
      <c r="D63" s="778"/>
      <c r="E63" s="778"/>
      <c r="F63" s="3010" t="s">
        <v>1025</v>
      </c>
      <c r="G63" s="6315" t="s">
        <v>754</v>
      </c>
      <c r="H63" s="6316"/>
      <c r="I63" s="3023" t="s">
        <v>1025</v>
      </c>
      <c r="J63" s="6192" t="s">
        <v>1280</v>
      </c>
      <c r="K63" s="6317"/>
      <c r="L63" s="6317"/>
      <c r="M63" s="6317"/>
      <c r="N63" s="6193"/>
      <c r="O63" s="3023" t="s">
        <v>1025</v>
      </c>
      <c r="P63" s="778"/>
      <c r="Q63" s="904" t="s">
        <v>720</v>
      </c>
      <c r="R63" s="778"/>
      <c r="S63" s="2437"/>
      <c r="T63" s="778"/>
      <c r="U63" s="778"/>
      <c r="V63" s="778"/>
      <c r="W63" s="2437"/>
      <c r="X63" s="778"/>
      <c r="Y63" s="778"/>
      <c r="Z63" s="778"/>
      <c r="AA63" s="778"/>
      <c r="AB63" s="3198"/>
      <c r="AC63" s="3198" t="s">
        <v>720</v>
      </c>
      <c r="AD63" s="1207"/>
      <c r="AE63" s="1207"/>
      <c r="AF63" s="904"/>
      <c r="AG63" s="1207"/>
      <c r="AH63" s="2489"/>
      <c r="AI63" s="3226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3228"/>
      <c r="AU63" s="283"/>
      <c r="AV63" s="283">
        <f t="shared" si="1"/>
        <v>0</v>
      </c>
      <c r="AW63" s="283">
        <f t="shared" si="2"/>
        <v>0</v>
      </c>
      <c r="AX63" s="283">
        <f t="shared" si="3"/>
        <v>0</v>
      </c>
      <c r="AY63" s="283" cm="1">
        <f t="array" ref="AY63">COUNTIFS($D63:$AH63,"9",$D$4:$AH$4,"1")+SUM(COUNTIFS($D63:$AH63,{"8","9"},$D$4:$AH$4,"2"))+COUNTIFS($D63:$AH63,"8",$D$4:$AH$4,"3")</f>
        <v>0</v>
      </c>
      <c r="AZ63" s="283">
        <f t="shared" si="4"/>
        <v>0</v>
      </c>
      <c r="BA63" s="283">
        <f t="shared" si="5"/>
        <v>0</v>
      </c>
      <c r="BB63" s="283">
        <f>AV63*'Spreadsheet Key'!$A$27+AW63*'Spreadsheet Key'!$A$28+AX63*'Spreadsheet Key'!$A$29+AY63*'Spreadsheet Key'!$A$30+AZ63*'Spreadsheet Key'!$A$31</f>
        <v>0</v>
      </c>
      <c r="BC63" s="283"/>
      <c r="BD63" s="283"/>
    </row>
    <row r="64" spans="1:60" s="3211" customFormat="1">
      <c r="A64" s="3180" t="s">
        <v>95</v>
      </c>
      <c r="B64" s="3180" t="s">
        <v>303</v>
      </c>
      <c r="C64" s="3180" t="str">
        <f t="shared" si="0"/>
        <v>LT PARRA</v>
      </c>
      <c r="D64" s="3199">
        <v>0</v>
      </c>
      <c r="E64" s="3198">
        <v>0</v>
      </c>
      <c r="F64" s="3198">
        <v>1</v>
      </c>
      <c r="G64" s="3198">
        <v>2</v>
      </c>
      <c r="H64" s="3198">
        <v>2</v>
      </c>
      <c r="I64" s="3198">
        <v>2</v>
      </c>
      <c r="J64" s="3198">
        <v>2</v>
      </c>
      <c r="K64" s="3198">
        <v>2</v>
      </c>
      <c r="L64" s="3198">
        <v>2</v>
      </c>
      <c r="M64" s="3198">
        <v>2</v>
      </c>
      <c r="N64" s="3198">
        <v>2</v>
      </c>
      <c r="O64" s="3198">
        <v>3</v>
      </c>
      <c r="P64" s="3198">
        <v>0</v>
      </c>
      <c r="Q64" s="3198">
        <v>8</v>
      </c>
      <c r="R64" s="3198">
        <v>0</v>
      </c>
      <c r="S64" s="3198">
        <v>0</v>
      </c>
      <c r="T64" s="3198">
        <v>0</v>
      </c>
      <c r="U64" s="3198">
        <v>0</v>
      </c>
      <c r="V64" s="3198">
        <v>0</v>
      </c>
      <c r="W64" s="3198">
        <v>0</v>
      </c>
      <c r="X64" s="3198">
        <v>0</v>
      </c>
      <c r="Y64" s="3198">
        <v>0</v>
      </c>
      <c r="Z64" s="3198">
        <v>0</v>
      </c>
      <c r="AA64" s="3198">
        <v>0</v>
      </c>
      <c r="AB64" s="3198">
        <v>0</v>
      </c>
      <c r="AC64" s="3198">
        <v>8</v>
      </c>
      <c r="AD64" s="3198">
        <v>0</v>
      </c>
      <c r="AE64" s="3198">
        <v>0</v>
      </c>
      <c r="AF64" s="3198">
        <v>0</v>
      </c>
      <c r="AG64" s="3198">
        <v>0</v>
      </c>
      <c r="AH64" s="3198">
        <v>0</v>
      </c>
      <c r="AI64" s="3226">
        <v>0</v>
      </c>
      <c r="AJ64" s="283" cm="1">
        <f t="array" ref="AJ64">SUM(COUNTIFS($D64:$AH64,{"0","4","5","6","7","8","9"}))</f>
        <v>21</v>
      </c>
      <c r="AK64" s="283" cm="1">
        <f t="array" ref="AK64">SUM(COUNTIFS($D64:$AH64,{"0","4","5","6","7","8","9"},$D$4:$AH$4,"0"))</f>
        <v>10</v>
      </c>
      <c r="AL64" s="283" cm="1">
        <f t="array" ref="AL64">SUM(COUNTIFS($D64:$AH64,{"0","4","5","6","7","8","9"},$D$4:$AH$4,"1"))</f>
        <v>4</v>
      </c>
      <c r="AM64" s="283" cm="1">
        <f t="array" ref="AM64">SUM(COUNTIFS($D64:$AH64,{"0","4","5","6","7","8","9"},$D$4:$AH$4,"2"))</f>
        <v>5</v>
      </c>
      <c r="AN64" s="283" cm="1">
        <f t="array" ref="AN64">SUM(COUNTIFS($D64:$AH64,{"0","4","5","6","7","8","9"},$D$4:$AH$4,"3"))</f>
        <v>2</v>
      </c>
      <c r="AO64" s="283" cm="1">
        <f t="array" ref="AO64">SUM(COUNTIFS($D64:$AH64,{"1","2","3"}))</f>
        <v>10</v>
      </c>
      <c r="AP64" s="283" cm="1">
        <f t="array" ref="AP64">SUM(COUNTIFS($D64:$AH64,{"4","5","6"}))</f>
        <v>0</v>
      </c>
      <c r="AQ64" s="283">
        <f>AK64*'Spreadsheet Key'!$A$23 + AL64*'Spreadsheet Key'!$A$24 + AM64*'Spreadsheet Key'!$A$25 + AN64*'Spreadsheet Key'!$A$26</f>
        <v>908</v>
      </c>
      <c r="AR64" s="283">
        <f>AJ64/('MAY Statistics'!$B$30)*ABS(AI64-1)</f>
        <v>3.6458333333333336E-2</v>
      </c>
      <c r="AS64" s="283">
        <f t="shared" ref="AS64:AS120" si="57">AI64*AT64</f>
        <v>0</v>
      </c>
      <c r="AT64" s="3228">
        <f>AR64*'MAY Statistics'!$C$11</f>
        <v>44.895520833333336</v>
      </c>
      <c r="AU64" s="283"/>
      <c r="AV64" s="283">
        <f t="shared" si="1"/>
        <v>1</v>
      </c>
      <c r="AW64" s="283">
        <f t="shared" si="2"/>
        <v>0</v>
      </c>
      <c r="AX64" s="283">
        <f t="shared" si="3"/>
        <v>0</v>
      </c>
      <c r="AY64" s="283" cm="1">
        <f t="array" ref="AY64">COUNTIFS($D64:$AH64,"9",$D$4:$AH$4,"1")+SUM(COUNTIFS($D64:$AH64,{"8","9"},$D$4:$AH$4,"2"))+COUNTIFS($D64:$AH64,"8",$D$4:$AH$4,"3")</f>
        <v>1</v>
      </c>
      <c r="AZ64" s="283">
        <f t="shared" si="4"/>
        <v>0</v>
      </c>
      <c r="BA64" s="283">
        <f t="shared" si="5"/>
        <v>2</v>
      </c>
      <c r="BB64" s="283">
        <f>AV64*'Spreadsheet Key'!$A$27+AW64*'Spreadsheet Key'!$A$28+AX64*'Spreadsheet Key'!$A$29+AY64*'Spreadsheet Key'!$A$30+AZ64*'Spreadsheet Key'!$A$31</f>
        <v>46</v>
      </c>
      <c r="BC64" s="283"/>
      <c r="BD64" s="283">
        <f t="shared" ref="BD64" si="58">AT64-BB64</f>
        <v>-1.104479166666664</v>
      </c>
    </row>
    <row r="65" spans="1:56">
      <c r="A65" s="3208"/>
      <c r="B65" s="3208"/>
      <c r="C65" s="3180" t="str">
        <f t="shared" si="0"/>
        <v xml:space="preserve"> </v>
      </c>
      <c r="D65" s="6318" t="s">
        <v>1273</v>
      </c>
      <c r="E65" s="6318"/>
      <c r="F65" s="6318"/>
      <c r="G65" s="6318"/>
      <c r="H65" s="6318"/>
      <c r="I65" s="6318"/>
      <c r="J65" s="6318"/>
      <c r="K65" s="6318"/>
      <c r="L65" s="6318"/>
      <c r="M65" s="3010" t="s">
        <v>1025</v>
      </c>
      <c r="N65" s="779"/>
      <c r="O65" s="779"/>
      <c r="P65" s="904" t="s">
        <v>722</v>
      </c>
      <c r="Q65" s="2434"/>
      <c r="R65" s="2434"/>
      <c r="S65" s="779"/>
      <c r="T65" s="2434"/>
      <c r="U65" s="2434"/>
      <c r="V65" s="779"/>
      <c r="W65" s="779"/>
      <c r="X65" s="779"/>
      <c r="Y65" s="904"/>
      <c r="Z65" s="779"/>
      <c r="AA65" s="779"/>
      <c r="AB65" s="2434"/>
      <c r="AC65" s="2434"/>
      <c r="AD65" s="668"/>
      <c r="AE65" s="668"/>
      <c r="AF65" s="904"/>
      <c r="AG65" s="675"/>
      <c r="AH65" s="3225"/>
      <c r="AI65" s="3226"/>
      <c r="AJ65" s="283"/>
      <c r="AK65" s="283"/>
      <c r="AL65" s="283"/>
      <c r="AM65" s="283"/>
      <c r="AN65" s="283"/>
      <c r="AO65" s="283"/>
      <c r="AP65" s="283"/>
      <c r="AQ65" s="283"/>
      <c r="AR65" s="283"/>
      <c r="AS65" s="283"/>
      <c r="AT65" s="3228"/>
      <c r="AU65" s="283"/>
      <c r="AV65" s="283">
        <f t="shared" si="1"/>
        <v>0</v>
      </c>
      <c r="AW65" s="283">
        <f t="shared" si="2"/>
        <v>0</v>
      </c>
      <c r="AX65" s="283">
        <f t="shared" si="3"/>
        <v>0</v>
      </c>
      <c r="AY65" s="283" cm="1">
        <f t="array" ref="AY65">COUNTIFS($D65:$AH65,"9",$D$4:$AH$4,"1")+SUM(COUNTIFS($D65:$AH65,{"8","9"},$D$4:$AH$4,"2"))+COUNTIFS($D65:$AH65,"8",$D$4:$AH$4,"3")</f>
        <v>0</v>
      </c>
      <c r="AZ65" s="283">
        <f t="shared" si="4"/>
        <v>0</v>
      </c>
      <c r="BA65" s="283">
        <f t="shared" si="5"/>
        <v>0</v>
      </c>
      <c r="BB65" s="283">
        <f>AV65*'Spreadsheet Key'!$A$27+AW65*'Spreadsheet Key'!$A$28+AX65*'Spreadsheet Key'!$A$29+AY65*'Spreadsheet Key'!$A$30+AZ65*'Spreadsheet Key'!$A$31</f>
        <v>0</v>
      </c>
      <c r="BC65" s="283"/>
      <c r="BD65" s="283"/>
    </row>
    <row r="66" spans="1:56" s="3211" customFormat="1">
      <c r="A66" s="3180" t="s">
        <v>155</v>
      </c>
      <c r="B66" s="3187" t="s">
        <v>532</v>
      </c>
      <c r="C66" s="3180" t="str">
        <f t="shared" si="0"/>
        <v>GMC BARTELMEY</v>
      </c>
      <c r="D66" s="3199">
        <v>2</v>
      </c>
      <c r="E66" s="3199">
        <v>2</v>
      </c>
      <c r="F66" s="3199">
        <v>2</v>
      </c>
      <c r="G66" s="3199">
        <v>2</v>
      </c>
      <c r="H66" s="3199">
        <v>2</v>
      </c>
      <c r="I66" s="3199">
        <v>2</v>
      </c>
      <c r="J66" s="3199">
        <v>2</v>
      </c>
      <c r="K66" s="3199">
        <v>2</v>
      </c>
      <c r="L66" s="3199">
        <v>2</v>
      </c>
      <c r="M66" s="3198">
        <v>3</v>
      </c>
      <c r="N66" s="3198">
        <v>0</v>
      </c>
      <c r="O66" s="3198">
        <v>0</v>
      </c>
      <c r="P66" s="3198">
        <v>9</v>
      </c>
      <c r="Q66" s="3198">
        <v>0</v>
      </c>
      <c r="R66" s="3198">
        <v>0</v>
      </c>
      <c r="S66" s="3198">
        <v>0</v>
      </c>
      <c r="T66" s="3198">
        <v>0</v>
      </c>
      <c r="U66" s="3198">
        <v>0</v>
      </c>
      <c r="V66" s="3198">
        <v>0</v>
      </c>
      <c r="W66" s="3198">
        <v>0</v>
      </c>
      <c r="X66" s="3198">
        <v>0</v>
      </c>
      <c r="Y66" s="3198">
        <v>0</v>
      </c>
      <c r="Z66" s="3198">
        <v>0</v>
      </c>
      <c r="AA66" s="3198">
        <v>0</v>
      </c>
      <c r="AB66" s="3198">
        <v>0</v>
      </c>
      <c r="AC66" s="3198">
        <v>0</v>
      </c>
      <c r="AD66" s="3198">
        <v>0</v>
      </c>
      <c r="AE66" s="3198">
        <v>0</v>
      </c>
      <c r="AF66" s="3198">
        <v>0</v>
      </c>
      <c r="AG66" s="3198">
        <v>0</v>
      </c>
      <c r="AH66" s="3198">
        <v>0</v>
      </c>
      <c r="AI66" s="3226">
        <v>0</v>
      </c>
      <c r="AJ66" s="283" cm="1">
        <f t="array" ref="AJ66">SUM(COUNTIFS($D66:$AH66,{"0","4","5","6","7","8","9"}))</f>
        <v>21</v>
      </c>
      <c r="AK66" s="283" cm="1">
        <f t="array" ref="AK66">SUM(COUNTIFS($D66:$AH66,{"0","4","5","6","7","8","9"},$D$4:$AH$4,"0"))</f>
        <v>10</v>
      </c>
      <c r="AL66" s="283" cm="1">
        <f t="array" ref="AL66">SUM(COUNTIFS($D66:$AH66,{"0","4","5","6","7","8","9"},$D$4:$AH$4,"1"))</f>
        <v>3</v>
      </c>
      <c r="AM66" s="283" cm="1">
        <f t="array" ref="AM66">SUM(COUNTIFS($D66:$AH66,{"0","4","5","6","7","8","9"},$D$4:$AH$4,"2"))</f>
        <v>5</v>
      </c>
      <c r="AN66" s="283" cm="1">
        <f t="array" ref="AN66">SUM(COUNTIFS($D66:$AH66,{"0","4","5","6","7","8","9"},$D$4:$AH$4,"3"))</f>
        <v>3</v>
      </c>
      <c r="AO66" s="283" cm="1">
        <f t="array" ref="AO66">SUM(COUNTIFS($D66:$AH66,{"1","2","3"}))</f>
        <v>10</v>
      </c>
      <c r="AP66" s="283" cm="1">
        <f t="array" ref="AP66">SUM(COUNTIFS($D66:$AH66,{"4","5","6"}))</f>
        <v>0</v>
      </c>
      <c r="AQ66" s="283">
        <f>AK66*'Spreadsheet Key'!$A$23 + AL66*'Spreadsheet Key'!$A$24 + AM66*'Spreadsheet Key'!$A$25 + AN66*'Spreadsheet Key'!$A$26</f>
        <v>910</v>
      </c>
      <c r="AR66" s="283">
        <f>AJ66/('MAY Statistics'!$B$30)*ABS(AI66-1)</f>
        <v>3.6458333333333336E-2</v>
      </c>
      <c r="AS66" s="283">
        <f t="shared" ref="AS66" si="59">AI66*AT66</f>
        <v>0</v>
      </c>
      <c r="AT66" s="3228">
        <f>AR66*'MAY Statistics'!$C$11</f>
        <v>44.895520833333336</v>
      </c>
      <c r="AU66" s="283"/>
      <c r="AV66" s="283">
        <f t="shared" si="1"/>
        <v>0</v>
      </c>
      <c r="AW66" s="283">
        <f t="shared" si="2"/>
        <v>1</v>
      </c>
      <c r="AX66" s="283">
        <f t="shared" si="3"/>
        <v>0</v>
      </c>
      <c r="AY66" s="283" cm="1">
        <f t="array" ref="AY66">COUNTIFS($D66:$AH66,"9",$D$4:$AH$4,"1")+SUM(COUNTIFS($D66:$AH66,{"8","9"},$D$4:$AH$4,"2"))+COUNTIFS($D66:$AH66,"8",$D$4:$AH$4,"3")</f>
        <v>0</v>
      </c>
      <c r="AZ66" s="283">
        <f t="shared" si="4"/>
        <v>0</v>
      </c>
      <c r="BA66" s="283">
        <f t="shared" si="5"/>
        <v>1</v>
      </c>
      <c r="BB66" s="283">
        <f>AV66*'Spreadsheet Key'!$A$27+AW66*'Spreadsheet Key'!$A$28+AX66*'Spreadsheet Key'!$A$29+AY66*'Spreadsheet Key'!$A$30+AZ66*'Spreadsheet Key'!$A$31</f>
        <v>12</v>
      </c>
      <c r="BC66" s="283"/>
      <c r="BD66" s="283">
        <f t="shared" ref="BD66" si="60">AT66-BB66</f>
        <v>32.895520833333336</v>
      </c>
    </row>
    <row r="67" spans="1:56">
      <c r="B67" s="916" t="s">
        <v>720</v>
      </c>
      <c r="C67" s="916"/>
      <c r="D67">
        <f>COUNTIF(D$5:D$66,"D")</f>
        <v>1</v>
      </c>
      <c r="E67">
        <f t="shared" ref="E67:AH67" si="61">COUNTIF(E$5:E$66,"D")</f>
        <v>1</v>
      </c>
      <c r="F67">
        <f t="shared" si="61"/>
        <v>1</v>
      </c>
      <c r="G67">
        <f t="shared" si="61"/>
        <v>1</v>
      </c>
      <c r="H67">
        <f t="shared" si="61"/>
        <v>1</v>
      </c>
      <c r="I67">
        <f t="shared" si="61"/>
        <v>1</v>
      </c>
      <c r="J67">
        <f t="shared" si="61"/>
        <v>1</v>
      </c>
      <c r="K67">
        <f t="shared" si="61"/>
        <v>1</v>
      </c>
      <c r="L67">
        <f t="shared" si="61"/>
        <v>1</v>
      </c>
      <c r="M67">
        <f t="shared" si="61"/>
        <v>1</v>
      </c>
      <c r="N67">
        <f t="shared" si="61"/>
        <v>1</v>
      </c>
      <c r="O67">
        <f t="shared" si="61"/>
        <v>1</v>
      </c>
      <c r="P67">
        <f t="shared" si="61"/>
        <v>1</v>
      </c>
      <c r="Q67">
        <f t="shared" si="61"/>
        <v>1</v>
      </c>
      <c r="R67">
        <f t="shared" si="61"/>
        <v>1</v>
      </c>
      <c r="S67">
        <f t="shared" si="61"/>
        <v>1</v>
      </c>
      <c r="T67">
        <f t="shared" si="61"/>
        <v>1</v>
      </c>
      <c r="U67">
        <f t="shared" si="61"/>
        <v>1</v>
      </c>
      <c r="V67">
        <f t="shared" si="61"/>
        <v>1</v>
      </c>
      <c r="W67">
        <f t="shared" si="61"/>
        <v>1</v>
      </c>
      <c r="X67">
        <f t="shared" si="61"/>
        <v>1</v>
      </c>
      <c r="Y67">
        <f>COUNTIF(Y$7:Y$66,"D")</f>
        <v>1</v>
      </c>
      <c r="Z67">
        <f t="shared" si="61"/>
        <v>1</v>
      </c>
      <c r="AA67">
        <f t="shared" si="61"/>
        <v>1</v>
      </c>
      <c r="AB67">
        <f t="shared" si="61"/>
        <v>1</v>
      </c>
      <c r="AC67">
        <f t="shared" si="61"/>
        <v>1</v>
      </c>
      <c r="AD67">
        <f t="shared" si="61"/>
        <v>1</v>
      </c>
      <c r="AE67">
        <f t="shared" si="61"/>
        <v>1</v>
      </c>
      <c r="AF67">
        <f t="shared" si="61"/>
        <v>1</v>
      </c>
      <c r="AG67">
        <f t="shared" si="61"/>
        <v>1</v>
      </c>
      <c r="AH67">
        <f t="shared" si="61"/>
        <v>1</v>
      </c>
      <c r="AJ67" s="283"/>
      <c r="AK67" s="283"/>
      <c r="AL67" s="283"/>
      <c r="AM67" s="283"/>
      <c r="AN67" s="283"/>
      <c r="AO67" s="283"/>
      <c r="AP67" s="283"/>
      <c r="AQ67" s="283"/>
      <c r="AR67" s="283">
        <f>SUM(AR6:AR66)</f>
        <v>1</v>
      </c>
      <c r="AS67" s="283">
        <f>SUM(AS6:AS66)</f>
        <v>96.58064516129032</v>
      </c>
      <c r="AT67" s="3228">
        <f>SUM(AT6:AT66)</f>
        <v>1328.0006451612905</v>
      </c>
      <c r="AU67" s="283"/>
      <c r="AV67" s="283">
        <f t="shared" ref="AV67:BA67" si="62">SUM(AV6:AV66)</f>
        <v>15</v>
      </c>
      <c r="AW67" s="283">
        <f t="shared" si="62"/>
        <v>15</v>
      </c>
      <c r="AX67" s="283">
        <f t="shared" si="62"/>
        <v>5</v>
      </c>
      <c r="AY67" s="283">
        <f t="shared" si="62"/>
        <v>23</v>
      </c>
      <c r="AZ67" s="283">
        <f t="shared" si="62"/>
        <v>4</v>
      </c>
      <c r="BA67" s="283">
        <f t="shared" si="62"/>
        <v>62</v>
      </c>
      <c r="BB67" s="283">
        <f>SUM(BB6:BB66)</f>
        <v>1328</v>
      </c>
      <c r="BC67" s="283"/>
      <c r="BD67" s="283">
        <f>SUM(BD6:BD66)</f>
        <v>6.45161290407259E-4</v>
      </c>
    </row>
    <row r="68" spans="1:56">
      <c r="B68" s="916">
        <v>8</v>
      </c>
      <c r="C68" s="916"/>
      <c r="D68">
        <f>COUNTIF(D$6:D$66,8)</f>
        <v>1</v>
      </c>
      <c r="E68">
        <f t="shared" ref="E68:AH68" si="63">COUNTIF(E$6:E$66,8)</f>
        <v>1</v>
      </c>
      <c r="F68">
        <f t="shared" si="63"/>
        <v>1</v>
      </c>
      <c r="G68">
        <f t="shared" si="63"/>
        <v>1</v>
      </c>
      <c r="H68">
        <f t="shared" si="63"/>
        <v>1</v>
      </c>
      <c r="I68">
        <f t="shared" si="63"/>
        <v>1</v>
      </c>
      <c r="J68">
        <f t="shared" si="63"/>
        <v>1</v>
      </c>
      <c r="K68">
        <f t="shared" si="63"/>
        <v>1</v>
      </c>
      <c r="L68">
        <f t="shared" si="63"/>
        <v>1</v>
      </c>
      <c r="M68">
        <f t="shared" si="63"/>
        <v>1</v>
      </c>
      <c r="N68">
        <f t="shared" si="63"/>
        <v>1</v>
      </c>
      <c r="O68">
        <f t="shared" si="63"/>
        <v>1</v>
      </c>
      <c r="P68">
        <f t="shared" si="63"/>
        <v>1</v>
      </c>
      <c r="Q68">
        <f t="shared" si="63"/>
        <v>1</v>
      </c>
      <c r="R68">
        <f t="shared" si="63"/>
        <v>1</v>
      </c>
      <c r="S68">
        <f t="shared" si="63"/>
        <v>1</v>
      </c>
      <c r="T68">
        <f t="shared" si="63"/>
        <v>1</v>
      </c>
      <c r="U68">
        <f t="shared" si="63"/>
        <v>1</v>
      </c>
      <c r="V68">
        <f t="shared" si="63"/>
        <v>1</v>
      </c>
      <c r="W68">
        <f t="shared" si="63"/>
        <v>1</v>
      </c>
      <c r="X68">
        <f t="shared" si="63"/>
        <v>1</v>
      </c>
      <c r="Y68">
        <f>COUNTIF(Y$6:Y$66,8)</f>
        <v>1</v>
      </c>
      <c r="Z68">
        <f t="shared" si="63"/>
        <v>1</v>
      </c>
      <c r="AA68">
        <f t="shared" si="63"/>
        <v>1</v>
      </c>
      <c r="AB68">
        <f t="shared" si="63"/>
        <v>1</v>
      </c>
      <c r="AC68">
        <f t="shared" si="63"/>
        <v>1</v>
      </c>
      <c r="AD68">
        <f t="shared" si="63"/>
        <v>1</v>
      </c>
      <c r="AE68">
        <f t="shared" si="63"/>
        <v>1</v>
      </c>
      <c r="AF68">
        <f t="shared" si="63"/>
        <v>1</v>
      </c>
      <c r="AG68">
        <f t="shared" si="63"/>
        <v>1</v>
      </c>
      <c r="AH68">
        <f t="shared" si="63"/>
        <v>1</v>
      </c>
      <c r="AJ68" s="283"/>
      <c r="AK68" s="283"/>
      <c r="AL68" s="283"/>
      <c r="AM68" s="283"/>
      <c r="AN68" s="283"/>
      <c r="AO68" s="283"/>
      <c r="AP68" s="283"/>
      <c r="AQ68" s="283"/>
      <c r="AR68" t="s">
        <v>1214</v>
      </c>
      <c r="AS68" s="283">
        <f>SUM(AS6:AS66)</f>
        <v>96.58064516129032</v>
      </c>
      <c r="AT68" s="283"/>
      <c r="AU68" s="283"/>
      <c r="AV68" s="283"/>
      <c r="AW68" s="283"/>
      <c r="AX68" s="283"/>
      <c r="AY68" s="283"/>
      <c r="AZ68" s="283"/>
      <c r="BA68" s="283"/>
      <c r="BB68" s="283">
        <f>SUM(AV67*'Spreadsheet Key'!A27+'MAY STWO Watchbill'!AW67*'Spreadsheet Key'!A28+'MAY STWO Watchbill'!AX67*'Spreadsheet Key'!A29+'MAY STWO Watchbill'!AY67*'Spreadsheet Key'!A30+'MAY STWO Watchbill'!AZ67*'Spreadsheet Key'!A31)</f>
        <v>1328</v>
      </c>
      <c r="BC68" s="283"/>
      <c r="BD68" s="283">
        <f>STDEV(BD6:BD66)</f>
        <v>23.204747892231637</v>
      </c>
    </row>
    <row r="69" spans="1:56">
      <c r="B69" s="916" t="s">
        <v>722</v>
      </c>
      <c r="C69" s="916"/>
      <c r="D69">
        <f>COUNTIF(D$5:D$66,"N")</f>
        <v>1</v>
      </c>
      <c r="E69">
        <f t="shared" ref="E69:AH69" si="64">COUNTIF(E$5:E$66,"N")</f>
        <v>1</v>
      </c>
      <c r="F69">
        <f t="shared" si="64"/>
        <v>1</v>
      </c>
      <c r="G69">
        <f t="shared" si="64"/>
        <v>1</v>
      </c>
      <c r="H69">
        <f t="shared" si="64"/>
        <v>1</v>
      </c>
      <c r="I69">
        <f t="shared" si="64"/>
        <v>1</v>
      </c>
      <c r="J69">
        <f t="shared" si="64"/>
        <v>1</v>
      </c>
      <c r="K69">
        <f t="shared" si="64"/>
        <v>1</v>
      </c>
      <c r="L69">
        <f t="shared" si="64"/>
        <v>1</v>
      </c>
      <c r="M69">
        <f t="shared" si="64"/>
        <v>1</v>
      </c>
      <c r="N69">
        <f t="shared" si="64"/>
        <v>1</v>
      </c>
      <c r="O69">
        <f t="shared" si="64"/>
        <v>1</v>
      </c>
      <c r="P69">
        <f t="shared" si="64"/>
        <v>1</v>
      </c>
      <c r="Q69">
        <f t="shared" si="64"/>
        <v>1</v>
      </c>
      <c r="R69">
        <f t="shared" si="64"/>
        <v>1</v>
      </c>
      <c r="S69">
        <f t="shared" si="64"/>
        <v>1</v>
      </c>
      <c r="T69">
        <f t="shared" si="64"/>
        <v>1</v>
      </c>
      <c r="U69">
        <f t="shared" si="64"/>
        <v>1</v>
      </c>
      <c r="V69">
        <f t="shared" si="64"/>
        <v>1</v>
      </c>
      <c r="W69">
        <f t="shared" si="64"/>
        <v>1</v>
      </c>
      <c r="X69">
        <f t="shared" si="64"/>
        <v>1</v>
      </c>
      <c r="Y69">
        <f>COUNTIF(Y$5:Y$66,"N")</f>
        <v>1</v>
      </c>
      <c r="Z69">
        <f>COUNTIF(Z$5:Z$66,"N")</f>
        <v>1</v>
      </c>
      <c r="AA69">
        <f>COUNTIF(AA$5:AA$66,"N")</f>
        <v>1</v>
      </c>
      <c r="AB69">
        <f t="shared" si="64"/>
        <v>1</v>
      </c>
      <c r="AC69">
        <f t="shared" si="64"/>
        <v>1</v>
      </c>
      <c r="AD69">
        <f t="shared" si="64"/>
        <v>1</v>
      </c>
      <c r="AE69">
        <f t="shared" si="64"/>
        <v>1</v>
      </c>
      <c r="AF69">
        <f t="shared" si="64"/>
        <v>1</v>
      </c>
      <c r="AG69">
        <f t="shared" si="64"/>
        <v>1</v>
      </c>
      <c r="AH69">
        <f t="shared" si="64"/>
        <v>1</v>
      </c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  <c r="BB69" s="283"/>
      <c r="BC69" s="283"/>
      <c r="BD69" s="283"/>
    </row>
    <row r="70" spans="1:56">
      <c r="B70" s="916">
        <v>9</v>
      </c>
      <c r="C70" s="916"/>
      <c r="D70">
        <f>COUNTIF(D$6:D$66,9)</f>
        <v>1</v>
      </c>
      <c r="E70">
        <f t="shared" ref="E70:AH70" si="65">COUNTIF(E$6:E$66,9)</f>
        <v>1</v>
      </c>
      <c r="F70">
        <f t="shared" si="65"/>
        <v>1</v>
      </c>
      <c r="G70">
        <f t="shared" si="65"/>
        <v>1</v>
      </c>
      <c r="H70">
        <f t="shared" si="65"/>
        <v>1</v>
      </c>
      <c r="I70">
        <f t="shared" si="65"/>
        <v>1</v>
      </c>
      <c r="J70">
        <f t="shared" si="65"/>
        <v>1</v>
      </c>
      <c r="K70">
        <f t="shared" si="65"/>
        <v>1</v>
      </c>
      <c r="L70">
        <f t="shared" si="65"/>
        <v>1</v>
      </c>
      <c r="M70">
        <f t="shared" si="65"/>
        <v>1</v>
      </c>
      <c r="N70">
        <f t="shared" si="65"/>
        <v>1</v>
      </c>
      <c r="O70">
        <f t="shared" si="65"/>
        <v>1</v>
      </c>
      <c r="P70">
        <f t="shared" si="65"/>
        <v>1</v>
      </c>
      <c r="Q70">
        <f t="shared" si="65"/>
        <v>1</v>
      </c>
      <c r="R70">
        <f t="shared" si="65"/>
        <v>1</v>
      </c>
      <c r="S70">
        <f t="shared" si="65"/>
        <v>1</v>
      </c>
      <c r="T70">
        <f t="shared" si="65"/>
        <v>1</v>
      </c>
      <c r="U70">
        <f t="shared" si="65"/>
        <v>1</v>
      </c>
      <c r="V70">
        <f t="shared" si="65"/>
        <v>1</v>
      </c>
      <c r="W70">
        <f t="shared" si="65"/>
        <v>1</v>
      </c>
      <c r="X70">
        <f t="shared" si="65"/>
        <v>1</v>
      </c>
      <c r="Y70">
        <f>COUNTIF(Y$6:Y$66,9)</f>
        <v>1</v>
      </c>
      <c r="Z70">
        <f t="shared" si="65"/>
        <v>1</v>
      </c>
      <c r="AA70">
        <f t="shared" si="65"/>
        <v>1</v>
      </c>
      <c r="AB70">
        <f t="shared" si="65"/>
        <v>1</v>
      </c>
      <c r="AC70">
        <f t="shared" si="65"/>
        <v>1</v>
      </c>
      <c r="AD70">
        <f t="shared" si="65"/>
        <v>1</v>
      </c>
      <c r="AE70">
        <f t="shared" si="65"/>
        <v>1</v>
      </c>
      <c r="AF70">
        <f t="shared" si="65"/>
        <v>1</v>
      </c>
      <c r="AG70">
        <f t="shared" si="65"/>
        <v>1</v>
      </c>
      <c r="AH70">
        <f t="shared" si="65"/>
        <v>1</v>
      </c>
      <c r="AJ70" s="283"/>
      <c r="AK70" s="283"/>
      <c r="AL70" s="283"/>
      <c r="AM70" s="283"/>
      <c r="AN70" s="283"/>
      <c r="AO70" s="283"/>
      <c r="AP70" s="283"/>
      <c r="AQ70" s="283"/>
      <c r="AR70" s="283"/>
      <c r="AS70" s="283"/>
      <c r="AT70" s="283"/>
      <c r="AU70" s="283"/>
      <c r="AV70" s="283"/>
      <c r="AW70" s="283"/>
      <c r="AX70" s="283"/>
      <c r="AY70" s="283"/>
      <c r="AZ70" s="283"/>
      <c r="BA70" s="283"/>
      <c r="BB70" s="283"/>
      <c r="BC70" s="283"/>
      <c r="BD70" s="283"/>
    </row>
    <row r="71" spans="1:56">
      <c r="A71" t="s">
        <v>1151</v>
      </c>
      <c r="D71">
        <f>COUNTIF(D5:AH66,"D")</f>
        <v>31</v>
      </c>
      <c r="AR71" s="283"/>
      <c r="AS71" s="283"/>
    </row>
    <row r="72" spans="1:56">
      <c r="A72" t="s">
        <v>1152</v>
      </c>
      <c r="D72">
        <f>COUNTIF(D5:AH66,"8")</f>
        <v>31</v>
      </c>
      <c r="AR72" s="283"/>
      <c r="AS72" s="283"/>
    </row>
    <row r="73" spans="1:56">
      <c r="A73" t="s">
        <v>1153</v>
      </c>
      <c r="D73">
        <f>COUNTIF(D5:AH66,"N")</f>
        <v>31</v>
      </c>
      <c r="AR73" s="283"/>
      <c r="AS73" s="283"/>
    </row>
    <row r="74" spans="1:56">
      <c r="A74" t="s">
        <v>1154</v>
      </c>
      <c r="D74">
        <f>COUNTIF(D5:AH66,"9")</f>
        <v>31</v>
      </c>
      <c r="AR74" s="283"/>
      <c r="AS74" s="283"/>
    </row>
    <row r="76" spans="1:56">
      <c r="AT76" cm="1">
        <f t="array" ref="AT76">SUM(AI6:AI66*AT6:AT66)</f>
        <v>96.58064516129032</v>
      </c>
    </row>
  </sheetData>
  <mergeCells count="42">
    <mergeCell ref="J61:K61"/>
    <mergeCell ref="G63:H63"/>
    <mergeCell ref="J63:N63"/>
    <mergeCell ref="D65:L65"/>
    <mergeCell ref="H47:S47"/>
    <mergeCell ref="H49:S49"/>
    <mergeCell ref="Z49:AC49"/>
    <mergeCell ref="J51:K51"/>
    <mergeCell ref="E53:S53"/>
    <mergeCell ref="J57:K57"/>
    <mergeCell ref="D43:F43"/>
    <mergeCell ref="G43:H43"/>
    <mergeCell ref="I43:S43"/>
    <mergeCell ref="Z43:AC43"/>
    <mergeCell ref="D45:E45"/>
    <mergeCell ref="H45:S45"/>
    <mergeCell ref="Z45:AC45"/>
    <mergeCell ref="Y31:AH31"/>
    <mergeCell ref="W37:X37"/>
    <mergeCell ref="D39:E39"/>
    <mergeCell ref="H39:S39"/>
    <mergeCell ref="D41:K41"/>
    <mergeCell ref="Z41:AC41"/>
    <mergeCell ref="Y27:AH27"/>
    <mergeCell ref="A4:B4"/>
    <mergeCell ref="I5:S5"/>
    <mergeCell ref="I7:S7"/>
    <mergeCell ref="J9:K9"/>
    <mergeCell ref="I13:S13"/>
    <mergeCell ref="Z13:AC13"/>
    <mergeCell ref="I15:S15"/>
    <mergeCell ref="E17:S17"/>
    <mergeCell ref="I19:S19"/>
    <mergeCell ref="D23:E23"/>
    <mergeCell ref="Z23:AC23"/>
    <mergeCell ref="A1:B1"/>
    <mergeCell ref="D1:AH1"/>
    <mergeCell ref="AJ1:BH1"/>
    <mergeCell ref="A2:B2"/>
    <mergeCell ref="A3:B3"/>
    <mergeCell ref="AJ3:AT3"/>
    <mergeCell ref="AV3:BB3"/>
  </mergeCells>
  <conditionalFormatting sqref="BD1:BD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7:BD7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6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7:AH70">
    <cfRule type="cellIs" dxfId="129" priority="6" operator="equal">
      <formula>0</formula>
    </cfRule>
  </conditionalFormatting>
  <conditionalFormatting sqref="D67:AH70">
    <cfRule type="cellIs" dxfId="128" priority="5" operator="equal">
      <formula>1</formula>
    </cfRule>
  </conditionalFormatting>
  <conditionalFormatting sqref="D9:X10 Z9:AH10 Y10 D11:AH66 D5:AH8">
    <cfRule type="cellIs" dxfId="127" priority="4" operator="equal">
      <formula>8</formula>
    </cfRule>
  </conditionalFormatting>
  <conditionalFormatting sqref="D9:X10 Z9:AH10 Y10 D11:AH66 D5:AH8">
    <cfRule type="cellIs" dxfId="126" priority="3" operator="equal">
      <formula>"D"</formula>
    </cfRule>
  </conditionalFormatting>
  <conditionalFormatting sqref="D9:X10 Z9:AH10 Y10 D11:AH66 D5:AH8">
    <cfRule type="cellIs" dxfId="125" priority="2" operator="equal">
      <formula>"N"</formula>
    </cfRule>
  </conditionalFormatting>
  <conditionalFormatting sqref="D9:X10 Z9:AH10 Y10 D11:AH66 D5:AH8">
    <cfRule type="cellIs" dxfId="124" priority="1" operator="equal">
      <formula>9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4359-ECC4-4054-B94F-C0DB77CB5272}">
  <dimension ref="A1:BH76"/>
  <sheetViews>
    <sheetView zoomScale="80" zoomScaleNormal="80" workbookViewId="0">
      <pane xSplit="2" topLeftCell="AN1" activePane="topRight" state="frozen"/>
      <selection pane="topRight" activeCell="AR68" sqref="AR68"/>
    </sheetView>
  </sheetViews>
  <sheetFormatPr defaultRowHeight="15"/>
  <cols>
    <col min="1" max="1" width="7.85546875" bestFit="1" customWidth="1"/>
    <col min="2" max="2" width="12" bestFit="1" customWidth="1"/>
    <col min="35" max="35" width="9.140625" style="1"/>
    <col min="37" max="37" width="17.85546875" bestFit="1" customWidth="1"/>
    <col min="38" max="38" width="15" bestFit="1" customWidth="1"/>
    <col min="39" max="39" width="25.7109375" bestFit="1" customWidth="1"/>
    <col min="40" max="40" width="16" bestFit="1" customWidth="1"/>
    <col min="41" max="41" width="17.7109375" bestFit="1" customWidth="1"/>
    <col min="42" max="42" width="20.85546875" bestFit="1" customWidth="1"/>
    <col min="43" max="43" width="12.28515625" bestFit="1" customWidth="1"/>
    <col min="44" max="45" width="29.140625" customWidth="1"/>
    <col min="46" max="46" width="15.425781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</cols>
  <sheetData>
    <row r="1" spans="1:60">
      <c r="A1" s="6281"/>
      <c r="B1" s="6281"/>
      <c r="C1" s="6297" t="s">
        <v>1278</v>
      </c>
      <c r="D1" s="6298"/>
      <c r="E1" s="6298"/>
      <c r="F1" s="6298"/>
      <c r="G1" s="6298"/>
      <c r="H1" s="6298"/>
      <c r="I1" s="6298"/>
      <c r="J1" s="6298"/>
      <c r="K1" s="6298"/>
      <c r="L1" s="6298"/>
      <c r="M1" s="6298"/>
      <c r="N1" s="6298"/>
      <c r="O1" s="6298"/>
      <c r="P1" s="6298"/>
      <c r="Q1" s="6298"/>
      <c r="R1" s="6298"/>
      <c r="S1" s="6298"/>
      <c r="T1" s="6298"/>
      <c r="U1" s="6298"/>
      <c r="V1" s="6298"/>
      <c r="W1" s="6298"/>
      <c r="X1" s="6298"/>
      <c r="Y1" s="6298"/>
      <c r="Z1" s="6298"/>
      <c r="AA1" s="6298"/>
      <c r="AB1" s="6298"/>
      <c r="AC1" s="6298"/>
      <c r="AD1" s="6298"/>
      <c r="AE1" s="6298"/>
      <c r="AF1" s="6298"/>
      <c r="AG1" s="6298"/>
      <c r="AH1" s="3126"/>
      <c r="AI1" s="368"/>
      <c r="AJ1" s="6143" t="s">
        <v>1113</v>
      </c>
      <c r="AK1" s="6143"/>
      <c r="AL1" s="6143"/>
      <c r="AM1" s="6143"/>
      <c r="AN1" s="6143"/>
      <c r="AO1" s="6143"/>
      <c r="AP1" s="6143"/>
      <c r="AQ1" s="6143"/>
      <c r="AR1" s="6143"/>
      <c r="AS1" s="6143"/>
      <c r="AT1" s="6143"/>
      <c r="AU1" s="6143"/>
      <c r="AV1" s="6143"/>
      <c r="AW1" s="6143"/>
      <c r="AX1" s="6143"/>
      <c r="AY1" s="6143"/>
      <c r="AZ1" s="6143"/>
      <c r="BA1" s="6143"/>
      <c r="BB1" s="6143"/>
      <c r="BC1" s="6143"/>
      <c r="BD1" s="6143"/>
      <c r="BE1" s="6143"/>
      <c r="BF1" s="6143"/>
      <c r="BG1" s="6143"/>
      <c r="BH1" s="6143"/>
    </row>
    <row r="2" spans="1:60">
      <c r="A2" s="6284"/>
      <c r="B2" s="6284"/>
      <c r="C2" s="3588">
        <v>1</v>
      </c>
      <c r="D2" s="3588">
        <v>2</v>
      </c>
      <c r="E2" s="3588">
        <v>3</v>
      </c>
      <c r="F2" s="3588">
        <v>4</v>
      </c>
      <c r="G2" s="3588">
        <v>5</v>
      </c>
      <c r="H2" s="3588">
        <v>6</v>
      </c>
      <c r="I2" s="3588">
        <v>7</v>
      </c>
      <c r="J2" s="3588">
        <v>8</v>
      </c>
      <c r="K2" s="3588">
        <v>9</v>
      </c>
      <c r="L2" s="3588">
        <v>10</v>
      </c>
      <c r="M2" s="3588">
        <v>11</v>
      </c>
      <c r="N2" s="3588">
        <v>12</v>
      </c>
      <c r="O2" s="3588">
        <v>13</v>
      </c>
      <c r="P2" s="3588">
        <v>14</v>
      </c>
      <c r="Q2" s="3588">
        <v>15</v>
      </c>
      <c r="R2" s="3588">
        <v>16</v>
      </c>
      <c r="S2" s="3588">
        <v>17</v>
      </c>
      <c r="T2" s="3588">
        <v>18</v>
      </c>
      <c r="U2" s="3588">
        <v>19</v>
      </c>
      <c r="V2" s="3588">
        <v>20</v>
      </c>
      <c r="W2" s="3588">
        <v>21</v>
      </c>
      <c r="X2" s="3588">
        <v>22</v>
      </c>
      <c r="Y2" s="3588">
        <v>23</v>
      </c>
      <c r="Z2" s="3588">
        <v>24</v>
      </c>
      <c r="AA2" s="3588">
        <v>25</v>
      </c>
      <c r="AB2" s="3588">
        <v>26</v>
      </c>
      <c r="AC2" s="3588">
        <v>27</v>
      </c>
      <c r="AD2" s="3588">
        <v>28</v>
      </c>
      <c r="AE2" s="3588">
        <v>29</v>
      </c>
      <c r="AF2" s="3588">
        <v>30</v>
      </c>
      <c r="AG2" s="2867">
        <v>31</v>
      </c>
      <c r="AH2" s="3126"/>
      <c r="AI2" s="368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</row>
    <row r="3" spans="1:60">
      <c r="A3" s="6285"/>
      <c r="B3" s="6285"/>
      <c r="C3" s="3588" t="s">
        <v>33</v>
      </c>
      <c r="D3" s="3588" t="s">
        <v>35</v>
      </c>
      <c r="E3" s="1267" t="s">
        <v>36</v>
      </c>
      <c r="F3" s="1267" t="s">
        <v>36</v>
      </c>
      <c r="G3" s="3588" t="s">
        <v>37</v>
      </c>
      <c r="H3" s="2942" t="s">
        <v>33</v>
      </c>
      <c r="I3" s="2942" t="s">
        <v>34</v>
      </c>
      <c r="J3" s="3588" t="s">
        <v>33</v>
      </c>
      <c r="K3" s="3588" t="s">
        <v>35</v>
      </c>
      <c r="L3" s="1267" t="s">
        <v>36</v>
      </c>
      <c r="M3" s="1267" t="s">
        <v>36</v>
      </c>
      <c r="N3" s="3588" t="s">
        <v>37</v>
      </c>
      <c r="O3" s="2942" t="s">
        <v>33</v>
      </c>
      <c r="P3" s="2942" t="s">
        <v>34</v>
      </c>
      <c r="Q3" s="3588" t="s">
        <v>33</v>
      </c>
      <c r="R3" s="3588" t="s">
        <v>35</v>
      </c>
      <c r="S3" s="1267" t="s">
        <v>36</v>
      </c>
      <c r="T3" s="1267" t="s">
        <v>36</v>
      </c>
      <c r="U3" s="3588" t="s">
        <v>37</v>
      </c>
      <c r="V3" s="2942" t="s">
        <v>33</v>
      </c>
      <c r="W3" s="2942" t="s">
        <v>34</v>
      </c>
      <c r="X3" s="3588" t="s">
        <v>33</v>
      </c>
      <c r="Y3" s="2945" t="s">
        <v>35</v>
      </c>
      <c r="Z3" s="2945" t="s">
        <v>36</v>
      </c>
      <c r="AA3" s="2945" t="s">
        <v>36</v>
      </c>
      <c r="AB3" s="2945" t="s">
        <v>37</v>
      </c>
      <c r="AC3" s="2942" t="s">
        <v>33</v>
      </c>
      <c r="AD3" s="2942" t="s">
        <v>34</v>
      </c>
      <c r="AE3" s="3588" t="s">
        <v>33</v>
      </c>
      <c r="AF3" s="3588" t="s">
        <v>35</v>
      </c>
      <c r="AG3" s="3220" t="s">
        <v>36</v>
      </c>
      <c r="AH3" s="3126"/>
      <c r="AI3" s="368"/>
      <c r="AJ3" s="6146" t="s">
        <v>1115</v>
      </c>
      <c r="AK3" s="6146"/>
      <c r="AL3" s="6146"/>
      <c r="AM3" s="6146"/>
      <c r="AN3" s="6146"/>
      <c r="AO3" s="6146"/>
      <c r="AP3" s="6146"/>
      <c r="AQ3" s="6146"/>
      <c r="AR3" s="6146"/>
      <c r="AS3" s="6146"/>
      <c r="AT3" s="6146"/>
      <c r="AU3" s="283"/>
      <c r="AV3" s="6146" t="s">
        <v>1116</v>
      </c>
      <c r="AW3" s="6146"/>
      <c r="AX3" s="6146"/>
      <c r="AY3" s="6146"/>
      <c r="AZ3" s="6146"/>
      <c r="BA3" s="6146"/>
      <c r="BB3" s="6146"/>
      <c r="BC3" s="283"/>
      <c r="BD3" s="283" t="s">
        <v>1135</v>
      </c>
      <c r="BE3" s="283"/>
      <c r="BF3" s="283"/>
      <c r="BG3" s="283"/>
      <c r="BH3" s="283"/>
    </row>
    <row r="4" spans="1:60">
      <c r="A4" s="6220" t="s">
        <v>1117</v>
      </c>
      <c r="B4" s="6220"/>
      <c r="C4" s="3155">
        <v>0</v>
      </c>
      <c r="D4" s="3155">
        <v>1</v>
      </c>
      <c r="E4" s="3155">
        <v>2</v>
      </c>
      <c r="F4" s="3155">
        <v>3</v>
      </c>
      <c r="G4" s="3155">
        <v>0</v>
      </c>
      <c r="H4" s="3217">
        <v>0</v>
      </c>
      <c r="I4" s="3155">
        <v>0</v>
      </c>
      <c r="J4" s="3155">
        <v>0</v>
      </c>
      <c r="K4" s="3155">
        <v>1</v>
      </c>
      <c r="L4" s="3155">
        <v>2</v>
      </c>
      <c r="M4" s="3155">
        <v>3</v>
      </c>
      <c r="N4" s="3155">
        <v>0</v>
      </c>
      <c r="O4" s="3155">
        <v>0</v>
      </c>
      <c r="P4" s="3155">
        <v>0</v>
      </c>
      <c r="Q4" s="3155">
        <v>0</v>
      </c>
      <c r="R4" s="3155">
        <v>1</v>
      </c>
      <c r="S4" s="3155">
        <v>2</v>
      </c>
      <c r="T4" s="3155">
        <v>3</v>
      </c>
      <c r="U4" s="3155">
        <v>0</v>
      </c>
      <c r="V4" s="3155">
        <v>0</v>
      </c>
      <c r="W4" s="3155">
        <v>0</v>
      </c>
      <c r="X4" s="3155">
        <v>1</v>
      </c>
      <c r="Y4" s="3155">
        <v>2</v>
      </c>
      <c r="Z4" s="3155">
        <v>2</v>
      </c>
      <c r="AA4" s="3155">
        <v>2</v>
      </c>
      <c r="AB4" s="3155">
        <v>3</v>
      </c>
      <c r="AC4" s="3155">
        <v>0</v>
      </c>
      <c r="AD4" s="3155">
        <v>0</v>
      </c>
      <c r="AE4" s="3155">
        <v>0</v>
      </c>
      <c r="AF4" s="3155">
        <v>1</v>
      </c>
      <c r="AG4" s="3155">
        <v>2</v>
      </c>
      <c r="AH4" s="3126"/>
      <c r="AI4" s="368" t="s">
        <v>1213</v>
      </c>
      <c r="AJ4" s="283" t="s">
        <v>1118</v>
      </c>
      <c r="AK4" s="283" t="s">
        <v>1119</v>
      </c>
      <c r="AL4" s="283" t="s">
        <v>1120</v>
      </c>
      <c r="AM4" s="283" t="s">
        <v>1121</v>
      </c>
      <c r="AN4" s="283" t="s">
        <v>1122</v>
      </c>
      <c r="AO4" s="283" t="s">
        <v>1123</v>
      </c>
      <c r="AP4" s="283" t="s">
        <v>1124</v>
      </c>
      <c r="AQ4" s="283" t="s">
        <v>1125</v>
      </c>
      <c r="AR4" s="283" t="s">
        <v>1126</v>
      </c>
      <c r="AS4" s="283" t="s">
        <v>1214</v>
      </c>
      <c r="AT4" s="283" t="s">
        <v>1127</v>
      </c>
      <c r="AU4" s="283"/>
      <c r="AV4" s="283" t="s">
        <v>1128</v>
      </c>
      <c r="AW4" s="283" t="s">
        <v>1129</v>
      </c>
      <c r="AX4" s="283" t="s">
        <v>1130</v>
      </c>
      <c r="AY4" s="283" t="s">
        <v>1131</v>
      </c>
      <c r="AZ4" s="283" t="s">
        <v>1132</v>
      </c>
      <c r="BA4" s="283" t="s">
        <v>1133</v>
      </c>
      <c r="BB4" s="283" t="s">
        <v>1134</v>
      </c>
      <c r="BC4" s="283"/>
      <c r="BD4" s="283"/>
      <c r="BE4" s="283"/>
      <c r="BF4" s="283"/>
      <c r="BG4" s="283"/>
      <c r="BH4" s="283"/>
    </row>
    <row r="5" spans="1:60">
      <c r="A5" s="266"/>
      <c r="B5" s="266"/>
      <c r="C5" s="2437" t="s">
        <v>720</v>
      </c>
      <c r="D5" s="778"/>
      <c r="E5" s="778"/>
      <c r="F5" s="778"/>
      <c r="G5" s="3023" t="s">
        <v>1025</v>
      </c>
      <c r="H5" s="6300" t="s">
        <v>1279</v>
      </c>
      <c r="I5" s="6300"/>
      <c r="J5" s="6300"/>
      <c r="K5" s="6300"/>
      <c r="L5" s="6300"/>
      <c r="M5" s="6300"/>
      <c r="N5" s="6300"/>
      <c r="O5" s="6300"/>
      <c r="P5" s="6300"/>
      <c r="Q5" s="6300"/>
      <c r="R5" s="6300"/>
      <c r="S5" s="3023" t="s">
        <v>1025</v>
      </c>
      <c r="T5" s="778"/>
      <c r="U5" s="778"/>
      <c r="V5" s="778"/>
      <c r="W5" s="778"/>
      <c r="X5" s="778"/>
      <c r="Y5" s="2437" t="s">
        <v>720</v>
      </c>
      <c r="Z5" s="2437"/>
      <c r="AA5" s="2437"/>
      <c r="AB5" s="778"/>
      <c r="AC5" s="778"/>
      <c r="AD5" s="778"/>
      <c r="AE5" s="778"/>
      <c r="AF5" s="778"/>
      <c r="AG5" s="805"/>
      <c r="AH5" s="3126"/>
      <c r="AI5" s="368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</row>
    <row r="6" spans="1:60" s="3202" customFormat="1">
      <c r="A6" s="3180" t="s">
        <v>561</v>
      </c>
      <c r="B6" s="3180" t="s">
        <v>718</v>
      </c>
      <c r="C6" s="3198">
        <v>8</v>
      </c>
      <c r="D6" s="3198">
        <v>0</v>
      </c>
      <c r="E6" s="3198">
        <v>0</v>
      </c>
      <c r="F6" s="3198">
        <v>0</v>
      </c>
      <c r="G6" s="3198">
        <v>1</v>
      </c>
      <c r="H6" s="3198">
        <v>2</v>
      </c>
      <c r="I6" s="3198">
        <v>2</v>
      </c>
      <c r="J6" s="3198">
        <v>2</v>
      </c>
      <c r="K6" s="3198">
        <v>2</v>
      </c>
      <c r="L6" s="3198">
        <v>2</v>
      </c>
      <c r="M6" s="3198">
        <v>2</v>
      </c>
      <c r="N6" s="3198">
        <v>2</v>
      </c>
      <c r="O6" s="3198">
        <v>2</v>
      </c>
      <c r="P6" s="3198">
        <v>2</v>
      </c>
      <c r="Q6" s="3198">
        <v>2</v>
      </c>
      <c r="R6" s="3198">
        <v>2</v>
      </c>
      <c r="S6" s="3198">
        <v>3</v>
      </c>
      <c r="T6" s="3198">
        <v>0</v>
      </c>
      <c r="U6" s="3198">
        <v>0</v>
      </c>
      <c r="V6" s="3198">
        <v>0</v>
      </c>
      <c r="W6" s="3198">
        <v>0</v>
      </c>
      <c r="X6" s="3198">
        <v>0</v>
      </c>
      <c r="Y6" s="3198">
        <v>8</v>
      </c>
      <c r="Z6" s="3198">
        <v>0</v>
      </c>
      <c r="AA6" s="3198">
        <v>0</v>
      </c>
      <c r="AB6" s="3198">
        <v>0</v>
      </c>
      <c r="AC6" s="3198">
        <v>0</v>
      </c>
      <c r="AD6" s="3198">
        <v>0</v>
      </c>
      <c r="AE6" s="3198">
        <v>0</v>
      </c>
      <c r="AF6" s="3198">
        <v>0</v>
      </c>
      <c r="AG6" s="3198">
        <v>0</v>
      </c>
      <c r="AH6" s="3200"/>
      <c r="AI6" s="3226">
        <v>0</v>
      </c>
      <c r="AJ6" s="283" cm="1">
        <f t="array" ref="AJ6">SUM(COUNTIFS($C6:$AG6,{"0","4","5","6","7","8","9"}))</f>
        <v>18</v>
      </c>
      <c r="AK6" s="283" cm="1">
        <f t="array" ref="AK6">SUM(COUNTIFS($C6:$AG6,{"0","4","5","6","7","8","9"},$C$4:$AG$4,"0"))</f>
        <v>7</v>
      </c>
      <c r="AL6" s="283" cm="1">
        <f t="array" ref="AL6">SUM(COUNTIFS($C6:$AG6,{"0","4","5","6","7","8","9"},$C$4:$AG$4,"1"))</f>
        <v>3</v>
      </c>
      <c r="AM6" s="283" cm="1">
        <f t="array" ref="AM6">SUM(COUNTIFS($C6:$AG6,{"0","4","5","6","7","8","9"},$C$4:$AG$4,"2"))</f>
        <v>5</v>
      </c>
      <c r="AN6" s="283" cm="1">
        <f t="array" ref="AN6">SUM(COUNTIFS($C6:$AG6,{"0","4","5","6","7","8","9"},$C$4:$AG$4,"3"))</f>
        <v>3</v>
      </c>
      <c r="AO6" s="283" cm="1">
        <f t="array" ref="AO6">SUM(COUNTIFS($C6:$AG6,{"1","2","3"}))</f>
        <v>13</v>
      </c>
      <c r="AP6" s="283" cm="1">
        <f t="array" ref="AP6">SUM(COUNTIFS($C6:$AG6,{"4","5","6"}))</f>
        <v>0</v>
      </c>
      <c r="AQ6" s="283">
        <f>AK6*'Spreadsheet Key'!$A$23 + AL6*'Spreadsheet Key'!$A$24 + AM6*'Spreadsheet Key'!$A$25 + AN6*'Spreadsheet Key'!$A$26</f>
        <v>844</v>
      </c>
      <c r="AR6" s="283">
        <f>AJ6/('MAY Statistics'!$B$30)*ABS(AI6-1)</f>
        <v>3.125E-2</v>
      </c>
      <c r="AS6" s="283">
        <f>AI6*AT6</f>
        <v>0</v>
      </c>
      <c r="AT6" s="3228">
        <f>AR6*'MAY Statistics'!$C$11</f>
        <v>38.481875000000002</v>
      </c>
      <c r="AU6" s="283"/>
      <c r="AV6" s="283">
        <f>COUNTIFS($C6:$AG6,"8",$C$4:$AG$4,"0")</f>
        <v>1</v>
      </c>
      <c r="AW6" s="283">
        <f>COUNTIFS($C6:$AG6,"9",$C$4:$AG$4,"0")</f>
        <v>0</v>
      </c>
      <c r="AX6" s="283">
        <f>COUNTIFS($C6:$AG6,"8",$C$4:$AG$4,"1")</f>
        <v>0</v>
      </c>
      <c r="AY6" s="283" cm="1">
        <f t="array" ref="AY6">COUNTIFS($C6:$AG6,"9",$C$4:$AG$4,"1")+SUM(COUNTIFS($C6:$AG6,{"8","9"},$C$4:$AG$4,"2"))+COUNTIFS($C6:$AG6,"8",$C$4:$AG$4,"3")</f>
        <v>1</v>
      </c>
      <c r="AZ6" s="283">
        <f>COUNTIFS($C6:$AG6,"9",$C$4:$AG$4,"3")</f>
        <v>0</v>
      </c>
      <c r="BA6" s="283">
        <f>SUM(AV6:AZ6)</f>
        <v>2</v>
      </c>
      <c r="BB6" s="283">
        <f>AV6*'Spreadsheet Key'!$A$27+AW6*'Spreadsheet Key'!$A$28+AX6*'Spreadsheet Key'!$A$29+AY6*'Spreadsheet Key'!$A$30+AZ6*'Spreadsheet Key'!$A$31</f>
        <v>46</v>
      </c>
      <c r="BC6" s="283"/>
      <c r="BD6" s="283">
        <f>AT6-BB6</f>
        <v>-7.5181249999999977</v>
      </c>
      <c r="BE6" s="3201"/>
      <c r="BF6" s="3201"/>
      <c r="BG6" s="3201"/>
      <c r="BH6" s="3201"/>
    </row>
    <row r="7" spans="1:60">
      <c r="A7" s="3197"/>
      <c r="B7" s="3197"/>
      <c r="C7" s="779"/>
      <c r="D7" s="779"/>
      <c r="E7" s="779"/>
      <c r="F7" s="779"/>
      <c r="G7" s="3019" t="s">
        <v>1025</v>
      </c>
      <c r="H7" s="6300" t="s">
        <v>1279</v>
      </c>
      <c r="I7" s="6300"/>
      <c r="J7" s="6300"/>
      <c r="K7" s="6300"/>
      <c r="L7" s="6300"/>
      <c r="M7" s="6300"/>
      <c r="N7" s="6300"/>
      <c r="O7" s="6300"/>
      <c r="P7" s="6300"/>
      <c r="Q7" s="6300"/>
      <c r="R7" s="6300"/>
      <c r="S7" s="3019" t="s">
        <v>1025</v>
      </c>
      <c r="T7" s="779"/>
      <c r="U7" s="779"/>
      <c r="V7" s="2434" t="s">
        <v>722</v>
      </c>
      <c r="W7" s="779"/>
      <c r="X7" s="779"/>
      <c r="Y7" s="779"/>
      <c r="Z7" s="2437"/>
      <c r="AA7" s="2437"/>
      <c r="AB7" s="2437" t="s">
        <v>720</v>
      </c>
      <c r="AC7" s="779"/>
      <c r="AD7" s="779"/>
      <c r="AE7" s="779"/>
      <c r="AF7" s="779"/>
      <c r="AG7" s="804"/>
      <c r="AH7" s="3126"/>
      <c r="AI7" s="3226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3228"/>
      <c r="AU7" s="283"/>
      <c r="AV7" s="283">
        <f t="shared" ref="AV7:AV66" si="0">COUNTIFS($C7:$AG7,"8",$C$4:$AG$4,"0")</f>
        <v>0</v>
      </c>
      <c r="AW7" s="283">
        <f t="shared" ref="AW7:AW66" si="1">COUNTIFS($C7:$AG7,"9",$C$4:$AG$4,"0")</f>
        <v>0</v>
      </c>
      <c r="AX7" s="283">
        <f t="shared" ref="AX7:AX66" si="2">COUNTIFS($C7:$AG7,"8",$C$4:$AG$4,"1")</f>
        <v>0</v>
      </c>
      <c r="AY7" s="283" cm="1">
        <f t="array" ref="AY7">COUNTIFS($C7:$AG7,"9",$C$4:$AG$4,"1")+SUM(COUNTIFS($C7:$AG7,{"8","9"},$C$4:$AG$4,"2"))+COUNTIFS($C7:$AG7,"8",$C$4:$AG$4,"3")</f>
        <v>0</v>
      </c>
      <c r="AZ7" s="283">
        <f t="shared" ref="AZ7:AZ66" si="3">COUNTIFS($C7:$AG7,"9",$C$4:$AG$4,"3")</f>
        <v>0</v>
      </c>
      <c r="BA7" s="283">
        <f t="shared" ref="BA7:BA66" si="4">SUM(AV7:AZ7)</f>
        <v>0</v>
      </c>
      <c r="BB7" s="283">
        <f>AV7*'Spreadsheet Key'!$A$27+AW7*'Spreadsheet Key'!$A$28+AX7*'Spreadsheet Key'!$A$29+AY7*'Spreadsheet Key'!$A$30+AZ7*'Spreadsheet Key'!$A$31</f>
        <v>0</v>
      </c>
      <c r="BC7" s="283"/>
      <c r="BD7" s="283"/>
      <c r="BE7" s="283"/>
      <c r="BF7" s="283"/>
      <c r="BG7" s="283"/>
      <c r="BH7" s="283"/>
    </row>
    <row r="8" spans="1:60" s="3211" customFormat="1">
      <c r="A8" s="3180" t="s">
        <v>326</v>
      </c>
      <c r="B8" s="3180" t="s">
        <v>327</v>
      </c>
      <c r="C8" s="3199">
        <v>0</v>
      </c>
      <c r="D8" s="3198">
        <v>0</v>
      </c>
      <c r="E8" s="3198">
        <v>0</v>
      </c>
      <c r="F8" s="3198">
        <v>0</v>
      </c>
      <c r="G8" s="3198">
        <v>1</v>
      </c>
      <c r="H8" s="3198">
        <v>2</v>
      </c>
      <c r="I8" s="3198">
        <v>2</v>
      </c>
      <c r="J8" s="3198">
        <v>2</v>
      </c>
      <c r="K8" s="3198">
        <v>2</v>
      </c>
      <c r="L8" s="3198">
        <v>2</v>
      </c>
      <c r="M8" s="3198">
        <v>2</v>
      </c>
      <c r="N8" s="3198">
        <v>2</v>
      </c>
      <c r="O8" s="3198">
        <v>2</v>
      </c>
      <c r="P8" s="3198">
        <v>2</v>
      </c>
      <c r="Q8" s="3198">
        <v>2</v>
      </c>
      <c r="R8" s="3198">
        <v>2</v>
      </c>
      <c r="S8" s="3198">
        <v>3</v>
      </c>
      <c r="T8" s="3198">
        <v>0</v>
      </c>
      <c r="U8" s="3198">
        <v>0</v>
      </c>
      <c r="V8" s="3198">
        <v>9</v>
      </c>
      <c r="W8" s="3198">
        <v>0</v>
      </c>
      <c r="X8" s="3198">
        <v>0</v>
      </c>
      <c r="Y8" s="3198">
        <v>0</v>
      </c>
      <c r="Z8" s="3198">
        <v>0</v>
      </c>
      <c r="AA8" s="3198">
        <v>0</v>
      </c>
      <c r="AB8" s="3198">
        <v>8</v>
      </c>
      <c r="AC8" s="3198">
        <v>0</v>
      </c>
      <c r="AD8" s="3198">
        <v>0</v>
      </c>
      <c r="AE8" s="3198">
        <v>0</v>
      </c>
      <c r="AF8" s="3198">
        <v>0</v>
      </c>
      <c r="AG8" s="3198">
        <v>0</v>
      </c>
      <c r="AH8" s="3209"/>
      <c r="AI8" s="3226">
        <v>0</v>
      </c>
      <c r="AJ8" s="283" cm="1">
        <f t="array" ref="AJ8">SUM(COUNTIFS($C8:$AG8,{"0","4","5","6","7","8","9"}))</f>
        <v>18</v>
      </c>
      <c r="AK8" s="283" cm="1">
        <f t="array" ref="AK8">SUM(COUNTIFS($C8:$AG8,{"0","4","5","6","7","8","9"},$C$4:$AG$4,"0"))</f>
        <v>7</v>
      </c>
      <c r="AL8" s="283" cm="1">
        <f t="array" ref="AL8">SUM(COUNTIFS($C8:$AG8,{"0","4","5","6","7","8","9"},$C$4:$AG$4,"1"))</f>
        <v>3</v>
      </c>
      <c r="AM8" s="283" cm="1">
        <f t="array" ref="AM8">SUM(COUNTIFS($C8:$AG8,{"0","4","5","6","7","8","9"},$C$4:$AG$4,"2"))</f>
        <v>5</v>
      </c>
      <c r="AN8" s="283" cm="1">
        <f t="array" ref="AN8">SUM(COUNTIFS($C8:$AG8,{"0","4","5","6","7","8","9"},$C$4:$AG$4,"3"))</f>
        <v>3</v>
      </c>
      <c r="AO8" s="283" cm="1">
        <f t="array" ref="AO8">SUM(COUNTIFS($C8:$AG8,{"1","2","3"}))</f>
        <v>13</v>
      </c>
      <c r="AP8" s="283" cm="1">
        <f t="array" ref="AP8">SUM(COUNTIFS($C8:$AG8,{"4","5","6"}))</f>
        <v>0</v>
      </c>
      <c r="AQ8" s="283">
        <f>AK8*'Spreadsheet Key'!$A$23 + AL8*'Spreadsheet Key'!$A$24 + AM8*'Spreadsheet Key'!$A$25 + AN8*'Spreadsheet Key'!$A$26</f>
        <v>844</v>
      </c>
      <c r="AR8" s="283">
        <f>AJ8/('MAY Statistics'!$B$30)*ABS(AI8-1)</f>
        <v>3.125E-2</v>
      </c>
      <c r="AS8" s="283">
        <f t="shared" ref="AS8:AS64" si="5">AI8*AT8</f>
        <v>0</v>
      </c>
      <c r="AT8" s="3228">
        <f>AR8*'MAY Statistics'!$C$11</f>
        <v>38.481875000000002</v>
      </c>
      <c r="AU8" s="283"/>
      <c r="AV8" s="283">
        <f t="shared" si="0"/>
        <v>0</v>
      </c>
      <c r="AW8" s="283">
        <f t="shared" si="1"/>
        <v>1</v>
      </c>
      <c r="AX8" s="283">
        <f t="shared" si="2"/>
        <v>0</v>
      </c>
      <c r="AY8" s="283" cm="1">
        <f t="array" ref="AY8">COUNTIFS($C8:$AG8,"9",$C$4:$AG$4,"1")+SUM(COUNTIFS($C8:$AG8,{"8","9"},$C$4:$AG$4,"2"))+COUNTIFS($C8:$AG8,"8",$C$4:$AG$4,"3")</f>
        <v>1</v>
      </c>
      <c r="AZ8" s="283">
        <f t="shared" si="3"/>
        <v>0</v>
      </c>
      <c r="BA8" s="283">
        <f t="shared" si="4"/>
        <v>2</v>
      </c>
      <c r="BB8" s="283">
        <f>AV8*'Spreadsheet Key'!$A$27+AW8*'Spreadsheet Key'!$A$28+AX8*'Spreadsheet Key'!$A$29+AY8*'Spreadsheet Key'!$A$30+AZ8*'Spreadsheet Key'!$A$31</f>
        <v>48</v>
      </c>
      <c r="BC8" s="283"/>
      <c r="BD8" s="283">
        <f t="shared" ref="BD8" si="6">AT8-BB8</f>
        <v>-9.5181249999999977</v>
      </c>
      <c r="BE8" s="3210"/>
      <c r="BF8" s="3210"/>
      <c r="BG8" s="3210"/>
      <c r="BH8" s="3210"/>
    </row>
    <row r="9" spans="1:60">
      <c r="A9" s="3208"/>
      <c r="B9" s="3208"/>
      <c r="C9" s="780"/>
      <c r="D9" s="2437" t="s">
        <v>720</v>
      </c>
      <c r="E9" s="780"/>
      <c r="F9" s="780"/>
      <c r="G9" s="780"/>
      <c r="H9" s="3021" t="s">
        <v>1025</v>
      </c>
      <c r="I9" s="6301" t="s">
        <v>1280</v>
      </c>
      <c r="J9" s="6301"/>
      <c r="K9" s="3021" t="s">
        <v>1025</v>
      </c>
      <c r="L9" s="780"/>
      <c r="M9" s="780"/>
      <c r="N9" s="780"/>
      <c r="O9" s="2434" t="s">
        <v>722</v>
      </c>
      <c r="P9" s="2434"/>
      <c r="Q9" s="780"/>
      <c r="R9" s="780"/>
      <c r="S9" s="780"/>
      <c r="T9" s="2434"/>
      <c r="U9" s="780"/>
      <c r="V9" s="780"/>
      <c r="W9" s="2433"/>
      <c r="X9" s="780"/>
      <c r="Y9" s="780"/>
      <c r="Z9" s="2434"/>
      <c r="AA9" s="780"/>
      <c r="AB9" s="780"/>
      <c r="AC9" s="780"/>
      <c r="AD9" s="780"/>
      <c r="AE9" s="780"/>
      <c r="AF9" s="780"/>
      <c r="AG9" s="806"/>
      <c r="AH9" s="3126"/>
      <c r="AI9" s="3226"/>
      <c r="AJ9" s="283"/>
      <c r="AK9" s="283"/>
      <c r="AL9" s="283"/>
      <c r="AM9" s="283"/>
      <c r="AN9" s="283"/>
      <c r="AO9" s="283"/>
      <c r="AP9" s="283"/>
      <c r="AQ9" s="283"/>
      <c r="AR9" s="283"/>
      <c r="AS9" s="283"/>
      <c r="AT9" s="3228"/>
      <c r="AU9" s="283"/>
      <c r="AV9" s="283">
        <f t="shared" si="0"/>
        <v>0</v>
      </c>
      <c r="AW9" s="283">
        <f t="shared" si="1"/>
        <v>0</v>
      </c>
      <c r="AX9" s="283">
        <f t="shared" si="2"/>
        <v>0</v>
      </c>
      <c r="AY9" s="283" cm="1">
        <f t="array" ref="AY9">COUNTIFS($C9:$AG9,"9",$C$4:$AG$4,"1")+SUM(COUNTIFS($C9:$AG9,{"8","9"},$C$4:$AG$4,"2"))+COUNTIFS($C9:$AG9,"8",$C$4:$AG$4,"3")</f>
        <v>0</v>
      </c>
      <c r="AZ9" s="283">
        <f t="shared" si="3"/>
        <v>0</v>
      </c>
      <c r="BA9" s="283">
        <f t="shared" si="4"/>
        <v>0</v>
      </c>
      <c r="BB9" s="283">
        <f>AV9*'Spreadsheet Key'!$A$27+AW9*'Spreadsheet Key'!$A$28+AX9*'Spreadsheet Key'!$A$29+AY9*'Spreadsheet Key'!$A$30+AZ9*'Spreadsheet Key'!$A$31</f>
        <v>0</v>
      </c>
      <c r="BC9" s="283"/>
      <c r="BD9" s="283"/>
      <c r="BE9" s="283"/>
      <c r="BF9" s="283"/>
      <c r="BG9" s="283"/>
      <c r="BH9" s="283"/>
    </row>
    <row r="10" spans="1:60" s="3211" customFormat="1">
      <c r="A10" s="3180" t="s">
        <v>606</v>
      </c>
      <c r="B10" s="3180" t="s">
        <v>98</v>
      </c>
      <c r="C10" s="3199">
        <v>0</v>
      </c>
      <c r="D10" s="3198">
        <v>8</v>
      </c>
      <c r="E10" s="3198">
        <v>0</v>
      </c>
      <c r="F10" s="3198">
        <v>0</v>
      </c>
      <c r="G10" s="3198">
        <v>0</v>
      </c>
      <c r="H10" s="3198">
        <v>1</v>
      </c>
      <c r="I10" s="3198">
        <v>2</v>
      </c>
      <c r="J10" s="3198">
        <v>2</v>
      </c>
      <c r="K10" s="3198">
        <v>3</v>
      </c>
      <c r="L10" s="3198">
        <v>0</v>
      </c>
      <c r="M10" s="3198">
        <v>0</v>
      </c>
      <c r="N10" s="3198">
        <v>0</v>
      </c>
      <c r="O10" s="3198">
        <v>9</v>
      </c>
      <c r="P10" s="3198">
        <v>0</v>
      </c>
      <c r="Q10" s="3198">
        <v>0</v>
      </c>
      <c r="R10" s="3198">
        <v>0</v>
      </c>
      <c r="S10" s="3198">
        <v>0</v>
      </c>
      <c r="T10" s="3198">
        <v>0</v>
      </c>
      <c r="U10" s="3198">
        <v>0</v>
      </c>
      <c r="V10" s="3198">
        <v>0</v>
      </c>
      <c r="W10" s="3198">
        <v>0</v>
      </c>
      <c r="X10" s="3198">
        <v>0</v>
      </c>
      <c r="Y10" s="3198">
        <v>0</v>
      </c>
      <c r="Z10" s="3198">
        <v>0</v>
      </c>
      <c r="AA10" s="3198">
        <v>0</v>
      </c>
      <c r="AB10" s="3198">
        <v>0</v>
      </c>
      <c r="AC10" s="3198">
        <v>0</v>
      </c>
      <c r="AD10" s="3198">
        <v>0</v>
      </c>
      <c r="AE10" s="3198">
        <v>0</v>
      </c>
      <c r="AF10" s="3198">
        <v>0</v>
      </c>
      <c r="AG10" s="3198">
        <v>0</v>
      </c>
      <c r="AH10" s="3209"/>
      <c r="AI10" s="3226">
        <v>0</v>
      </c>
      <c r="AJ10" s="283" cm="1">
        <f t="array" ref="AJ10">SUM(COUNTIFS($C10:$AG10,{"0","4","5","6","7","8","9"}))</f>
        <v>27</v>
      </c>
      <c r="AK10" s="283" cm="1">
        <f t="array" ref="AK10">SUM(COUNTIFS($C10:$AG10,{"0","4","5","6","7","8","9"},$C$4:$AG$4,"0"))</f>
        <v>12</v>
      </c>
      <c r="AL10" s="283" cm="1">
        <f t="array" ref="AL10">SUM(COUNTIFS($C10:$AG10,{"0","4","5","6","7","8","9"},$C$4:$AG$4,"1"))</f>
        <v>4</v>
      </c>
      <c r="AM10" s="283" cm="1">
        <f t="array" ref="AM10">SUM(COUNTIFS($C10:$AG10,{"0","4","5","6","7","8","9"},$C$4:$AG$4,"2"))</f>
        <v>7</v>
      </c>
      <c r="AN10" s="283" cm="1">
        <f t="array" ref="AN10">SUM(COUNTIFS($C10:$AG10,{"0","4","5","6","7","8","9"},$C$4:$AG$4,"3"))</f>
        <v>4</v>
      </c>
      <c r="AO10" s="283" cm="1">
        <f t="array" ref="AO10">SUM(COUNTIFS($C10:$AG10,{"1","2","3"}))</f>
        <v>4</v>
      </c>
      <c r="AP10" s="283" cm="1">
        <f t="array" ref="AP10">SUM(COUNTIFS($C10:$AG10,{"4","5","6"}))</f>
        <v>0</v>
      </c>
      <c r="AQ10" s="283">
        <f>AK10*'Spreadsheet Key'!$A$23 + AL10*'Spreadsheet Key'!$A$24 + AM10*'Spreadsheet Key'!$A$25 + AN10*'Spreadsheet Key'!$A$26</f>
        <v>1208</v>
      </c>
      <c r="AR10" s="283">
        <f>AJ10/('MAY Statistics'!$B$30)*ABS(AI10-1)</f>
        <v>4.6875E-2</v>
      </c>
      <c r="AS10" s="283">
        <f t="shared" ref="AS10" si="7">AI10*AT10</f>
        <v>0</v>
      </c>
      <c r="AT10" s="3228">
        <f>AR10*'MAY Statistics'!$C$11</f>
        <v>57.722812500000003</v>
      </c>
      <c r="AU10" s="283"/>
      <c r="AV10" s="283">
        <f t="shared" si="0"/>
        <v>0</v>
      </c>
      <c r="AW10" s="283">
        <f t="shared" si="1"/>
        <v>1</v>
      </c>
      <c r="AX10" s="283">
        <f t="shared" si="2"/>
        <v>1</v>
      </c>
      <c r="AY10" s="283" cm="1">
        <f t="array" ref="AY10">COUNTIFS($C10:$AG10,"9",$C$4:$AG$4,"1")+SUM(COUNTIFS($C10:$AG10,{"8","9"},$C$4:$AG$4,"2"))+COUNTIFS($C10:$AG10,"8",$C$4:$AG$4,"3")</f>
        <v>0</v>
      </c>
      <c r="AZ10" s="283">
        <f t="shared" si="3"/>
        <v>0</v>
      </c>
      <c r="BA10" s="283">
        <f t="shared" si="4"/>
        <v>2</v>
      </c>
      <c r="BB10" s="283">
        <f>AV10*'Spreadsheet Key'!$A$27+AW10*'Spreadsheet Key'!$A$28+AX10*'Spreadsheet Key'!$A$29+AY10*'Spreadsheet Key'!$A$30+AZ10*'Spreadsheet Key'!$A$31</f>
        <v>30</v>
      </c>
      <c r="BC10" s="283"/>
      <c r="BD10" s="283">
        <f t="shared" ref="BD10" si="8">AT10-BB10</f>
        <v>27.722812500000003</v>
      </c>
      <c r="BE10" s="3210"/>
      <c r="BF10" s="3210"/>
      <c r="BG10" s="3210"/>
      <c r="BH10" s="3210"/>
    </row>
    <row r="11" spans="1:60">
      <c r="A11" s="3208"/>
      <c r="B11" s="3208"/>
      <c r="C11" s="937"/>
      <c r="D11" s="937"/>
      <c r="E11" s="937"/>
      <c r="F11" s="937"/>
      <c r="G11" s="937"/>
      <c r="H11" s="937"/>
      <c r="I11" s="937"/>
      <c r="J11" s="2433"/>
      <c r="K11" s="937"/>
      <c r="L11" s="937"/>
      <c r="M11" s="937"/>
      <c r="N11" s="937"/>
      <c r="O11" s="937"/>
      <c r="P11" s="937"/>
      <c r="Q11" s="2433" t="s">
        <v>720</v>
      </c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2437" t="s">
        <v>720</v>
      </c>
      <c r="AF11" s="937"/>
      <c r="AG11" s="1333"/>
      <c r="AH11" s="3126"/>
      <c r="AI11" s="3226"/>
      <c r="AJ11" s="283"/>
      <c r="AK11" s="283"/>
      <c r="AL11" s="283"/>
      <c r="AM11" s="283"/>
      <c r="AN11" s="283"/>
      <c r="AO11" s="283"/>
      <c r="AP11" s="283"/>
      <c r="AQ11" s="283"/>
      <c r="AR11" s="283"/>
      <c r="AS11" s="283"/>
      <c r="AT11" s="3228"/>
      <c r="AU11" s="283"/>
      <c r="AV11" s="283">
        <f t="shared" si="0"/>
        <v>0</v>
      </c>
      <c r="AW11" s="283">
        <f t="shared" si="1"/>
        <v>0</v>
      </c>
      <c r="AX11" s="283">
        <f t="shared" si="2"/>
        <v>0</v>
      </c>
      <c r="AY11" s="283" cm="1">
        <f t="array" ref="AY11">COUNTIFS($C11:$AG11,"9",$C$4:$AG$4,"1")+SUM(COUNTIFS($C11:$AG11,{"8","9"},$C$4:$AG$4,"2"))+COUNTIFS($C11:$AG11,"8",$C$4:$AG$4,"3")</f>
        <v>0</v>
      </c>
      <c r="AZ11" s="283">
        <f t="shared" si="3"/>
        <v>0</v>
      </c>
      <c r="BA11" s="283">
        <f t="shared" si="4"/>
        <v>0</v>
      </c>
      <c r="BB11" s="283">
        <f>AV11*'Spreadsheet Key'!$A$27+AW11*'Spreadsheet Key'!$A$28+AX11*'Spreadsheet Key'!$A$29+AY11*'Spreadsheet Key'!$A$30+AZ11*'Spreadsheet Key'!$A$31</f>
        <v>0</v>
      </c>
      <c r="BC11" s="283"/>
      <c r="BD11" s="283"/>
      <c r="BE11" s="283"/>
      <c r="BF11" s="283"/>
      <c r="BG11" s="283"/>
      <c r="BH11" s="283"/>
    </row>
    <row r="12" spans="1:60" s="3211" customFormat="1">
      <c r="A12" s="3180" t="s">
        <v>100</v>
      </c>
      <c r="B12" s="3180" t="s">
        <v>725</v>
      </c>
      <c r="C12" s="3199">
        <v>0</v>
      </c>
      <c r="D12" s="3198">
        <v>0</v>
      </c>
      <c r="E12" s="3198">
        <v>0</v>
      </c>
      <c r="F12" s="3198">
        <v>0</v>
      </c>
      <c r="G12" s="3198">
        <v>0</v>
      </c>
      <c r="H12" s="3198">
        <v>0</v>
      </c>
      <c r="I12" s="3198">
        <v>0</v>
      </c>
      <c r="J12" s="3198">
        <v>0</v>
      </c>
      <c r="K12" s="3198">
        <v>0</v>
      </c>
      <c r="L12" s="3198">
        <v>0</v>
      </c>
      <c r="M12" s="3198">
        <v>0</v>
      </c>
      <c r="N12" s="3198">
        <v>0</v>
      </c>
      <c r="O12" s="3198">
        <v>0</v>
      </c>
      <c r="P12" s="3198">
        <v>0</v>
      </c>
      <c r="Q12" s="3198">
        <v>8</v>
      </c>
      <c r="R12" s="3198">
        <v>0</v>
      </c>
      <c r="S12" s="3198">
        <v>0</v>
      </c>
      <c r="T12" s="3198">
        <v>0</v>
      </c>
      <c r="U12" s="3198">
        <v>0</v>
      </c>
      <c r="V12" s="3198">
        <v>0</v>
      </c>
      <c r="W12" s="3198">
        <v>0</v>
      </c>
      <c r="X12" s="3198">
        <v>0</v>
      </c>
      <c r="Y12" s="3198">
        <v>0</v>
      </c>
      <c r="Z12" s="3198">
        <v>0</v>
      </c>
      <c r="AA12" s="3198">
        <v>0</v>
      </c>
      <c r="AB12" s="3198">
        <v>0</v>
      </c>
      <c r="AC12" s="3198">
        <v>0</v>
      </c>
      <c r="AD12" s="3198">
        <v>0</v>
      </c>
      <c r="AE12" s="3198">
        <v>8</v>
      </c>
      <c r="AF12" s="3198">
        <v>0</v>
      </c>
      <c r="AG12" s="3198">
        <v>0</v>
      </c>
      <c r="AH12" s="3209"/>
      <c r="AI12" s="3226">
        <v>1</v>
      </c>
      <c r="AJ12" s="283" cm="1">
        <f t="array" ref="AJ12">SUM(COUNTIFS($C12:$AG12,{"0","4","5","6","7","8","9"}))</f>
        <v>31</v>
      </c>
      <c r="AK12" s="283" cm="1">
        <f t="array" ref="AK12">SUM(COUNTIFS($C12:$AG12,{"0","4","5","6","7","8","9"},$C$4:$AG$4,"0"))</f>
        <v>15</v>
      </c>
      <c r="AL12" s="283" cm="1">
        <f t="array" ref="AL12">SUM(COUNTIFS($C12:$AG12,{"0","4","5","6","7","8","9"},$C$4:$AG$4,"1"))</f>
        <v>5</v>
      </c>
      <c r="AM12" s="283" cm="1">
        <f t="array" ref="AM12">SUM(COUNTIFS($C12:$AG12,{"0","4","5","6","7","8","9"},$C$4:$AG$4,"2"))</f>
        <v>7</v>
      </c>
      <c r="AN12" s="283" cm="1">
        <f t="array" ref="AN12">SUM(COUNTIFS($C12:$AG12,{"0","4","5","6","7","8","9"},$C$4:$AG$4,"3"))</f>
        <v>4</v>
      </c>
      <c r="AO12" s="283" cm="1">
        <f t="array" ref="AO12">SUM(COUNTIFS($C12:$AG12,{"1","2","3"}))</f>
        <v>0</v>
      </c>
      <c r="AP12" s="283" cm="1">
        <f t="array" ref="AP12">SUM(COUNTIFS($C12:$AG12,{"4","5","6"}))</f>
        <v>0</v>
      </c>
      <c r="AQ12" s="283">
        <f>AK12*'Spreadsheet Key'!$A$23 + AL12*'Spreadsheet Key'!$A$24 + AM12*'Spreadsheet Key'!$A$25 + AN12*'Spreadsheet Key'!$A$26</f>
        <v>1328</v>
      </c>
      <c r="AR12" s="283">
        <f>AJ12/('MAY Statistics'!$B$30)*ABS(AI12-1)</f>
        <v>0</v>
      </c>
      <c r="AS12" s="283">
        <f>AI12*AT12</f>
        <v>18</v>
      </c>
      <c r="AT12" s="3228">
        <f>(AJ12/'MAY Statistics'!$B$6)*'Spreadsheet Key'!$A$33</f>
        <v>18</v>
      </c>
      <c r="AU12" s="283"/>
      <c r="AV12" s="283">
        <f t="shared" si="0"/>
        <v>2</v>
      </c>
      <c r="AW12" s="283">
        <f t="shared" si="1"/>
        <v>0</v>
      </c>
      <c r="AX12" s="283">
        <f t="shared" si="2"/>
        <v>0</v>
      </c>
      <c r="AY12" s="283" cm="1">
        <f t="array" ref="AY12">COUNTIFS($C12:$AG12,"9",$C$4:$AG$4,"1")+SUM(COUNTIFS($C12:$AG12,{"8","9"},$C$4:$AG$4,"2"))+COUNTIFS($C12:$AG12,"8",$C$4:$AG$4,"3")</f>
        <v>0</v>
      </c>
      <c r="AZ12" s="283">
        <f t="shared" si="3"/>
        <v>0</v>
      </c>
      <c r="BA12" s="283">
        <f t="shared" si="4"/>
        <v>2</v>
      </c>
      <c r="BB12" s="283">
        <f>AV12*'Spreadsheet Key'!$A$27+AW12*'Spreadsheet Key'!$A$28+AX12*'Spreadsheet Key'!$A$29+AY12*'Spreadsheet Key'!$A$30+AZ12*'Spreadsheet Key'!$A$31</f>
        <v>20</v>
      </c>
      <c r="BC12" s="283"/>
      <c r="BD12" s="283">
        <f t="shared" ref="BD12" si="9">AT12-BB12</f>
        <v>-2</v>
      </c>
      <c r="BE12" s="3210"/>
      <c r="BF12" s="3210"/>
      <c r="BG12" s="3210"/>
      <c r="BH12" s="3210"/>
    </row>
    <row r="13" spans="1:60">
      <c r="A13" s="3208"/>
      <c r="B13" s="3208"/>
      <c r="C13" s="779"/>
      <c r="D13" s="2437"/>
      <c r="E13" s="779"/>
      <c r="F13" s="779"/>
      <c r="G13" s="3010" t="s">
        <v>1025</v>
      </c>
      <c r="H13" s="6300" t="s">
        <v>1281</v>
      </c>
      <c r="I13" s="6300"/>
      <c r="J13" s="6300"/>
      <c r="K13" s="6300"/>
      <c r="L13" s="6300"/>
      <c r="M13" s="6300"/>
      <c r="N13" s="6300"/>
      <c r="O13" s="6300"/>
      <c r="P13" s="6300"/>
      <c r="Q13" s="6300"/>
      <c r="R13" s="6300"/>
      <c r="S13" s="3010" t="s">
        <v>1025</v>
      </c>
      <c r="T13" s="779"/>
      <c r="U13" s="779"/>
      <c r="V13" s="779"/>
      <c r="W13" s="2437" t="s">
        <v>720</v>
      </c>
      <c r="X13" s="2437"/>
      <c r="Y13" s="4333" t="s">
        <v>1282</v>
      </c>
      <c r="Z13" s="4411"/>
      <c r="AA13" s="4411"/>
      <c r="AB13" s="4334"/>
      <c r="AC13" s="779"/>
      <c r="AD13" s="779"/>
      <c r="AE13" s="779"/>
      <c r="AF13" s="2434" t="s">
        <v>722</v>
      </c>
      <c r="AG13" s="2839"/>
      <c r="AH13" s="3126"/>
      <c r="AI13" s="3226"/>
      <c r="AJ13" s="283"/>
      <c r="AK13" s="283"/>
      <c r="AL13" s="283"/>
      <c r="AM13" s="283"/>
      <c r="AN13" s="283"/>
      <c r="AO13" s="283"/>
      <c r="AP13" s="283"/>
      <c r="AQ13" s="283"/>
      <c r="AR13" s="283"/>
      <c r="AS13" s="283"/>
      <c r="AT13" s="3228"/>
      <c r="AU13" s="283"/>
      <c r="AV13" s="283">
        <f t="shared" si="0"/>
        <v>0</v>
      </c>
      <c r="AW13" s="283">
        <f t="shared" si="1"/>
        <v>0</v>
      </c>
      <c r="AX13" s="283">
        <f t="shared" si="2"/>
        <v>0</v>
      </c>
      <c r="AY13" s="283" cm="1">
        <f t="array" ref="AY13">COUNTIFS($C13:$AG13,"9",$C$4:$AG$4,"1")+SUM(COUNTIFS($C13:$AG13,{"8","9"},$C$4:$AG$4,"2"))+COUNTIFS($C13:$AG13,"8",$C$4:$AG$4,"3")</f>
        <v>0</v>
      </c>
      <c r="AZ13" s="283">
        <f t="shared" si="3"/>
        <v>0</v>
      </c>
      <c r="BA13" s="283">
        <f t="shared" si="4"/>
        <v>0</v>
      </c>
      <c r="BB13" s="283">
        <f>AV13*'Spreadsheet Key'!$A$27+AW13*'Spreadsheet Key'!$A$28+AX13*'Spreadsheet Key'!$A$29+AY13*'Spreadsheet Key'!$A$30+AZ13*'Spreadsheet Key'!$A$31</f>
        <v>0</v>
      </c>
      <c r="BC13" s="283"/>
      <c r="BD13" s="283"/>
      <c r="BE13" s="3139"/>
      <c r="BF13" s="3139"/>
      <c r="BG13" s="3139"/>
      <c r="BH13" s="3139"/>
    </row>
    <row r="14" spans="1:60" s="3211" customFormat="1">
      <c r="A14" s="3187" t="s">
        <v>95</v>
      </c>
      <c r="B14" s="3180" t="s">
        <v>726</v>
      </c>
      <c r="C14" s="3199">
        <v>0</v>
      </c>
      <c r="D14" s="3198">
        <v>0</v>
      </c>
      <c r="E14" s="3198">
        <v>0</v>
      </c>
      <c r="F14" s="3198">
        <v>0</v>
      </c>
      <c r="G14" s="3198">
        <v>1</v>
      </c>
      <c r="H14" s="3198">
        <v>2</v>
      </c>
      <c r="I14" s="3198">
        <v>2</v>
      </c>
      <c r="J14" s="3198">
        <v>2</v>
      </c>
      <c r="K14" s="3198">
        <v>2</v>
      </c>
      <c r="L14" s="3198">
        <v>2</v>
      </c>
      <c r="M14" s="3198">
        <v>2</v>
      </c>
      <c r="N14" s="3198">
        <v>2</v>
      </c>
      <c r="O14" s="3198">
        <v>2</v>
      </c>
      <c r="P14" s="3198">
        <v>2</v>
      </c>
      <c r="Q14" s="3198">
        <v>2</v>
      </c>
      <c r="R14" s="3198">
        <v>2</v>
      </c>
      <c r="S14" s="3198">
        <v>3</v>
      </c>
      <c r="T14" s="3198">
        <v>0</v>
      </c>
      <c r="U14" s="3198">
        <v>0</v>
      </c>
      <c r="V14" s="3198">
        <v>0</v>
      </c>
      <c r="W14" s="3198">
        <v>8</v>
      </c>
      <c r="X14" s="3198">
        <v>0</v>
      </c>
      <c r="Y14" s="3198">
        <v>4</v>
      </c>
      <c r="Z14" s="3198">
        <v>5</v>
      </c>
      <c r="AA14" s="3198">
        <v>5</v>
      </c>
      <c r="AB14" s="3198">
        <v>6</v>
      </c>
      <c r="AC14" s="3198">
        <v>0</v>
      </c>
      <c r="AD14" s="3198">
        <v>0</v>
      </c>
      <c r="AE14" s="3198">
        <v>0</v>
      </c>
      <c r="AF14" s="3198">
        <v>9</v>
      </c>
      <c r="AG14" s="3198">
        <v>0</v>
      </c>
      <c r="AH14" s="3209"/>
      <c r="AI14" s="3226">
        <v>0</v>
      </c>
      <c r="AJ14" s="283" cm="1">
        <f t="array" ref="AJ14">SUM(COUNTIFS($C14:$AG14,{"0","4","5","6","7","8","9"}))</f>
        <v>18</v>
      </c>
      <c r="AK14" s="283" cm="1">
        <f t="array" ref="AK14">SUM(COUNTIFS($C14:$AG14,{"0","4","5","6","7","8","9"},$C$4:$AG$4,"0"))</f>
        <v>7</v>
      </c>
      <c r="AL14" s="283" cm="1">
        <f t="array" ref="AL14">SUM(COUNTIFS($C14:$AG14,{"0","4","5","6","7","8","9"},$C$4:$AG$4,"1"))</f>
        <v>3</v>
      </c>
      <c r="AM14" s="283" cm="1">
        <f t="array" ref="AM14">SUM(COUNTIFS($C14:$AG14,{"0","4","5","6","7","8","9"},$C$4:$AG$4,"2"))</f>
        <v>5</v>
      </c>
      <c r="AN14" s="283" cm="1">
        <f t="array" ref="AN14">SUM(COUNTIFS($C14:$AG14,{"0","4","5","6","7","8","9"},$C$4:$AG$4,"3"))</f>
        <v>3</v>
      </c>
      <c r="AO14" s="283" cm="1">
        <f t="array" ref="AO14">SUM(COUNTIFS($C14:$AG14,{"1","2","3"}))</f>
        <v>13</v>
      </c>
      <c r="AP14" s="283" cm="1">
        <f t="array" ref="AP14">SUM(COUNTIFS($C14:$AG14,{"4","5","6"}))</f>
        <v>4</v>
      </c>
      <c r="AQ14" s="283">
        <f>AK14*'Spreadsheet Key'!$A$23 + AL14*'Spreadsheet Key'!$A$24 + AM14*'Spreadsheet Key'!$A$25 + AN14*'Spreadsheet Key'!$A$26</f>
        <v>844</v>
      </c>
      <c r="AR14" s="283">
        <f>AJ14/('MAY Statistics'!$B$30)*ABS(AI14-1)</f>
        <v>3.125E-2</v>
      </c>
      <c r="AS14" s="283">
        <f t="shared" ref="AS14" si="10">AI14*AT14</f>
        <v>0</v>
      </c>
      <c r="AT14" s="3228">
        <f>AR14*'MAY Statistics'!$C$11</f>
        <v>38.481875000000002</v>
      </c>
      <c r="AU14" s="283"/>
      <c r="AV14" s="283">
        <f t="shared" si="0"/>
        <v>1</v>
      </c>
      <c r="AW14" s="283">
        <f t="shared" si="1"/>
        <v>0</v>
      </c>
      <c r="AX14" s="283">
        <f t="shared" si="2"/>
        <v>0</v>
      </c>
      <c r="AY14" s="283" cm="1">
        <f t="array" ref="AY14">COUNTIFS($C14:$AG14,"9",$C$4:$AG$4,"1")+SUM(COUNTIFS($C14:$AG14,{"8","9"},$C$4:$AG$4,"2"))+COUNTIFS($C14:$AG14,"8",$C$4:$AG$4,"3")</f>
        <v>1</v>
      </c>
      <c r="AZ14" s="283">
        <f t="shared" si="3"/>
        <v>0</v>
      </c>
      <c r="BA14" s="283">
        <f t="shared" si="4"/>
        <v>2</v>
      </c>
      <c r="BB14" s="283">
        <f>AV14*'Spreadsheet Key'!$A$27+AW14*'Spreadsheet Key'!$A$28+AX14*'Spreadsheet Key'!$A$29+AY14*'Spreadsheet Key'!$A$30+AZ14*'Spreadsheet Key'!$A$31</f>
        <v>46</v>
      </c>
      <c r="BC14" s="283"/>
      <c r="BD14" s="283">
        <f t="shared" ref="BD14" si="11">AT14-BB14</f>
        <v>-7.5181249999999977</v>
      </c>
      <c r="BE14" s="3213"/>
      <c r="BF14" s="3213"/>
      <c r="BG14" s="3213"/>
      <c r="BH14" s="3213"/>
    </row>
    <row r="15" spans="1:60">
      <c r="A15" s="3212"/>
      <c r="B15" s="3208"/>
      <c r="C15" s="3010" t="s">
        <v>1025</v>
      </c>
      <c r="D15" s="779"/>
      <c r="E15" s="779"/>
      <c r="F15" s="779"/>
      <c r="G15" s="3010" t="s">
        <v>1025</v>
      </c>
      <c r="H15" s="6300" t="s">
        <v>1279</v>
      </c>
      <c r="I15" s="6300"/>
      <c r="J15" s="6300"/>
      <c r="K15" s="6300"/>
      <c r="L15" s="6300"/>
      <c r="M15" s="6300"/>
      <c r="N15" s="6300"/>
      <c r="O15" s="6300"/>
      <c r="P15" s="6300"/>
      <c r="Q15" s="6300"/>
      <c r="R15" s="6300"/>
      <c r="S15" s="3010" t="s">
        <v>1025</v>
      </c>
      <c r="T15" s="779"/>
      <c r="U15" s="779"/>
      <c r="V15" s="779"/>
      <c r="W15" s="2437"/>
      <c r="X15" s="2434" t="s">
        <v>722</v>
      </c>
      <c r="Y15" s="779"/>
      <c r="Z15" s="779"/>
      <c r="AA15" s="779"/>
      <c r="AB15" s="779"/>
      <c r="AC15" s="779"/>
      <c r="AD15" s="779"/>
      <c r="AE15" s="2434"/>
      <c r="AF15" s="2434"/>
      <c r="AG15" s="2437" t="s">
        <v>720</v>
      </c>
      <c r="AH15" s="3126"/>
      <c r="AI15" s="3226"/>
      <c r="AJ15" s="283"/>
      <c r="AK15" s="283"/>
      <c r="AL15" s="283"/>
      <c r="AM15" s="283"/>
      <c r="AN15" s="283"/>
      <c r="AO15" s="283"/>
      <c r="AP15" s="283"/>
      <c r="AQ15" s="283"/>
      <c r="AR15" s="283"/>
      <c r="AS15" s="283"/>
      <c r="AT15" s="3228"/>
      <c r="AU15" s="283"/>
      <c r="AV15" s="283">
        <f t="shared" si="0"/>
        <v>0</v>
      </c>
      <c r="AW15" s="283">
        <f t="shared" si="1"/>
        <v>0</v>
      </c>
      <c r="AX15" s="283">
        <f t="shared" si="2"/>
        <v>0</v>
      </c>
      <c r="AY15" s="283" cm="1">
        <f t="array" ref="AY15">COUNTIFS($C15:$AG15,"9",$C$4:$AG$4,"1")+SUM(COUNTIFS($C15:$AG15,{"8","9"},$C$4:$AG$4,"2"))+COUNTIFS($C15:$AG15,"8",$C$4:$AG$4,"3")</f>
        <v>0</v>
      </c>
      <c r="AZ15" s="283">
        <f t="shared" si="3"/>
        <v>0</v>
      </c>
      <c r="BA15" s="283">
        <f t="shared" si="4"/>
        <v>0</v>
      </c>
      <c r="BB15" s="283">
        <f>AV15*'Spreadsheet Key'!$A$27+AW15*'Spreadsheet Key'!$A$28+AX15*'Spreadsheet Key'!$A$29+AY15*'Spreadsheet Key'!$A$30+AZ15*'Spreadsheet Key'!$A$31</f>
        <v>0</v>
      </c>
      <c r="BC15" s="283"/>
      <c r="BD15" s="283"/>
      <c r="BE15" s="283"/>
      <c r="BF15" s="283"/>
      <c r="BG15" s="283"/>
      <c r="BH15" s="283"/>
    </row>
    <row r="16" spans="1:60" s="3211" customFormat="1">
      <c r="A16" s="3180" t="s">
        <v>95</v>
      </c>
      <c r="B16" s="3180" t="s">
        <v>738</v>
      </c>
      <c r="C16" s="3199">
        <v>3</v>
      </c>
      <c r="D16" s="3198">
        <v>0</v>
      </c>
      <c r="E16" s="3198">
        <v>0</v>
      </c>
      <c r="F16" s="3198">
        <v>0</v>
      </c>
      <c r="G16" s="3198">
        <v>1</v>
      </c>
      <c r="H16" s="3198">
        <v>2</v>
      </c>
      <c r="I16" s="3198">
        <v>2</v>
      </c>
      <c r="J16" s="3198">
        <v>2</v>
      </c>
      <c r="K16" s="3198">
        <v>2</v>
      </c>
      <c r="L16" s="3198">
        <v>2</v>
      </c>
      <c r="M16" s="3198">
        <v>2</v>
      </c>
      <c r="N16" s="3198">
        <v>2</v>
      </c>
      <c r="O16" s="3198">
        <v>2</v>
      </c>
      <c r="P16" s="3198">
        <v>2</v>
      </c>
      <c r="Q16" s="3198">
        <v>2</v>
      </c>
      <c r="R16" s="3198">
        <v>2</v>
      </c>
      <c r="S16" s="3198">
        <v>3</v>
      </c>
      <c r="T16" s="3198">
        <v>0</v>
      </c>
      <c r="U16" s="3198">
        <v>0</v>
      </c>
      <c r="V16" s="3198">
        <v>0</v>
      </c>
      <c r="W16" s="3198">
        <v>0</v>
      </c>
      <c r="X16" s="3198">
        <v>9</v>
      </c>
      <c r="Y16" s="3198">
        <v>0</v>
      </c>
      <c r="Z16" s="3198">
        <v>0</v>
      </c>
      <c r="AA16" s="3198">
        <v>0</v>
      </c>
      <c r="AB16" s="3198">
        <v>0</v>
      </c>
      <c r="AC16" s="3198">
        <v>0</v>
      </c>
      <c r="AD16" s="3198">
        <v>0</v>
      </c>
      <c r="AE16" s="3198">
        <v>0</v>
      </c>
      <c r="AF16" s="3198">
        <v>0</v>
      </c>
      <c r="AG16" s="3198">
        <v>8</v>
      </c>
      <c r="AH16" s="3209"/>
      <c r="AI16" s="3226">
        <v>0</v>
      </c>
      <c r="AJ16" s="283" cm="1">
        <f t="array" ref="AJ16">SUM(COUNTIFS($C16:$AG16,{"0","4","5","6","7","8","9"}))</f>
        <v>17</v>
      </c>
      <c r="AK16" s="283" cm="1">
        <f t="array" ref="AK16">SUM(COUNTIFS($C16:$AG16,{"0","4","5","6","7","8","9"},$C$4:$AG$4,"0"))</f>
        <v>6</v>
      </c>
      <c r="AL16" s="283" cm="1">
        <f t="array" ref="AL16">SUM(COUNTIFS($C16:$AG16,{"0","4","5","6","7","8","9"},$C$4:$AG$4,"1"))</f>
        <v>3</v>
      </c>
      <c r="AM16" s="283" cm="1">
        <f t="array" ref="AM16">SUM(COUNTIFS($C16:$AG16,{"0","4","5","6","7","8","9"},$C$4:$AG$4,"2"))</f>
        <v>5</v>
      </c>
      <c r="AN16" s="283" cm="1">
        <f t="array" ref="AN16">SUM(COUNTIFS($C16:$AG16,{"0","4","5","6","7","8","9"},$C$4:$AG$4,"3"))</f>
        <v>3</v>
      </c>
      <c r="AO16" s="283" cm="1">
        <f t="array" ref="AO16">SUM(COUNTIFS($C16:$AG16,{"1","2","3"}))</f>
        <v>14</v>
      </c>
      <c r="AP16" s="283" cm="1">
        <f t="array" ref="AP16">SUM(COUNTIFS($C16:$AG16,{"4","5","6"}))</f>
        <v>0</v>
      </c>
      <c r="AQ16" s="283">
        <f>AK16*'Spreadsheet Key'!$A$23 + AL16*'Spreadsheet Key'!$A$24 + AM16*'Spreadsheet Key'!$A$25 + AN16*'Spreadsheet Key'!$A$26</f>
        <v>822</v>
      </c>
      <c r="AR16" s="283">
        <f>AJ16/('MAY Statistics'!$B$30)*ABS(AI16-1)</f>
        <v>2.9513888888888888E-2</v>
      </c>
      <c r="AS16" s="283">
        <f t="shared" si="5"/>
        <v>0</v>
      </c>
      <c r="AT16" s="3228">
        <f>AR16*'MAY Statistics'!$C$11</f>
        <v>36.343993055555558</v>
      </c>
      <c r="AU16" s="283"/>
      <c r="AV16" s="283">
        <f t="shared" si="0"/>
        <v>0</v>
      </c>
      <c r="AW16" s="283">
        <f t="shared" si="1"/>
        <v>0</v>
      </c>
      <c r="AX16" s="283">
        <f t="shared" si="2"/>
        <v>0</v>
      </c>
      <c r="AY16" s="283" cm="1">
        <f t="array" ref="AY16">COUNTIFS($C16:$AG16,"9",$C$4:$AG$4,"1")+SUM(COUNTIFS($C16:$AG16,{"8","9"},$C$4:$AG$4,"2"))+COUNTIFS($C16:$AG16,"8",$C$4:$AG$4,"3")</f>
        <v>2</v>
      </c>
      <c r="AZ16" s="283">
        <f t="shared" si="3"/>
        <v>0</v>
      </c>
      <c r="BA16" s="283">
        <f t="shared" si="4"/>
        <v>2</v>
      </c>
      <c r="BB16" s="283">
        <f>AV16*'Spreadsheet Key'!$A$27+AW16*'Spreadsheet Key'!$A$28+AX16*'Spreadsheet Key'!$A$29+AY16*'Spreadsheet Key'!$A$30+AZ16*'Spreadsheet Key'!$A$31</f>
        <v>72</v>
      </c>
      <c r="BC16" s="283"/>
      <c r="BD16" s="283">
        <f t="shared" ref="BD16" si="12">AT16-BB16</f>
        <v>-35.656006944444442</v>
      </c>
      <c r="BE16" s="3210"/>
      <c r="BF16" s="3210"/>
      <c r="BG16" s="3210"/>
      <c r="BH16" s="3210"/>
    </row>
    <row r="17" spans="1:60">
      <c r="A17" s="3208"/>
      <c r="B17" s="3208"/>
      <c r="C17" s="3010" t="s">
        <v>1025</v>
      </c>
      <c r="D17" s="6302" t="s">
        <v>1279</v>
      </c>
      <c r="E17" s="6303"/>
      <c r="F17" s="6303"/>
      <c r="G17" s="6303"/>
      <c r="H17" s="6303"/>
      <c r="I17" s="6303"/>
      <c r="J17" s="6303"/>
      <c r="K17" s="6303"/>
      <c r="L17" s="6303"/>
      <c r="M17" s="6303"/>
      <c r="N17" s="6303"/>
      <c r="O17" s="6303"/>
      <c r="P17" s="6303"/>
      <c r="Q17" s="6303"/>
      <c r="R17" s="6304"/>
      <c r="S17" s="3010" t="s">
        <v>1025</v>
      </c>
      <c r="T17" s="779"/>
      <c r="U17" s="779"/>
      <c r="V17" s="779"/>
      <c r="W17" s="779"/>
      <c r="X17" s="779"/>
      <c r="Y17" s="2434" t="s">
        <v>722</v>
      </c>
      <c r="Z17" s="2434"/>
      <c r="AA17" s="779"/>
      <c r="AB17" s="779"/>
      <c r="AC17" s="2437" t="s">
        <v>720</v>
      </c>
      <c r="AD17" s="2437"/>
      <c r="AE17" s="779"/>
      <c r="AF17" s="779"/>
      <c r="AG17" s="2839"/>
      <c r="AH17" s="3126"/>
      <c r="AI17" s="3226"/>
      <c r="AJ17" s="283"/>
      <c r="AK17" s="283"/>
      <c r="AL17" s="283"/>
      <c r="AM17" s="283"/>
      <c r="AN17" s="283"/>
      <c r="AO17" s="283"/>
      <c r="AP17" s="283"/>
      <c r="AQ17" s="283"/>
      <c r="AR17" s="283"/>
      <c r="AS17" s="283"/>
      <c r="AT17" s="3228"/>
      <c r="AU17" s="283"/>
      <c r="AV17" s="283">
        <f t="shared" si="0"/>
        <v>0</v>
      </c>
      <c r="AW17" s="283">
        <f t="shared" si="1"/>
        <v>0</v>
      </c>
      <c r="AX17" s="283">
        <f t="shared" si="2"/>
        <v>0</v>
      </c>
      <c r="AY17" s="283" cm="1">
        <f t="array" ref="AY17">COUNTIFS($C17:$AG17,"9",$C$4:$AG$4,"1")+SUM(COUNTIFS($C17:$AG17,{"8","9"},$C$4:$AG$4,"2"))+COUNTIFS($C17:$AG17,"8",$C$4:$AG$4,"3")</f>
        <v>0</v>
      </c>
      <c r="AZ17" s="283">
        <f t="shared" si="3"/>
        <v>0</v>
      </c>
      <c r="BA17" s="283">
        <f t="shared" si="4"/>
        <v>0</v>
      </c>
      <c r="BB17" s="283">
        <f>AV17*'Spreadsheet Key'!$A$27+AW17*'Spreadsheet Key'!$A$28+AX17*'Spreadsheet Key'!$A$29+AY17*'Spreadsheet Key'!$A$30+AZ17*'Spreadsheet Key'!$A$31</f>
        <v>0</v>
      </c>
      <c r="BC17" s="283"/>
      <c r="BD17" s="283"/>
      <c r="BE17" s="283"/>
      <c r="BF17" s="283"/>
      <c r="BG17" s="283"/>
      <c r="BH17" s="283"/>
    </row>
    <row r="18" spans="1:60" s="3211" customFormat="1">
      <c r="A18" s="3180" t="s">
        <v>106</v>
      </c>
      <c r="B18" s="3180" t="s">
        <v>1191</v>
      </c>
      <c r="C18" s="3199">
        <v>1</v>
      </c>
      <c r="D18" s="3198">
        <v>2</v>
      </c>
      <c r="E18" s="3198">
        <v>2</v>
      </c>
      <c r="F18" s="3198">
        <v>2</v>
      </c>
      <c r="G18" s="3198">
        <v>2</v>
      </c>
      <c r="H18" s="3198">
        <v>2</v>
      </c>
      <c r="I18" s="3198">
        <v>2</v>
      </c>
      <c r="J18" s="3198">
        <v>2</v>
      </c>
      <c r="K18" s="3198">
        <v>2</v>
      </c>
      <c r="L18" s="3198">
        <v>2</v>
      </c>
      <c r="M18" s="3198">
        <v>2</v>
      </c>
      <c r="N18" s="3198">
        <v>2</v>
      </c>
      <c r="O18" s="3198">
        <v>2</v>
      </c>
      <c r="P18" s="3198">
        <v>2</v>
      </c>
      <c r="Q18" s="3198">
        <v>2</v>
      </c>
      <c r="R18" s="3198">
        <v>2</v>
      </c>
      <c r="S18" s="3198">
        <v>3</v>
      </c>
      <c r="T18" s="3198">
        <v>0</v>
      </c>
      <c r="U18" s="3198">
        <v>0</v>
      </c>
      <c r="V18" s="3198">
        <v>0</v>
      </c>
      <c r="W18" s="3198">
        <v>0</v>
      </c>
      <c r="X18" s="3198">
        <v>0</v>
      </c>
      <c r="Y18" s="3198">
        <v>9</v>
      </c>
      <c r="Z18" s="3198">
        <v>0</v>
      </c>
      <c r="AA18" s="3198">
        <v>0</v>
      </c>
      <c r="AB18" s="3198">
        <v>0</v>
      </c>
      <c r="AC18" s="3198">
        <v>8</v>
      </c>
      <c r="AD18" s="3198">
        <v>0</v>
      </c>
      <c r="AE18" s="3198">
        <v>0</v>
      </c>
      <c r="AF18" s="3198">
        <v>0</v>
      </c>
      <c r="AG18" s="3198">
        <v>0</v>
      </c>
      <c r="AH18" s="3209"/>
      <c r="AI18" s="3226">
        <v>0</v>
      </c>
      <c r="AJ18" s="283" cm="1">
        <f t="array" ref="AJ18">SUM(COUNTIFS($C18:$AG18,{"0","4","5","6","7","8","9"}))</f>
        <v>14</v>
      </c>
      <c r="AK18" s="283" cm="1">
        <f t="array" ref="AK18">SUM(COUNTIFS($C18:$AG18,{"0","4","5","6","7","8","9"},$C$4:$AG$4,"0"))</f>
        <v>6</v>
      </c>
      <c r="AL18" s="283" cm="1">
        <f t="array" ref="AL18">SUM(COUNTIFS($C18:$AG18,{"0","4","5","6","7","8","9"},$C$4:$AG$4,"1"))</f>
        <v>2</v>
      </c>
      <c r="AM18" s="283" cm="1">
        <f t="array" ref="AM18">SUM(COUNTIFS($C18:$AG18,{"0","4","5","6","7","8","9"},$C$4:$AG$4,"2"))</f>
        <v>4</v>
      </c>
      <c r="AN18" s="283" cm="1">
        <f t="array" ref="AN18">SUM(COUNTIFS($C18:$AG18,{"0","4","5","6","7","8","9"},$C$4:$AG$4,"3"))</f>
        <v>2</v>
      </c>
      <c r="AO18" s="283" cm="1">
        <f t="array" ref="AO18">SUM(COUNTIFS($C18:$AG18,{"1","2","3"}))</f>
        <v>17</v>
      </c>
      <c r="AP18" s="283" cm="1">
        <f t="array" ref="AP18">SUM(COUNTIFS($C18:$AG18,{"4","5","6"}))</f>
        <v>0</v>
      </c>
      <c r="AQ18" s="283">
        <f>AK18*'Spreadsheet Key'!$A$23 + AL18*'Spreadsheet Key'!$A$24 + AM18*'Spreadsheet Key'!$A$25 + AN18*'Spreadsheet Key'!$A$26</f>
        <v>640</v>
      </c>
      <c r="AR18" s="283">
        <f>AJ18/('MAY Statistics'!$B$30)*ABS(AI18-1)</f>
        <v>2.4305555555555556E-2</v>
      </c>
      <c r="AS18" s="283">
        <f t="shared" ref="AS18" si="13">AI18*AT18</f>
        <v>0</v>
      </c>
      <c r="AT18" s="3228">
        <f>AR18*'MAY Statistics'!$C$11</f>
        <v>29.930347222222224</v>
      </c>
      <c r="AU18" s="283"/>
      <c r="AV18" s="283">
        <f t="shared" si="0"/>
        <v>1</v>
      </c>
      <c r="AW18" s="283">
        <f t="shared" si="1"/>
        <v>0</v>
      </c>
      <c r="AX18" s="283">
        <f t="shared" si="2"/>
        <v>0</v>
      </c>
      <c r="AY18" s="283" cm="1">
        <f t="array" ref="AY18">COUNTIFS($C18:$AG18,"9",$C$4:$AG$4,"1")+SUM(COUNTIFS($C18:$AG18,{"8","9"},$C$4:$AG$4,"2"))+COUNTIFS($C18:$AG18,"8",$C$4:$AG$4,"3")</f>
        <v>1</v>
      </c>
      <c r="AZ18" s="283">
        <f t="shared" si="3"/>
        <v>0</v>
      </c>
      <c r="BA18" s="283">
        <f t="shared" si="4"/>
        <v>2</v>
      </c>
      <c r="BB18" s="283">
        <f>AV18*'Spreadsheet Key'!$A$27+AW18*'Spreadsheet Key'!$A$28+AX18*'Spreadsheet Key'!$A$29+AY18*'Spreadsheet Key'!$A$30+AZ18*'Spreadsheet Key'!$A$31</f>
        <v>46</v>
      </c>
      <c r="BC18" s="283"/>
      <c r="BD18" s="283">
        <f t="shared" ref="BD18" si="14">AT18-BB18</f>
        <v>-16.069652777777776</v>
      </c>
      <c r="BE18" s="3210"/>
      <c r="BF18" s="3210"/>
      <c r="BG18" s="3210"/>
      <c r="BH18" s="3210"/>
    </row>
    <row r="19" spans="1:60">
      <c r="A19" s="3208"/>
      <c r="B19" s="3208"/>
      <c r="C19" s="779"/>
      <c r="D19" s="779"/>
      <c r="E19" s="779"/>
      <c r="F19" s="779"/>
      <c r="G19" s="3010" t="s">
        <v>1025</v>
      </c>
      <c r="H19" s="6300" t="s">
        <v>1279</v>
      </c>
      <c r="I19" s="6300"/>
      <c r="J19" s="6300"/>
      <c r="K19" s="6300"/>
      <c r="L19" s="6300"/>
      <c r="M19" s="6300"/>
      <c r="N19" s="6300"/>
      <c r="O19" s="6300"/>
      <c r="P19" s="6300"/>
      <c r="Q19" s="6300"/>
      <c r="R19" s="6300"/>
      <c r="S19" s="3010" t="s">
        <v>1025</v>
      </c>
      <c r="T19" s="779"/>
      <c r="U19" s="779"/>
      <c r="V19" s="779"/>
      <c r="W19" s="779"/>
      <c r="X19" s="779"/>
      <c r="Y19" s="2434"/>
      <c r="Z19" s="2434" t="s">
        <v>722</v>
      </c>
      <c r="AA19" s="779"/>
      <c r="AB19" s="779"/>
      <c r="AC19" s="779"/>
      <c r="AD19" s="779"/>
      <c r="AE19" s="2434" t="s">
        <v>722</v>
      </c>
      <c r="AF19" s="2434"/>
      <c r="AG19" s="804"/>
      <c r="AH19" s="3126"/>
      <c r="AI19" s="3226"/>
      <c r="AJ19" s="283"/>
      <c r="AK19" s="283"/>
      <c r="AL19" s="283"/>
      <c r="AM19" s="283"/>
      <c r="AN19" s="283"/>
      <c r="AO19" s="283"/>
      <c r="AP19" s="283"/>
      <c r="AQ19" s="283"/>
      <c r="AR19" s="283"/>
      <c r="AS19" s="283"/>
      <c r="AT19" s="3228"/>
      <c r="AU19" s="283"/>
      <c r="AV19" s="283">
        <f t="shared" si="0"/>
        <v>0</v>
      </c>
      <c r="AW19" s="283">
        <f t="shared" si="1"/>
        <v>0</v>
      </c>
      <c r="AX19" s="283">
        <f t="shared" si="2"/>
        <v>0</v>
      </c>
      <c r="AY19" s="283" cm="1">
        <f t="array" ref="AY19">COUNTIFS($C19:$AG19,"9",$C$4:$AG$4,"1")+SUM(COUNTIFS($C19:$AG19,{"8","9"},$C$4:$AG$4,"2"))+COUNTIFS($C19:$AG19,"8",$C$4:$AG$4,"3")</f>
        <v>0</v>
      </c>
      <c r="AZ19" s="283">
        <f t="shared" si="3"/>
        <v>0</v>
      </c>
      <c r="BA19" s="283">
        <f t="shared" si="4"/>
        <v>0</v>
      </c>
      <c r="BB19" s="283">
        <f>AV19*'Spreadsheet Key'!$A$27+AW19*'Spreadsheet Key'!$A$28+AX19*'Spreadsheet Key'!$A$29+AY19*'Spreadsheet Key'!$A$30+AZ19*'Spreadsheet Key'!$A$31</f>
        <v>0</v>
      </c>
      <c r="BC19" s="283"/>
      <c r="BD19" s="283"/>
      <c r="BE19" s="283"/>
      <c r="BF19" s="283"/>
      <c r="BG19" s="283"/>
      <c r="BH19" s="283"/>
    </row>
    <row r="20" spans="1:60" s="3211" customFormat="1">
      <c r="A20" s="3180" t="s">
        <v>108</v>
      </c>
      <c r="B20" s="3180" t="s">
        <v>109</v>
      </c>
      <c r="C20" s="3199">
        <v>0</v>
      </c>
      <c r="D20" s="3198">
        <v>0</v>
      </c>
      <c r="E20" s="3198">
        <v>0</v>
      </c>
      <c r="F20" s="3198">
        <v>0</v>
      </c>
      <c r="G20" s="3198">
        <v>1</v>
      </c>
      <c r="H20" s="3198">
        <v>2</v>
      </c>
      <c r="I20" s="3198">
        <v>2</v>
      </c>
      <c r="J20" s="3198">
        <v>2</v>
      </c>
      <c r="K20" s="3198">
        <v>2</v>
      </c>
      <c r="L20" s="3198">
        <v>2</v>
      </c>
      <c r="M20" s="3198">
        <v>2</v>
      </c>
      <c r="N20" s="3198">
        <v>2</v>
      </c>
      <c r="O20" s="3198">
        <v>2</v>
      </c>
      <c r="P20" s="3198">
        <v>2</v>
      </c>
      <c r="Q20" s="3198">
        <v>2</v>
      </c>
      <c r="R20" s="3198">
        <v>2</v>
      </c>
      <c r="S20" s="3198">
        <v>3</v>
      </c>
      <c r="T20" s="3198">
        <v>0</v>
      </c>
      <c r="U20" s="3198">
        <v>0</v>
      </c>
      <c r="V20" s="3198">
        <v>0</v>
      </c>
      <c r="W20" s="3198">
        <v>0</v>
      </c>
      <c r="X20" s="3198">
        <v>0</v>
      </c>
      <c r="Y20" s="3198">
        <v>0</v>
      </c>
      <c r="Z20" s="3198">
        <v>9</v>
      </c>
      <c r="AA20" s="3198">
        <v>0</v>
      </c>
      <c r="AB20" s="3198">
        <v>0</v>
      </c>
      <c r="AC20" s="3198">
        <v>0</v>
      </c>
      <c r="AD20" s="3198">
        <v>0</v>
      </c>
      <c r="AE20" s="3198">
        <v>9</v>
      </c>
      <c r="AF20" s="3198">
        <v>0</v>
      </c>
      <c r="AG20" s="3198">
        <v>0</v>
      </c>
      <c r="AH20" s="3209"/>
      <c r="AI20" s="3226">
        <v>0</v>
      </c>
      <c r="AJ20" s="283" cm="1">
        <f t="array" ref="AJ20">SUM(COUNTIFS($C20:$AG20,{"0","4","5","6","7","8","9"}))</f>
        <v>18</v>
      </c>
      <c r="AK20" s="283" cm="1">
        <f t="array" ref="AK20">SUM(COUNTIFS($C20:$AG20,{"0","4","5","6","7","8","9"},$C$4:$AG$4,"0"))</f>
        <v>7</v>
      </c>
      <c r="AL20" s="283" cm="1">
        <f t="array" ref="AL20">SUM(COUNTIFS($C20:$AG20,{"0","4","5","6","7","8","9"},$C$4:$AG$4,"1"))</f>
        <v>3</v>
      </c>
      <c r="AM20" s="283" cm="1">
        <f t="array" ref="AM20">SUM(COUNTIFS($C20:$AG20,{"0","4","5","6","7","8","9"},$C$4:$AG$4,"2"))</f>
        <v>5</v>
      </c>
      <c r="AN20" s="283" cm="1">
        <f t="array" ref="AN20">SUM(COUNTIFS($C20:$AG20,{"0","4","5","6","7","8","9"},$C$4:$AG$4,"3"))</f>
        <v>3</v>
      </c>
      <c r="AO20" s="283" cm="1">
        <f t="array" ref="AO20">SUM(COUNTIFS($C20:$AG20,{"1","2","3"}))</f>
        <v>13</v>
      </c>
      <c r="AP20" s="283" cm="1">
        <f t="array" ref="AP20">SUM(COUNTIFS($C20:$AG20,{"4","5","6"}))</f>
        <v>0</v>
      </c>
      <c r="AQ20" s="283">
        <f>AK20*'Spreadsheet Key'!$A$23 + AL20*'Spreadsheet Key'!$A$24 + AM20*'Spreadsheet Key'!$A$25 + AN20*'Spreadsheet Key'!$A$26</f>
        <v>844</v>
      </c>
      <c r="AR20" s="283">
        <f>AJ20/('MAY Statistics'!$B$30)*ABS(AI20-1)</f>
        <v>3.125E-2</v>
      </c>
      <c r="AS20" s="283">
        <f t="shared" si="5"/>
        <v>0</v>
      </c>
      <c r="AT20" s="3228">
        <f>AR20*'MAY Statistics'!$C$11</f>
        <v>38.481875000000002</v>
      </c>
      <c r="AU20" s="283"/>
      <c r="AV20" s="283">
        <f t="shared" si="0"/>
        <v>0</v>
      </c>
      <c r="AW20" s="283">
        <f t="shared" si="1"/>
        <v>1</v>
      </c>
      <c r="AX20" s="283">
        <f t="shared" si="2"/>
        <v>0</v>
      </c>
      <c r="AY20" s="283" cm="1">
        <f t="array" ref="AY20">COUNTIFS($C20:$AG20,"9",$C$4:$AG$4,"1")+SUM(COUNTIFS($C20:$AG20,{"8","9"},$C$4:$AG$4,"2"))+COUNTIFS($C20:$AG20,"8",$C$4:$AG$4,"3")</f>
        <v>1</v>
      </c>
      <c r="AZ20" s="283">
        <f t="shared" si="3"/>
        <v>0</v>
      </c>
      <c r="BA20" s="283">
        <f t="shared" si="4"/>
        <v>2</v>
      </c>
      <c r="BB20" s="283">
        <f>AV20*'Spreadsheet Key'!$A$27+AW20*'Spreadsheet Key'!$A$28+AX20*'Spreadsheet Key'!$A$29+AY20*'Spreadsheet Key'!$A$30+AZ20*'Spreadsheet Key'!$A$31</f>
        <v>48</v>
      </c>
      <c r="BC20" s="283"/>
      <c r="BD20" s="283">
        <f t="shared" ref="BD20" si="15">AT20-BB20</f>
        <v>-9.5181249999999977</v>
      </c>
      <c r="BE20" s="3210"/>
      <c r="BF20" s="3210"/>
      <c r="BG20" s="3210"/>
      <c r="BH20" s="3210"/>
    </row>
    <row r="21" spans="1:60">
      <c r="A21" s="3208"/>
      <c r="B21" s="3208"/>
      <c r="C21" s="778"/>
      <c r="D21" s="778"/>
      <c r="E21" s="778"/>
      <c r="F21" s="778"/>
      <c r="G21" s="2437" t="s">
        <v>720</v>
      </c>
      <c r="H21" s="778"/>
      <c r="I21" s="778"/>
      <c r="J21" s="778"/>
      <c r="K21" s="778"/>
      <c r="L21" s="778"/>
      <c r="M21" s="778"/>
      <c r="N21" s="2437" t="s">
        <v>720</v>
      </c>
      <c r="O21" s="778"/>
      <c r="P21" s="778"/>
      <c r="Q21" s="778"/>
      <c r="R21" s="778"/>
      <c r="S21" s="778"/>
      <c r="T21" s="778"/>
      <c r="U21" s="785"/>
      <c r="V21" s="785"/>
      <c r="W21" s="785"/>
      <c r="X21" s="778"/>
      <c r="Y21" s="778"/>
      <c r="Z21" s="778"/>
      <c r="AA21" s="778"/>
      <c r="AB21" s="778"/>
      <c r="AC21" s="778"/>
      <c r="AD21" s="778"/>
      <c r="AE21" s="778"/>
      <c r="AF21" s="778"/>
      <c r="AG21" s="805"/>
      <c r="AH21" s="3126"/>
      <c r="AI21" s="3226"/>
      <c r="AJ21" s="283"/>
      <c r="AK21" s="283"/>
      <c r="AL21" s="283"/>
      <c r="AM21" s="283"/>
      <c r="AN21" s="283"/>
      <c r="AO21" s="283"/>
      <c r="AP21" s="283"/>
      <c r="AQ21" s="283"/>
      <c r="AR21" s="283"/>
      <c r="AS21" s="283"/>
      <c r="AT21" s="3228"/>
      <c r="AU21" s="283"/>
      <c r="AV21" s="283">
        <f t="shared" si="0"/>
        <v>0</v>
      </c>
      <c r="AW21" s="283">
        <f t="shared" si="1"/>
        <v>0</v>
      </c>
      <c r="AX21" s="283">
        <f t="shared" si="2"/>
        <v>0</v>
      </c>
      <c r="AY21" s="283" cm="1">
        <f t="array" ref="AY21">COUNTIFS($C21:$AG21,"9",$C$4:$AG$4,"1")+SUM(COUNTIFS($C21:$AG21,{"8","9"},$C$4:$AG$4,"2"))+COUNTIFS($C21:$AG21,"8",$C$4:$AG$4,"3")</f>
        <v>0</v>
      </c>
      <c r="AZ21" s="283">
        <f t="shared" si="3"/>
        <v>0</v>
      </c>
      <c r="BA21" s="283">
        <f t="shared" si="4"/>
        <v>0</v>
      </c>
      <c r="BB21" s="283">
        <f>AV21*'Spreadsheet Key'!$A$27+AW21*'Spreadsheet Key'!$A$28+AX21*'Spreadsheet Key'!$A$29+AY21*'Spreadsheet Key'!$A$30+AZ21*'Spreadsheet Key'!$A$31</f>
        <v>0</v>
      </c>
      <c r="BC21" s="283"/>
      <c r="BD21" s="283"/>
      <c r="BE21" s="283"/>
      <c r="BF21" s="283"/>
      <c r="BG21" s="283"/>
      <c r="BH21" s="283"/>
    </row>
    <row r="22" spans="1:60" s="3211" customFormat="1">
      <c r="A22" s="3187" t="s">
        <v>283</v>
      </c>
      <c r="B22" s="3187" t="s">
        <v>201</v>
      </c>
      <c r="C22" s="3199">
        <v>0</v>
      </c>
      <c r="D22" s="3198">
        <v>0</v>
      </c>
      <c r="E22" s="3198">
        <v>0</v>
      </c>
      <c r="F22" s="3198">
        <v>0</v>
      </c>
      <c r="G22" s="3198">
        <v>8</v>
      </c>
      <c r="H22" s="3198">
        <v>0</v>
      </c>
      <c r="I22" s="3198">
        <v>0</v>
      </c>
      <c r="J22" s="3198">
        <v>0</v>
      </c>
      <c r="K22" s="3198">
        <v>0</v>
      </c>
      <c r="L22" s="3198">
        <v>0</v>
      </c>
      <c r="M22" s="3198">
        <v>0</v>
      </c>
      <c r="N22" s="3198">
        <v>8</v>
      </c>
      <c r="O22" s="3198">
        <v>0</v>
      </c>
      <c r="P22" s="3198">
        <v>0</v>
      </c>
      <c r="Q22" s="3198">
        <v>0</v>
      </c>
      <c r="R22" s="3198">
        <v>0</v>
      </c>
      <c r="S22" s="3198">
        <v>0</v>
      </c>
      <c r="T22" s="3198">
        <v>0</v>
      </c>
      <c r="U22" s="3198">
        <v>0</v>
      </c>
      <c r="V22" s="3198">
        <v>0</v>
      </c>
      <c r="W22" s="3198">
        <v>0</v>
      </c>
      <c r="X22" s="3198">
        <v>0</v>
      </c>
      <c r="Y22" s="3198">
        <v>0</v>
      </c>
      <c r="Z22" s="3198">
        <v>0</v>
      </c>
      <c r="AA22" s="3198">
        <v>0</v>
      </c>
      <c r="AB22" s="3198">
        <v>0</v>
      </c>
      <c r="AC22" s="3198">
        <v>0</v>
      </c>
      <c r="AD22" s="3198">
        <v>0</v>
      </c>
      <c r="AE22" s="3198">
        <v>0</v>
      </c>
      <c r="AF22" s="3198">
        <v>0</v>
      </c>
      <c r="AG22" s="3198">
        <v>0</v>
      </c>
      <c r="AH22" s="3209"/>
      <c r="AI22" s="3226">
        <v>1</v>
      </c>
      <c r="AJ22" s="283" cm="1">
        <f t="array" ref="AJ22">SUM(COUNTIFS($C22:$AG22,{"0","4","5","6","7","8","9"}))</f>
        <v>31</v>
      </c>
      <c r="AK22" s="283" cm="1">
        <f t="array" ref="AK22">SUM(COUNTIFS($C22:$AG22,{"0","4","5","6","7","8","9"},$C$4:$AG$4,"0"))</f>
        <v>15</v>
      </c>
      <c r="AL22" s="283" cm="1">
        <f t="array" ref="AL22">SUM(COUNTIFS($C22:$AG22,{"0","4","5","6","7","8","9"},$C$4:$AG$4,"1"))</f>
        <v>5</v>
      </c>
      <c r="AM22" s="283" cm="1">
        <f t="array" ref="AM22">SUM(COUNTIFS($C22:$AG22,{"0","4","5","6","7","8","9"},$C$4:$AG$4,"2"))</f>
        <v>7</v>
      </c>
      <c r="AN22" s="283" cm="1">
        <f t="array" ref="AN22">SUM(COUNTIFS($C22:$AG22,{"0","4","5","6","7","8","9"},$C$4:$AG$4,"3"))</f>
        <v>4</v>
      </c>
      <c r="AO22" s="283" cm="1">
        <f t="array" ref="AO22">SUM(COUNTIFS($C22:$AG22,{"1","2","3"}))</f>
        <v>0</v>
      </c>
      <c r="AP22" s="283" cm="1">
        <f t="array" ref="AP22">SUM(COUNTIFS($C22:$AG22,{"4","5","6"}))</f>
        <v>0</v>
      </c>
      <c r="AQ22" s="283">
        <f>AK22*'Spreadsheet Key'!$A$23 + AL22*'Spreadsheet Key'!$A$24 + AM22*'Spreadsheet Key'!$A$25 + AN22*'Spreadsheet Key'!$A$26</f>
        <v>1328</v>
      </c>
      <c r="AR22" s="283">
        <f>AJ22/('MAY Statistics'!$B$30)*ABS(AI22-1)</f>
        <v>0</v>
      </c>
      <c r="AS22" s="283">
        <f t="shared" ref="AS22" si="16">AI22*AT22</f>
        <v>28</v>
      </c>
      <c r="AT22" s="3228">
        <f>(AJ22/'MAY Statistics'!$B$6)*'Spreadsheet Key'!$A$32</f>
        <v>28</v>
      </c>
      <c r="AU22" s="283"/>
      <c r="AV22" s="283">
        <f t="shared" si="0"/>
        <v>2</v>
      </c>
      <c r="AW22" s="283">
        <f t="shared" si="1"/>
        <v>0</v>
      </c>
      <c r="AX22" s="283">
        <f t="shared" si="2"/>
        <v>0</v>
      </c>
      <c r="AY22" s="283" cm="1">
        <f t="array" ref="AY22">COUNTIFS($C22:$AG22,"9",$C$4:$AG$4,"1")+SUM(COUNTIFS($C22:$AG22,{"8","9"},$C$4:$AG$4,"2"))+COUNTIFS($C22:$AG22,"8",$C$4:$AG$4,"3")</f>
        <v>0</v>
      </c>
      <c r="AZ22" s="283">
        <f t="shared" si="3"/>
        <v>0</v>
      </c>
      <c r="BA22" s="283">
        <f t="shared" si="4"/>
        <v>2</v>
      </c>
      <c r="BB22" s="283">
        <f>AV22*'Spreadsheet Key'!$A$27+AW22*'Spreadsheet Key'!$A$28+AX22*'Spreadsheet Key'!$A$29+AY22*'Spreadsheet Key'!$A$30+AZ22*'Spreadsheet Key'!$A$31</f>
        <v>20</v>
      </c>
      <c r="BC22" s="283"/>
      <c r="BD22" s="283">
        <f t="shared" ref="BD22" si="17">AT22-BB22</f>
        <v>8</v>
      </c>
      <c r="BE22" s="3210"/>
      <c r="BF22" s="3210"/>
      <c r="BG22" s="3210"/>
      <c r="BH22" s="3210"/>
    </row>
    <row r="23" spans="1:60">
      <c r="A23" s="3212"/>
      <c r="B23" s="3212"/>
      <c r="C23" s="4333" t="s">
        <v>737</v>
      </c>
      <c r="D23" s="4334"/>
      <c r="E23" s="778"/>
      <c r="F23" s="778"/>
      <c r="G23" s="778"/>
      <c r="H23" s="778"/>
      <c r="I23" s="778"/>
      <c r="J23" s="778"/>
      <c r="K23" s="2437" t="s">
        <v>720</v>
      </c>
      <c r="L23" s="778" t="s">
        <v>1283</v>
      </c>
      <c r="M23" s="778"/>
      <c r="N23" s="778"/>
      <c r="O23" s="778"/>
      <c r="P23" s="2437" t="s">
        <v>720</v>
      </c>
      <c r="Q23" s="778"/>
      <c r="R23" s="778"/>
      <c r="S23" s="3259"/>
      <c r="T23" s="3260"/>
      <c r="U23" s="2677"/>
      <c r="V23" s="2677"/>
      <c r="W23" s="2677"/>
      <c r="X23" s="2551"/>
      <c r="Y23" s="6305" t="s">
        <v>1284</v>
      </c>
      <c r="Z23" s="6306"/>
      <c r="AA23" s="6306"/>
      <c r="AB23" s="6307"/>
      <c r="AC23" s="3259"/>
      <c r="AD23" s="3259"/>
      <c r="AE23" s="3259"/>
      <c r="AF23" s="3259"/>
      <c r="AG23" s="3261"/>
      <c r="AH23" s="3126"/>
      <c r="AI23" s="3226"/>
      <c r="AJ23" s="283"/>
      <c r="AK23" s="283"/>
      <c r="AL23" s="283"/>
      <c r="AM23" s="283"/>
      <c r="AN23" s="283"/>
      <c r="AO23" s="283"/>
      <c r="AP23" s="283"/>
      <c r="AQ23" s="283"/>
      <c r="AR23" s="283"/>
      <c r="AS23" s="283"/>
      <c r="AT23" s="3228"/>
      <c r="AU23" s="283"/>
      <c r="AV23" s="283">
        <f t="shared" si="0"/>
        <v>0</v>
      </c>
      <c r="AW23" s="283">
        <f t="shared" si="1"/>
        <v>0</v>
      </c>
      <c r="AX23" s="283">
        <f t="shared" si="2"/>
        <v>0</v>
      </c>
      <c r="AY23" s="283" cm="1">
        <f t="array" ref="AY23">COUNTIFS($C23:$AG23,"9",$C$4:$AG$4,"1")+SUM(COUNTIFS($C23:$AG23,{"8","9"},$C$4:$AG$4,"2"))+COUNTIFS($C23:$AG23,"8",$C$4:$AG$4,"3")</f>
        <v>0</v>
      </c>
      <c r="AZ23" s="283">
        <f t="shared" si="3"/>
        <v>0</v>
      </c>
      <c r="BA23" s="283">
        <f t="shared" si="4"/>
        <v>0</v>
      </c>
      <c r="BB23" s="283">
        <f>AV23*'Spreadsheet Key'!$A$27+AW23*'Spreadsheet Key'!$A$28+AX23*'Spreadsheet Key'!$A$29+AY23*'Spreadsheet Key'!$A$30+AZ23*'Spreadsheet Key'!$A$31</f>
        <v>0</v>
      </c>
      <c r="BC23" s="283"/>
      <c r="BD23" s="283"/>
      <c r="BE23" s="283"/>
      <c r="BF23" s="283"/>
      <c r="BG23" s="283"/>
      <c r="BH23" s="283"/>
    </row>
    <row r="24" spans="1:60" s="3211" customFormat="1">
      <c r="A24" s="3187" t="s">
        <v>283</v>
      </c>
      <c r="B24" s="3187" t="s">
        <v>610</v>
      </c>
      <c r="C24" s="3199">
        <v>7</v>
      </c>
      <c r="D24" s="3198">
        <v>7</v>
      </c>
      <c r="E24" s="3198">
        <v>0</v>
      </c>
      <c r="F24" s="3198">
        <v>0</v>
      </c>
      <c r="G24" s="3198">
        <v>0</v>
      </c>
      <c r="H24" s="3198">
        <v>0</v>
      </c>
      <c r="I24" s="3198">
        <v>0</v>
      </c>
      <c r="J24" s="3198">
        <v>0</v>
      </c>
      <c r="K24" s="3198">
        <v>8</v>
      </c>
      <c r="L24" s="3198">
        <v>0</v>
      </c>
      <c r="M24" s="3198">
        <v>0</v>
      </c>
      <c r="N24" s="3198">
        <v>0</v>
      </c>
      <c r="O24" s="3198">
        <v>0</v>
      </c>
      <c r="P24" s="3198">
        <v>8</v>
      </c>
      <c r="Q24" s="3198">
        <v>0</v>
      </c>
      <c r="R24" s="3198">
        <v>0</v>
      </c>
      <c r="S24" s="3198">
        <v>2</v>
      </c>
      <c r="T24" s="3198">
        <v>2</v>
      </c>
      <c r="U24" s="3198">
        <v>2</v>
      </c>
      <c r="V24" s="3198">
        <v>2</v>
      </c>
      <c r="W24" s="3198">
        <v>2</v>
      </c>
      <c r="X24" s="3198">
        <v>2</v>
      </c>
      <c r="Y24" s="3198">
        <v>2</v>
      </c>
      <c r="Z24" s="3198">
        <v>2</v>
      </c>
      <c r="AA24" s="3198">
        <v>2</v>
      </c>
      <c r="AB24" s="3198">
        <v>2</v>
      </c>
      <c r="AC24" s="3198">
        <v>2</v>
      </c>
      <c r="AD24" s="3198">
        <v>2</v>
      </c>
      <c r="AE24" s="3198">
        <v>2</v>
      </c>
      <c r="AF24" s="3198">
        <v>2</v>
      </c>
      <c r="AG24" s="3198">
        <v>2</v>
      </c>
      <c r="AH24" s="3209"/>
      <c r="AI24" s="3226">
        <v>1</v>
      </c>
      <c r="AJ24" s="283" cm="1">
        <f t="array" ref="AJ24">SUM(COUNTIFS($C24:$AG24,{"0","4","5","6","7","8","9"}))</f>
        <v>16</v>
      </c>
      <c r="AK24" s="283" cm="1">
        <f t="array" ref="AK24">SUM(COUNTIFS($C24:$AG24,{"0","4","5","6","7","8","9"},$C$4:$AG$4,"0"))</f>
        <v>9</v>
      </c>
      <c r="AL24" s="283" cm="1">
        <f t="array" ref="AL24">SUM(COUNTIFS($C24:$AG24,{"0","4","5","6","7","8","9"},$C$4:$AG$4,"1"))</f>
        <v>3</v>
      </c>
      <c r="AM24" s="283" cm="1">
        <f t="array" ref="AM24">SUM(COUNTIFS($C24:$AG24,{"0","4","5","6","7","8","9"},$C$4:$AG$4,"2"))</f>
        <v>2</v>
      </c>
      <c r="AN24" s="283" cm="1">
        <f t="array" ref="AN24">SUM(COUNTIFS($C24:$AG24,{"0","4","5","6","7","8","9"},$C$4:$AG$4,"3"))</f>
        <v>2</v>
      </c>
      <c r="AO24" s="283" cm="1">
        <f t="array" ref="AO24">SUM(COUNTIFS($C24:$AG24,{"1","2","3"}))</f>
        <v>15</v>
      </c>
      <c r="AP24" s="283" cm="1">
        <f t="array" ref="AP24">SUM(COUNTIFS($C24:$AG24,{"4","5","6"}))</f>
        <v>0</v>
      </c>
      <c r="AQ24" s="283">
        <f>AK24*'Spreadsheet Key'!$A$23 + AL24*'Spreadsheet Key'!$A$24 + AM24*'Spreadsheet Key'!$A$25 + AN24*'Spreadsheet Key'!$A$26</f>
        <v>616</v>
      </c>
      <c r="AR24" s="283">
        <f>AJ24/('MAY Statistics'!$B$30)*ABS(AI24-1)</f>
        <v>0</v>
      </c>
      <c r="AS24" s="283">
        <f>AI24*AT24</f>
        <v>14.451612903225806</v>
      </c>
      <c r="AT24" s="3228">
        <f>(AJ24/'MAY Statistics'!$B$6)*'Spreadsheet Key'!$A$32</f>
        <v>14.451612903225806</v>
      </c>
      <c r="AU24" s="283"/>
      <c r="AV24" s="283">
        <f t="shared" si="0"/>
        <v>1</v>
      </c>
      <c r="AW24" s="283">
        <f t="shared" si="1"/>
        <v>0</v>
      </c>
      <c r="AX24" s="283">
        <f t="shared" si="2"/>
        <v>1</v>
      </c>
      <c r="AY24" s="283" cm="1">
        <f t="array" ref="AY24">COUNTIFS($C24:$AG24,"9",$C$4:$AG$4,"1")+SUM(COUNTIFS($C24:$AG24,{"8","9"},$C$4:$AG$4,"2"))+COUNTIFS($C24:$AG24,"8",$C$4:$AG$4,"3")</f>
        <v>0</v>
      </c>
      <c r="AZ24" s="283">
        <f t="shared" si="3"/>
        <v>0</v>
      </c>
      <c r="BA24" s="283">
        <f t="shared" si="4"/>
        <v>2</v>
      </c>
      <c r="BB24" s="283">
        <f>AV24*'Spreadsheet Key'!$A$27+AW24*'Spreadsheet Key'!$A$28+AX24*'Spreadsheet Key'!$A$29+AY24*'Spreadsheet Key'!$A$30+AZ24*'Spreadsheet Key'!$A$31</f>
        <v>28</v>
      </c>
      <c r="BC24" s="283"/>
      <c r="BD24" s="283">
        <f t="shared" ref="BD24" si="18">AT24-BB24</f>
        <v>-13.548387096774194</v>
      </c>
      <c r="BE24" s="3210"/>
      <c r="BF24" s="3210"/>
      <c r="BG24" s="3210"/>
      <c r="BH24" s="3210"/>
    </row>
    <row r="25" spans="1:60">
      <c r="A25" s="3212"/>
      <c r="B25" s="3212"/>
      <c r="C25" s="779"/>
      <c r="D25" s="779"/>
      <c r="E25" s="2434"/>
      <c r="F25" s="779"/>
      <c r="G25" s="779"/>
      <c r="H25" s="2434"/>
      <c r="I25" s="2434"/>
      <c r="J25" s="2434" t="s">
        <v>720</v>
      </c>
      <c r="K25" s="779"/>
      <c r="L25" s="779"/>
      <c r="M25" s="779"/>
      <c r="N25" s="779"/>
      <c r="O25" s="2437"/>
      <c r="P25" s="2437"/>
      <c r="Q25" s="779"/>
      <c r="R25" s="779"/>
      <c r="S25" s="779"/>
      <c r="T25" s="2434" t="s">
        <v>720</v>
      </c>
      <c r="U25" s="2437"/>
      <c r="V25" s="779"/>
      <c r="W25" s="675"/>
      <c r="X25" s="779"/>
      <c r="Y25" s="779"/>
      <c r="Z25" s="779"/>
      <c r="AA25" s="779"/>
      <c r="AB25" s="779"/>
      <c r="AC25" s="779"/>
      <c r="AD25" s="779"/>
      <c r="AE25" s="779"/>
      <c r="AF25" s="779"/>
      <c r="AG25" s="804"/>
      <c r="AH25" s="3126"/>
      <c r="AI25" s="3226"/>
      <c r="AJ25" s="283"/>
      <c r="AK25" s="283"/>
      <c r="AL25" s="283"/>
      <c r="AM25" s="283"/>
      <c r="AN25" s="283"/>
      <c r="AO25" s="283"/>
      <c r="AP25" s="283"/>
      <c r="AQ25" s="283"/>
      <c r="AR25" s="283"/>
      <c r="AS25" s="283"/>
      <c r="AT25" s="3228"/>
      <c r="AU25" s="283"/>
      <c r="AV25" s="283">
        <f t="shared" si="0"/>
        <v>0</v>
      </c>
      <c r="AW25" s="283">
        <f t="shared" si="1"/>
        <v>0</v>
      </c>
      <c r="AX25" s="283">
        <f t="shared" si="2"/>
        <v>0</v>
      </c>
      <c r="AY25" s="283" cm="1">
        <f t="array" ref="AY25">COUNTIFS($C25:$AG25,"9",$C$4:$AG$4,"1")+SUM(COUNTIFS($C25:$AG25,{"8","9"},$C$4:$AG$4,"2"))+COUNTIFS($C25:$AG25,"8",$C$4:$AG$4,"3")</f>
        <v>0</v>
      </c>
      <c r="AZ25" s="283">
        <f t="shared" si="3"/>
        <v>0</v>
      </c>
      <c r="BA25" s="283">
        <f t="shared" si="4"/>
        <v>0</v>
      </c>
      <c r="BB25" s="283">
        <f>AV25*'Spreadsheet Key'!$A$27+AW25*'Spreadsheet Key'!$A$28+AX25*'Spreadsheet Key'!$A$29+AY25*'Spreadsheet Key'!$A$30+AZ25*'Spreadsheet Key'!$A$31</f>
        <v>0</v>
      </c>
      <c r="BC25" s="283"/>
      <c r="BD25" s="283"/>
      <c r="BE25" s="283"/>
      <c r="BF25" s="283"/>
      <c r="BG25" s="283"/>
      <c r="BH25" s="283"/>
    </row>
    <row r="26" spans="1:60" s="3211" customFormat="1">
      <c r="A26" s="3187" t="s">
        <v>122</v>
      </c>
      <c r="B26" s="3187" t="s">
        <v>553</v>
      </c>
      <c r="C26" s="3199">
        <v>0</v>
      </c>
      <c r="D26" s="3198">
        <v>0</v>
      </c>
      <c r="E26" s="3198">
        <v>0</v>
      </c>
      <c r="F26" s="3198">
        <v>0</v>
      </c>
      <c r="G26" s="3198">
        <v>0</v>
      </c>
      <c r="H26" s="3198">
        <v>0</v>
      </c>
      <c r="I26" s="3198">
        <v>0</v>
      </c>
      <c r="J26" s="3198">
        <v>8</v>
      </c>
      <c r="K26" s="3198">
        <v>0</v>
      </c>
      <c r="L26" s="3198">
        <v>0</v>
      </c>
      <c r="M26" s="3198">
        <v>0</v>
      </c>
      <c r="N26" s="3198">
        <v>0</v>
      </c>
      <c r="O26" s="3198">
        <v>0</v>
      </c>
      <c r="P26" s="3198">
        <v>0</v>
      </c>
      <c r="Q26" s="3198">
        <v>0</v>
      </c>
      <c r="R26" s="3198">
        <v>0</v>
      </c>
      <c r="S26" s="3198">
        <v>0</v>
      </c>
      <c r="T26" s="3198">
        <v>8</v>
      </c>
      <c r="U26" s="3198">
        <v>0</v>
      </c>
      <c r="V26" s="3198">
        <v>0</v>
      </c>
      <c r="W26" s="3198">
        <v>0</v>
      </c>
      <c r="X26" s="3198">
        <v>0</v>
      </c>
      <c r="Y26" s="3198">
        <v>0</v>
      </c>
      <c r="Z26" s="3198">
        <v>0</v>
      </c>
      <c r="AA26" s="3198">
        <v>0</v>
      </c>
      <c r="AB26" s="3198">
        <v>0</v>
      </c>
      <c r="AC26" s="3198">
        <v>0</v>
      </c>
      <c r="AD26" s="3198">
        <v>0</v>
      </c>
      <c r="AE26" s="3198">
        <v>0</v>
      </c>
      <c r="AF26" s="3198">
        <v>0</v>
      </c>
      <c r="AG26" s="3198">
        <v>0</v>
      </c>
      <c r="AH26" s="3209"/>
      <c r="AI26" s="3226">
        <v>0</v>
      </c>
      <c r="AJ26" s="283" cm="1">
        <f t="array" ref="AJ26">SUM(COUNTIFS($C26:$AG26,{"0","4","5","6","7","8","9"}))</f>
        <v>31</v>
      </c>
      <c r="AK26" s="283" cm="1">
        <f t="array" ref="AK26">SUM(COUNTIFS($C26:$AG26,{"0","4","5","6","7","8","9"},$C$4:$AG$4,"0"))</f>
        <v>15</v>
      </c>
      <c r="AL26" s="283" cm="1">
        <f t="array" ref="AL26">SUM(COUNTIFS($C26:$AG26,{"0","4","5","6","7","8","9"},$C$4:$AG$4,"1"))</f>
        <v>5</v>
      </c>
      <c r="AM26" s="283" cm="1">
        <f t="array" ref="AM26">SUM(COUNTIFS($C26:$AG26,{"0","4","5","6","7","8","9"},$C$4:$AG$4,"2"))</f>
        <v>7</v>
      </c>
      <c r="AN26" s="283" cm="1">
        <f t="array" ref="AN26">SUM(COUNTIFS($C26:$AG26,{"0","4","5","6","7","8","9"},$C$4:$AG$4,"3"))</f>
        <v>4</v>
      </c>
      <c r="AO26" s="283" cm="1">
        <f t="array" ref="AO26">SUM(COUNTIFS($C26:$AG26,{"1","2","3"}))</f>
        <v>0</v>
      </c>
      <c r="AP26" s="283" cm="1">
        <f t="array" ref="AP26">SUM(COUNTIFS($C26:$AG26,{"4","5","6"}))</f>
        <v>0</v>
      </c>
      <c r="AQ26" s="283">
        <f>AK26*'Spreadsheet Key'!$A$23 + AL26*'Spreadsheet Key'!$A$24 + AM26*'Spreadsheet Key'!$A$25 + AN26*'Spreadsheet Key'!$A$26</f>
        <v>1328</v>
      </c>
      <c r="AR26" s="283">
        <f>AJ26/('MAY Statistics'!$B$30)*ABS(AI26-1)</f>
        <v>5.3819444444444448E-2</v>
      </c>
      <c r="AS26" s="283">
        <f t="shared" ref="AS26" si="19">AI26*AT26</f>
        <v>0</v>
      </c>
      <c r="AT26" s="3228">
        <f>AR26*'MAY Statistics'!$C$11</f>
        <v>66.274340277777782</v>
      </c>
      <c r="AU26" s="283"/>
      <c r="AV26" s="283">
        <f t="shared" si="0"/>
        <v>1</v>
      </c>
      <c r="AW26" s="283">
        <f t="shared" si="1"/>
        <v>0</v>
      </c>
      <c r="AX26" s="283">
        <f t="shared" si="2"/>
        <v>0</v>
      </c>
      <c r="AY26" s="283" cm="1">
        <f t="array" ref="AY26">COUNTIFS($C26:$AG26,"9",$C$4:$AG$4,"1")+SUM(COUNTIFS($C26:$AG26,{"8","9"},$C$4:$AG$4,"2"))+COUNTIFS($C26:$AG26,"8",$C$4:$AG$4,"3")</f>
        <v>1</v>
      </c>
      <c r="AZ26" s="283">
        <f t="shared" si="3"/>
        <v>0</v>
      </c>
      <c r="BA26" s="283">
        <f t="shared" si="4"/>
        <v>2</v>
      </c>
      <c r="BB26" s="283">
        <f>AV26*'Spreadsheet Key'!$A$27+AW26*'Spreadsheet Key'!$A$28+AX26*'Spreadsheet Key'!$A$29+AY26*'Spreadsheet Key'!$A$30+AZ26*'Spreadsheet Key'!$A$31</f>
        <v>46</v>
      </c>
      <c r="BC26" s="283"/>
      <c r="BD26" s="283">
        <f t="shared" ref="BD26" si="20">AT26-BB26</f>
        <v>20.274340277777782</v>
      </c>
      <c r="BE26" s="3210"/>
      <c r="BF26" s="3210"/>
      <c r="BG26" s="3210"/>
      <c r="BH26" s="3210"/>
    </row>
    <row r="27" spans="1:60">
      <c r="A27" s="3212"/>
      <c r="B27" s="3181"/>
      <c r="C27" s="779"/>
      <c r="D27" s="2434" t="s">
        <v>722</v>
      </c>
      <c r="E27" s="779"/>
      <c r="F27" s="779"/>
      <c r="G27" s="779"/>
      <c r="H27" s="779"/>
      <c r="I27" s="2434"/>
      <c r="J27" s="779"/>
      <c r="K27" s="779"/>
      <c r="L27" s="779"/>
      <c r="M27" s="2437"/>
      <c r="N27" s="779"/>
      <c r="O27" s="779"/>
      <c r="P27" s="779"/>
      <c r="Q27" s="779"/>
      <c r="R27" s="779"/>
      <c r="S27" s="2434" t="s">
        <v>720</v>
      </c>
      <c r="T27" s="779"/>
      <c r="U27" s="2434"/>
      <c r="V27" s="779"/>
      <c r="W27" s="3010" t="s">
        <v>1025</v>
      </c>
      <c r="X27" s="4724" t="s">
        <v>1285</v>
      </c>
      <c r="Y27" s="4725"/>
      <c r="Z27" s="4725"/>
      <c r="AA27" s="4725"/>
      <c r="AB27" s="4725"/>
      <c r="AC27" s="4725"/>
      <c r="AD27" s="4725"/>
      <c r="AE27" s="4725"/>
      <c r="AF27" s="4725"/>
      <c r="AG27" s="6299"/>
      <c r="AH27" s="3126"/>
      <c r="AI27" s="3226"/>
      <c r="AJ27" s="283"/>
      <c r="AK27" s="283"/>
      <c r="AL27" s="283"/>
      <c r="AM27" s="283"/>
      <c r="AN27" s="283"/>
      <c r="AO27" s="283"/>
      <c r="AP27" s="283"/>
      <c r="AQ27" s="283"/>
      <c r="AR27" s="283"/>
      <c r="AS27" s="283"/>
      <c r="AT27" s="3228"/>
      <c r="AU27" s="283"/>
      <c r="AV27" s="283">
        <f t="shared" si="0"/>
        <v>0</v>
      </c>
      <c r="AW27" s="283">
        <f t="shared" si="1"/>
        <v>0</v>
      </c>
      <c r="AX27" s="283">
        <f t="shared" si="2"/>
        <v>0</v>
      </c>
      <c r="AY27" s="283" cm="1">
        <f t="array" ref="AY27">COUNTIFS($C27:$AG27,"9",$C$4:$AG$4,"1")+SUM(COUNTIFS($C27:$AG27,{"8","9"},$C$4:$AG$4,"2"))+COUNTIFS($C27:$AG27,"8",$C$4:$AG$4,"3")</f>
        <v>0</v>
      </c>
      <c r="AZ27" s="283">
        <f t="shared" si="3"/>
        <v>0</v>
      </c>
      <c r="BA27" s="283">
        <f t="shared" si="4"/>
        <v>0</v>
      </c>
      <c r="BB27" s="283">
        <f>AV27*'Spreadsheet Key'!$A$27+AW27*'Spreadsheet Key'!$A$28+AX27*'Spreadsheet Key'!$A$29+AY27*'Spreadsheet Key'!$A$30+AZ27*'Spreadsheet Key'!$A$31</f>
        <v>0</v>
      </c>
      <c r="BC27" s="283"/>
      <c r="BD27" s="283"/>
      <c r="BE27" s="283"/>
      <c r="BF27" s="283"/>
      <c r="BG27" s="283"/>
      <c r="BH27" s="283"/>
    </row>
    <row r="28" spans="1:60" s="3211" customFormat="1">
      <c r="A28" s="3187" t="s">
        <v>293</v>
      </c>
      <c r="B28" s="3187" t="s">
        <v>733</v>
      </c>
      <c r="C28" s="3199">
        <v>0</v>
      </c>
      <c r="D28" s="3198">
        <v>9</v>
      </c>
      <c r="E28" s="3198">
        <v>0</v>
      </c>
      <c r="F28" s="3198">
        <v>0</v>
      </c>
      <c r="G28" s="3198">
        <v>0</v>
      </c>
      <c r="H28" s="3198">
        <v>0</v>
      </c>
      <c r="I28" s="3198">
        <v>0</v>
      </c>
      <c r="J28" s="3198">
        <v>0</v>
      </c>
      <c r="K28" s="3198">
        <v>0</v>
      </c>
      <c r="L28" s="3198">
        <v>0</v>
      </c>
      <c r="M28" s="3198">
        <v>0</v>
      </c>
      <c r="N28" s="3198">
        <v>0</v>
      </c>
      <c r="O28" s="3198">
        <v>0</v>
      </c>
      <c r="P28" s="3198">
        <v>0</v>
      </c>
      <c r="Q28" s="3198">
        <v>0</v>
      </c>
      <c r="R28" s="3198">
        <v>0</v>
      </c>
      <c r="S28" s="3198">
        <v>8</v>
      </c>
      <c r="T28" s="3198">
        <v>0</v>
      </c>
      <c r="U28" s="3198">
        <v>0</v>
      </c>
      <c r="V28" s="3198">
        <v>0</v>
      </c>
      <c r="W28" s="3198">
        <v>1</v>
      </c>
      <c r="X28" s="3198">
        <v>2</v>
      </c>
      <c r="Y28" s="3198">
        <v>2</v>
      </c>
      <c r="Z28" s="3198">
        <v>2</v>
      </c>
      <c r="AA28" s="3198">
        <v>2</v>
      </c>
      <c r="AB28" s="3198">
        <v>2</v>
      </c>
      <c r="AC28" s="3198">
        <v>2</v>
      </c>
      <c r="AD28" s="3198">
        <v>2</v>
      </c>
      <c r="AE28" s="3198">
        <v>2</v>
      </c>
      <c r="AF28" s="3198">
        <v>2</v>
      </c>
      <c r="AG28" s="3198">
        <v>2</v>
      </c>
      <c r="AH28" s="3209"/>
      <c r="AI28" s="3226">
        <v>0</v>
      </c>
      <c r="AJ28" s="283" cm="1">
        <f t="array" ref="AJ28">SUM(COUNTIFS($C28:$AG28,{"0","4","5","6","7","8","9"}))</f>
        <v>20</v>
      </c>
      <c r="AK28" s="283" cm="1">
        <f t="array" ref="AK28">SUM(COUNTIFS($C28:$AG28,{"0","4","5","6","7","8","9"},$C$4:$AG$4,"0"))</f>
        <v>11</v>
      </c>
      <c r="AL28" s="283" cm="1">
        <f t="array" ref="AL28">SUM(COUNTIFS($C28:$AG28,{"0","4","5","6","7","8","9"},$C$4:$AG$4,"1"))</f>
        <v>3</v>
      </c>
      <c r="AM28" s="283" cm="1">
        <f t="array" ref="AM28">SUM(COUNTIFS($C28:$AG28,{"0","4","5","6","7","8","9"},$C$4:$AG$4,"2"))</f>
        <v>3</v>
      </c>
      <c r="AN28" s="283" cm="1">
        <f t="array" ref="AN28">SUM(COUNTIFS($C28:$AG28,{"0","4","5","6","7","8","9"},$C$4:$AG$4,"3"))</f>
        <v>3</v>
      </c>
      <c r="AO28" s="283" cm="1">
        <f t="array" ref="AO28">SUM(COUNTIFS($C28:$AG28,{"1","2","3"}))</f>
        <v>11</v>
      </c>
      <c r="AP28" s="283" cm="1">
        <f t="array" ref="AP28">SUM(COUNTIFS($C28:$AG28,{"4","5","6"}))</f>
        <v>0</v>
      </c>
      <c r="AQ28" s="283">
        <f>AK28*'Spreadsheet Key'!$A$23 + AL28*'Spreadsheet Key'!$A$24 + AM28*'Spreadsheet Key'!$A$25 + AN28*'Spreadsheet Key'!$A$26</f>
        <v>788</v>
      </c>
      <c r="AR28" s="283">
        <f>AJ28/('MAY Statistics'!$B$30)*ABS(AI28-1)</f>
        <v>3.4722222222222224E-2</v>
      </c>
      <c r="AS28" s="283">
        <f t="shared" si="5"/>
        <v>0</v>
      </c>
      <c r="AT28" s="3228">
        <f>AR28*'MAY Statistics'!$C$11</f>
        <v>42.757638888888891</v>
      </c>
      <c r="AU28" s="283"/>
      <c r="AV28" s="283">
        <f t="shared" si="0"/>
        <v>0</v>
      </c>
      <c r="AW28" s="283">
        <f t="shared" si="1"/>
        <v>0</v>
      </c>
      <c r="AX28" s="283">
        <f t="shared" si="2"/>
        <v>0</v>
      </c>
      <c r="AY28" s="283" cm="1">
        <f t="array" ref="AY28">COUNTIFS($C28:$AG28,"9",$C$4:$AG$4,"1")+SUM(COUNTIFS($C28:$AG28,{"8","9"},$C$4:$AG$4,"2"))+COUNTIFS($C28:$AG28,"8",$C$4:$AG$4,"3")</f>
        <v>2</v>
      </c>
      <c r="AZ28" s="283">
        <f t="shared" si="3"/>
        <v>0</v>
      </c>
      <c r="BA28" s="283">
        <f t="shared" si="4"/>
        <v>2</v>
      </c>
      <c r="BB28" s="283">
        <f>AV28*'Spreadsheet Key'!$A$27+AW28*'Spreadsheet Key'!$A$28+AX28*'Spreadsheet Key'!$A$29+AY28*'Spreadsheet Key'!$A$30+AZ28*'Spreadsheet Key'!$A$31</f>
        <v>72</v>
      </c>
      <c r="BC28" s="283"/>
      <c r="BD28" s="283">
        <f t="shared" ref="BD28" si="21">AT28-BB28</f>
        <v>-29.242361111111109</v>
      </c>
      <c r="BE28" s="3210"/>
      <c r="BF28" s="3210"/>
      <c r="BG28" s="3210"/>
      <c r="BH28" s="3210"/>
    </row>
    <row r="29" spans="1:60">
      <c r="A29" s="3212"/>
      <c r="B29" s="3212"/>
      <c r="C29" s="779"/>
      <c r="D29" s="779"/>
      <c r="E29" s="2437"/>
      <c r="F29" s="2434" t="s">
        <v>722</v>
      </c>
      <c r="G29" s="779"/>
      <c r="H29" s="2437"/>
      <c r="I29" s="2437"/>
      <c r="J29" s="2437"/>
      <c r="K29" s="2437" t="s">
        <v>722</v>
      </c>
      <c r="L29" s="779"/>
      <c r="M29" s="2434"/>
      <c r="N29" s="779"/>
      <c r="O29" s="779"/>
      <c r="P29" s="779"/>
      <c r="Q29" s="779"/>
      <c r="R29" s="779"/>
      <c r="S29" s="2434"/>
      <c r="T29" s="779"/>
      <c r="U29" s="779"/>
      <c r="V29" s="779"/>
      <c r="W29" s="779"/>
      <c r="X29" s="779"/>
      <c r="Y29" s="779"/>
      <c r="Z29" s="779"/>
      <c r="AA29" s="779"/>
      <c r="AB29" s="779"/>
      <c r="AC29" s="779"/>
      <c r="AD29" s="779"/>
      <c r="AE29" s="779"/>
      <c r="AF29" s="779"/>
      <c r="AG29" s="804"/>
      <c r="AH29" s="3126"/>
      <c r="AI29" s="3226"/>
      <c r="AJ29" s="283"/>
      <c r="AK29" s="283"/>
      <c r="AL29" s="283"/>
      <c r="AM29" s="283"/>
      <c r="AN29" s="283"/>
      <c r="AO29" s="283"/>
      <c r="AP29" s="283"/>
      <c r="AQ29" s="283"/>
      <c r="AR29" s="283"/>
      <c r="AS29" s="283"/>
      <c r="AT29" s="3228"/>
      <c r="AU29" s="283"/>
      <c r="AV29" s="283">
        <f t="shared" si="0"/>
        <v>0</v>
      </c>
      <c r="AW29" s="283">
        <f t="shared" si="1"/>
        <v>0</v>
      </c>
      <c r="AX29" s="283">
        <f t="shared" si="2"/>
        <v>0</v>
      </c>
      <c r="AY29" s="283" cm="1">
        <f t="array" ref="AY29">COUNTIFS($C29:$AG29,"9",$C$4:$AG$4,"1")+SUM(COUNTIFS($C29:$AG29,{"8","9"},$C$4:$AG$4,"2"))+COUNTIFS($C29:$AG29,"8",$C$4:$AG$4,"3")</f>
        <v>0</v>
      </c>
      <c r="AZ29" s="283">
        <f t="shared" si="3"/>
        <v>0</v>
      </c>
      <c r="BA29" s="283">
        <f t="shared" si="4"/>
        <v>0</v>
      </c>
      <c r="BB29" s="283">
        <f>AV29*'Spreadsheet Key'!$A$27+AW29*'Spreadsheet Key'!$A$28+AX29*'Spreadsheet Key'!$A$29+AY29*'Spreadsheet Key'!$A$30+AZ29*'Spreadsheet Key'!$A$31</f>
        <v>0</v>
      </c>
      <c r="BC29" s="283"/>
      <c r="BD29" s="283"/>
      <c r="BE29" s="283"/>
      <c r="BF29" s="283"/>
      <c r="BG29" s="283"/>
      <c r="BH29" s="283"/>
    </row>
    <row r="30" spans="1:60" s="3211" customFormat="1">
      <c r="A30" s="3187" t="s">
        <v>692</v>
      </c>
      <c r="B30" s="3187" t="s">
        <v>693</v>
      </c>
      <c r="C30" s="3199">
        <v>0</v>
      </c>
      <c r="D30" s="3198">
        <v>0</v>
      </c>
      <c r="E30" s="3198">
        <v>0</v>
      </c>
      <c r="F30" s="3198">
        <v>9</v>
      </c>
      <c r="G30" s="3198">
        <v>0</v>
      </c>
      <c r="H30" s="3198">
        <v>0</v>
      </c>
      <c r="I30" s="3198">
        <v>0</v>
      </c>
      <c r="J30" s="3198">
        <v>0</v>
      </c>
      <c r="K30" s="3198">
        <v>9</v>
      </c>
      <c r="L30" s="3198">
        <v>0</v>
      </c>
      <c r="M30" s="3198">
        <v>0</v>
      </c>
      <c r="N30" s="3198">
        <v>0</v>
      </c>
      <c r="O30" s="3198">
        <v>0</v>
      </c>
      <c r="P30" s="3198">
        <v>0</v>
      </c>
      <c r="Q30" s="3198">
        <v>0</v>
      </c>
      <c r="R30" s="3198">
        <v>0</v>
      </c>
      <c r="S30" s="3198">
        <v>0</v>
      </c>
      <c r="T30" s="3198">
        <v>0</v>
      </c>
      <c r="U30" s="3198">
        <v>0</v>
      </c>
      <c r="V30" s="3198">
        <v>0</v>
      </c>
      <c r="W30" s="3198">
        <v>0</v>
      </c>
      <c r="X30" s="3198">
        <v>0</v>
      </c>
      <c r="Y30" s="3198">
        <v>0</v>
      </c>
      <c r="Z30" s="3198">
        <v>0</v>
      </c>
      <c r="AA30" s="3198">
        <v>0</v>
      </c>
      <c r="AB30" s="3198">
        <v>0</v>
      </c>
      <c r="AC30" s="3198">
        <v>0</v>
      </c>
      <c r="AD30" s="3198">
        <v>0</v>
      </c>
      <c r="AE30" s="3198">
        <v>0</v>
      </c>
      <c r="AF30" s="3198">
        <v>0</v>
      </c>
      <c r="AG30" s="3198">
        <v>0</v>
      </c>
      <c r="AH30" s="3209"/>
      <c r="AI30" s="3226">
        <v>0</v>
      </c>
      <c r="AJ30" s="283" cm="1">
        <f t="array" ref="AJ30">SUM(COUNTIFS($C30:$AG30,{"0","4","5","6","7","8","9"}))</f>
        <v>31</v>
      </c>
      <c r="AK30" s="283" cm="1">
        <f t="array" ref="AK30">SUM(COUNTIFS($C30:$AG30,{"0","4","5","6","7","8","9"},$C$4:$AG$4,"0"))</f>
        <v>15</v>
      </c>
      <c r="AL30" s="283" cm="1">
        <f t="array" ref="AL30">SUM(COUNTIFS($C30:$AG30,{"0","4","5","6","7","8","9"},$C$4:$AG$4,"1"))</f>
        <v>5</v>
      </c>
      <c r="AM30" s="283" cm="1">
        <f t="array" ref="AM30">SUM(COUNTIFS($C30:$AG30,{"0","4","5","6","7","8","9"},$C$4:$AG$4,"2"))</f>
        <v>7</v>
      </c>
      <c r="AN30" s="283" cm="1">
        <f t="array" ref="AN30">SUM(COUNTIFS($C30:$AG30,{"0","4","5","6","7","8","9"},$C$4:$AG$4,"3"))</f>
        <v>4</v>
      </c>
      <c r="AO30" s="283" cm="1">
        <f t="array" ref="AO30">SUM(COUNTIFS($C30:$AG30,{"1","2","3"}))</f>
        <v>0</v>
      </c>
      <c r="AP30" s="283" cm="1">
        <f t="array" ref="AP30">SUM(COUNTIFS($C30:$AG30,{"4","5","6"}))</f>
        <v>0</v>
      </c>
      <c r="AQ30" s="283">
        <f>AK30*'Spreadsheet Key'!$A$23 + AL30*'Spreadsheet Key'!$A$24 + AM30*'Spreadsheet Key'!$A$25 + AN30*'Spreadsheet Key'!$A$26</f>
        <v>1328</v>
      </c>
      <c r="AR30" s="283">
        <f>AJ30/('MAY Statistics'!$B$30)*ABS(AI30-1)</f>
        <v>5.3819444444444448E-2</v>
      </c>
      <c r="AS30" s="283">
        <f t="shared" ref="AS30" si="22">AI30*AT30</f>
        <v>0</v>
      </c>
      <c r="AT30" s="3228">
        <f>AR30*'MAY Statistics'!$C$11</f>
        <v>66.274340277777782</v>
      </c>
      <c r="AU30" s="283"/>
      <c r="AV30" s="283">
        <f t="shared" si="0"/>
        <v>0</v>
      </c>
      <c r="AW30" s="283">
        <f t="shared" si="1"/>
        <v>0</v>
      </c>
      <c r="AX30" s="283">
        <f t="shared" si="2"/>
        <v>0</v>
      </c>
      <c r="AY30" s="283" cm="1">
        <f t="array" ref="AY30">COUNTIFS($C30:$AG30,"9",$C$4:$AG$4,"1")+SUM(COUNTIFS($C30:$AG30,{"8","9"},$C$4:$AG$4,"2"))+COUNTIFS($C30:$AG30,"8",$C$4:$AG$4,"3")</f>
        <v>1</v>
      </c>
      <c r="AZ30" s="283">
        <f t="shared" si="3"/>
        <v>1</v>
      </c>
      <c r="BA30" s="283">
        <f t="shared" si="4"/>
        <v>2</v>
      </c>
      <c r="BB30" s="283">
        <f>AV30*'Spreadsheet Key'!$A$27+AW30*'Spreadsheet Key'!$A$28+AX30*'Spreadsheet Key'!$A$29+AY30*'Spreadsheet Key'!$A$30+AZ30*'Spreadsheet Key'!$A$31</f>
        <v>56</v>
      </c>
      <c r="BC30" s="283"/>
      <c r="BD30" s="283">
        <f t="shared" ref="BD30" si="23">AT30-BB30</f>
        <v>10.274340277777782</v>
      </c>
      <c r="BE30" s="3210"/>
      <c r="BF30" s="3210"/>
      <c r="BG30" s="3210"/>
      <c r="BH30" s="3210"/>
    </row>
    <row r="31" spans="1:60">
      <c r="A31" s="3212"/>
      <c r="B31" s="3212"/>
      <c r="C31" s="779"/>
      <c r="D31" s="779"/>
      <c r="E31" s="779"/>
      <c r="F31" s="2434"/>
      <c r="G31" s="2435" t="s">
        <v>722</v>
      </c>
      <c r="H31" s="779"/>
      <c r="I31" s="779"/>
      <c r="J31" s="779"/>
      <c r="K31" s="779"/>
      <c r="L31" s="2437" t="s">
        <v>720</v>
      </c>
      <c r="M31" s="2434"/>
      <c r="N31" s="2434"/>
      <c r="O31" s="2434"/>
      <c r="P31" s="2434"/>
      <c r="Q31" s="779"/>
      <c r="S31" s="779"/>
      <c r="T31" s="2434"/>
      <c r="U31" s="779"/>
      <c r="V31" s="779"/>
      <c r="W31" s="3010" t="s">
        <v>1025</v>
      </c>
      <c r="X31" s="4724" t="s">
        <v>1285</v>
      </c>
      <c r="Y31" s="4725"/>
      <c r="Z31" s="4725"/>
      <c r="AA31" s="4725"/>
      <c r="AB31" s="4725"/>
      <c r="AC31" s="4725"/>
      <c r="AD31" s="4725"/>
      <c r="AE31" s="4725"/>
      <c r="AF31" s="4725"/>
      <c r="AG31" s="6299"/>
      <c r="AH31" s="3126"/>
      <c r="AI31" s="3226"/>
      <c r="AJ31" s="283"/>
      <c r="AK31" s="283"/>
      <c r="AL31" s="283"/>
      <c r="AM31" s="283"/>
      <c r="AN31" s="283"/>
      <c r="AO31" s="283"/>
      <c r="AP31" s="283"/>
      <c r="AQ31" s="283"/>
      <c r="AR31" s="283"/>
      <c r="AS31" s="283"/>
      <c r="AT31" s="3228"/>
      <c r="AU31" s="283"/>
      <c r="AV31" s="283">
        <f t="shared" si="0"/>
        <v>0</v>
      </c>
      <c r="AW31" s="283">
        <f t="shared" si="1"/>
        <v>0</v>
      </c>
      <c r="AX31" s="283">
        <f t="shared" si="2"/>
        <v>0</v>
      </c>
      <c r="AY31" s="283" cm="1">
        <f t="array" ref="AY31">COUNTIFS($C31:$AG31,"9",$C$4:$AG$4,"1")+SUM(COUNTIFS($C31:$AG31,{"8","9"},$C$4:$AG$4,"2"))+COUNTIFS($C31:$AG31,"8",$C$4:$AG$4,"3")</f>
        <v>0</v>
      </c>
      <c r="AZ31" s="283">
        <f t="shared" si="3"/>
        <v>0</v>
      </c>
      <c r="BA31" s="283">
        <f t="shared" si="4"/>
        <v>0</v>
      </c>
      <c r="BB31" s="283">
        <f>AV31*'Spreadsheet Key'!$A$27+AW31*'Spreadsheet Key'!$A$28+AX31*'Spreadsheet Key'!$A$29+AY31*'Spreadsheet Key'!$A$30+AZ31*'Spreadsheet Key'!$A$31</f>
        <v>0</v>
      </c>
      <c r="BC31" s="283"/>
      <c r="BD31" s="283"/>
      <c r="BE31" s="283"/>
      <c r="BF31" s="283"/>
      <c r="BG31" s="283"/>
      <c r="BH31" s="283"/>
    </row>
    <row r="32" spans="1:60" s="3211" customFormat="1">
      <c r="A32" s="3187" t="s">
        <v>127</v>
      </c>
      <c r="B32" s="3187" t="s">
        <v>657</v>
      </c>
      <c r="C32" s="3199">
        <v>0</v>
      </c>
      <c r="D32" s="3198">
        <v>0</v>
      </c>
      <c r="E32" s="3198">
        <v>0</v>
      </c>
      <c r="F32" s="3198">
        <v>0</v>
      </c>
      <c r="G32" s="3198">
        <v>9</v>
      </c>
      <c r="H32" s="3198">
        <v>0</v>
      </c>
      <c r="I32" s="3198">
        <v>0</v>
      </c>
      <c r="J32" s="3198">
        <v>0</v>
      </c>
      <c r="K32" s="3198">
        <v>0</v>
      </c>
      <c r="L32" s="3198">
        <v>8</v>
      </c>
      <c r="M32" s="3198">
        <v>0</v>
      </c>
      <c r="N32" s="3198">
        <v>0</v>
      </c>
      <c r="O32" s="3198">
        <v>0</v>
      </c>
      <c r="P32" s="3198">
        <v>0</v>
      </c>
      <c r="Q32" s="3198">
        <v>0</v>
      </c>
      <c r="R32" s="3198">
        <v>0</v>
      </c>
      <c r="S32" s="3198">
        <v>0</v>
      </c>
      <c r="T32" s="3198">
        <v>0</v>
      </c>
      <c r="U32" s="3198">
        <v>0</v>
      </c>
      <c r="V32" s="3198">
        <v>0</v>
      </c>
      <c r="W32" s="3198">
        <v>1</v>
      </c>
      <c r="X32" s="3198">
        <v>2</v>
      </c>
      <c r="Y32" s="3198">
        <v>2</v>
      </c>
      <c r="Z32" s="3198">
        <v>2</v>
      </c>
      <c r="AA32" s="3198">
        <v>2</v>
      </c>
      <c r="AB32" s="3198">
        <v>2</v>
      </c>
      <c r="AC32" s="3198">
        <v>2</v>
      </c>
      <c r="AD32" s="3198">
        <v>2</v>
      </c>
      <c r="AE32" s="3198">
        <v>2</v>
      </c>
      <c r="AF32" s="3198">
        <v>2</v>
      </c>
      <c r="AG32" s="3198">
        <v>2</v>
      </c>
      <c r="AH32" s="3209"/>
      <c r="AI32" s="3226">
        <v>0</v>
      </c>
      <c r="AJ32" s="283" cm="1">
        <f t="array" ref="AJ32">SUM(COUNTIFS($C32:$AG32,{"0","4","5","6","7","8","9"}))</f>
        <v>20</v>
      </c>
      <c r="AK32" s="283" cm="1">
        <f t="array" ref="AK32">SUM(COUNTIFS($C32:$AG32,{"0","4","5","6","7","8","9"},$C$4:$AG$4,"0"))</f>
        <v>11</v>
      </c>
      <c r="AL32" s="283" cm="1">
        <f t="array" ref="AL32">SUM(COUNTIFS($C32:$AG32,{"0","4","5","6","7","8","9"},$C$4:$AG$4,"1"))</f>
        <v>3</v>
      </c>
      <c r="AM32" s="283" cm="1">
        <f t="array" ref="AM32">SUM(COUNTIFS($C32:$AG32,{"0","4","5","6","7","8","9"},$C$4:$AG$4,"2"))</f>
        <v>3</v>
      </c>
      <c r="AN32" s="283" cm="1">
        <f t="array" ref="AN32">SUM(COUNTIFS($C32:$AG32,{"0","4","5","6","7","8","9"},$C$4:$AG$4,"3"))</f>
        <v>3</v>
      </c>
      <c r="AO32" s="283" cm="1">
        <f t="array" ref="AO32">SUM(COUNTIFS($C32:$AG32,{"1","2","3"}))</f>
        <v>11</v>
      </c>
      <c r="AP32" s="283" cm="1">
        <f t="array" ref="AP32">SUM(COUNTIFS($C32:$AG32,{"4","5","6"}))</f>
        <v>0</v>
      </c>
      <c r="AQ32" s="283">
        <f>AK32*'Spreadsheet Key'!$A$23 + AL32*'Spreadsheet Key'!$A$24 + AM32*'Spreadsheet Key'!$A$25 + AN32*'Spreadsheet Key'!$A$26</f>
        <v>788</v>
      </c>
      <c r="AR32" s="283">
        <f>AJ32/('MAY Statistics'!$B$30)*ABS(AI32-1)</f>
        <v>3.4722222222222224E-2</v>
      </c>
      <c r="AS32" s="283">
        <f t="shared" si="5"/>
        <v>0</v>
      </c>
      <c r="AT32" s="3228">
        <f>AR32*'MAY Statistics'!$C$11</f>
        <v>42.757638888888891</v>
      </c>
      <c r="AU32" s="283"/>
      <c r="AV32" s="283">
        <f t="shared" si="0"/>
        <v>0</v>
      </c>
      <c r="AW32" s="283">
        <f t="shared" si="1"/>
        <v>1</v>
      </c>
      <c r="AX32" s="283">
        <f t="shared" si="2"/>
        <v>0</v>
      </c>
      <c r="AY32" s="283" cm="1">
        <f t="array" ref="AY32">COUNTIFS($C32:$AG32,"9",$C$4:$AG$4,"1")+SUM(COUNTIFS($C32:$AG32,{"8","9"},$C$4:$AG$4,"2"))+COUNTIFS($C32:$AG32,"8",$C$4:$AG$4,"3")</f>
        <v>1</v>
      </c>
      <c r="AZ32" s="283">
        <f t="shared" si="3"/>
        <v>0</v>
      </c>
      <c r="BA32" s="283">
        <f t="shared" si="4"/>
        <v>2</v>
      </c>
      <c r="BB32" s="283">
        <f>AV32*'Spreadsheet Key'!$A$27+AW32*'Spreadsheet Key'!$A$28+AX32*'Spreadsheet Key'!$A$29+AY32*'Spreadsheet Key'!$A$30+AZ32*'Spreadsheet Key'!$A$31</f>
        <v>48</v>
      </c>
      <c r="BC32" s="283"/>
      <c r="BD32" s="283">
        <f t="shared" ref="BD32" si="24">AT32-BB32</f>
        <v>-5.2423611111111086</v>
      </c>
      <c r="BE32" s="3210"/>
      <c r="BF32" s="3210"/>
      <c r="BG32" s="3210"/>
      <c r="BH32" s="3210"/>
    </row>
    <row r="33" spans="1:60">
      <c r="A33" s="3212"/>
      <c r="B33" s="3212"/>
      <c r="C33" s="1387" t="s">
        <v>1286</v>
      </c>
      <c r="D33" s="779"/>
      <c r="E33" s="779"/>
      <c r="F33" s="779"/>
      <c r="G33" s="779"/>
      <c r="H33" s="2437" t="s">
        <v>720</v>
      </c>
      <c r="I33" s="2434"/>
      <c r="J33" s="2434"/>
      <c r="K33" s="2434"/>
      <c r="L33" s="2434" t="s">
        <v>722</v>
      </c>
      <c r="M33" s="2434"/>
      <c r="N33" s="779"/>
      <c r="O33" s="779"/>
      <c r="P33" s="779"/>
      <c r="Q33" s="779"/>
      <c r="R33" s="779"/>
      <c r="S33" s="779"/>
      <c r="T33" s="779"/>
      <c r="U33" s="779"/>
      <c r="V33" s="779"/>
      <c r="X33" s="779"/>
      <c r="Y33" s="779"/>
      <c r="Z33" s="779"/>
      <c r="AA33" s="3221"/>
      <c r="AB33" s="779"/>
      <c r="AC33" s="2434"/>
      <c r="AD33" s="779"/>
      <c r="AE33" s="779"/>
      <c r="AF33" s="779"/>
      <c r="AG33" s="804"/>
      <c r="AH33" s="3126"/>
      <c r="AI33" s="3226"/>
      <c r="AJ33" s="283"/>
      <c r="AK33" s="283"/>
      <c r="AL33" s="283"/>
      <c r="AM33" s="283"/>
      <c r="AN33" s="283"/>
      <c r="AO33" s="283"/>
      <c r="AP33" s="283"/>
      <c r="AQ33" s="283"/>
      <c r="AR33" s="283"/>
      <c r="AS33" s="283"/>
      <c r="AT33" s="3228"/>
      <c r="AU33" s="283"/>
      <c r="AV33" s="283">
        <f t="shared" si="0"/>
        <v>0</v>
      </c>
      <c r="AW33" s="283">
        <f t="shared" si="1"/>
        <v>0</v>
      </c>
      <c r="AX33" s="283">
        <f t="shared" si="2"/>
        <v>0</v>
      </c>
      <c r="AY33" s="283" cm="1">
        <f t="array" ref="AY33">COUNTIFS($C33:$AG33,"9",$C$4:$AG$4,"1")+SUM(COUNTIFS($C33:$AG33,{"8","9"},$C$4:$AG$4,"2"))+COUNTIFS($C33:$AG33,"8",$C$4:$AG$4,"3")</f>
        <v>0</v>
      </c>
      <c r="AZ33" s="283">
        <f t="shared" si="3"/>
        <v>0</v>
      </c>
      <c r="BA33" s="283">
        <f t="shared" si="4"/>
        <v>0</v>
      </c>
      <c r="BB33" s="283">
        <f>AV33*'Spreadsheet Key'!$A$27+AW33*'Spreadsheet Key'!$A$28+AX33*'Spreadsheet Key'!$A$29+AY33*'Spreadsheet Key'!$A$30+AZ33*'Spreadsheet Key'!$A$31</f>
        <v>0</v>
      </c>
      <c r="BC33" s="283"/>
      <c r="BD33" s="283"/>
      <c r="BE33" s="3139"/>
      <c r="BF33" s="3139"/>
      <c r="BG33" s="3139"/>
      <c r="BH33" s="3139"/>
    </row>
    <row r="34" spans="1:60" s="3211" customFormat="1">
      <c r="A34" s="3187" t="s">
        <v>155</v>
      </c>
      <c r="B34" s="3187" t="s">
        <v>135</v>
      </c>
      <c r="C34" s="3199">
        <v>3</v>
      </c>
      <c r="D34" s="3198">
        <v>0</v>
      </c>
      <c r="E34" s="3198">
        <v>0</v>
      </c>
      <c r="F34" s="3198">
        <v>0</v>
      </c>
      <c r="G34" s="3198">
        <v>0</v>
      </c>
      <c r="H34" s="3198">
        <v>8</v>
      </c>
      <c r="I34" s="3198">
        <v>0</v>
      </c>
      <c r="J34" s="3198">
        <v>0</v>
      </c>
      <c r="K34" s="3198">
        <v>0</v>
      </c>
      <c r="L34" s="3198">
        <v>9</v>
      </c>
      <c r="M34" s="3198">
        <v>0</v>
      </c>
      <c r="N34" s="3198">
        <v>0</v>
      </c>
      <c r="O34" s="3198">
        <v>0</v>
      </c>
      <c r="P34" s="3198">
        <v>0</v>
      </c>
      <c r="Q34" s="3198">
        <v>0</v>
      </c>
      <c r="R34" s="3198">
        <v>0</v>
      </c>
      <c r="S34" s="3198">
        <v>0</v>
      </c>
      <c r="T34" s="3198">
        <v>0</v>
      </c>
      <c r="U34" s="3198">
        <v>0</v>
      </c>
      <c r="V34" s="3198">
        <v>0</v>
      </c>
      <c r="W34" s="3198">
        <v>0</v>
      </c>
      <c r="X34" s="3198">
        <v>0</v>
      </c>
      <c r="Y34" s="3198">
        <v>0</v>
      </c>
      <c r="Z34" s="3198">
        <v>0</v>
      </c>
      <c r="AA34" s="3198">
        <v>0</v>
      </c>
      <c r="AB34" s="3198">
        <v>0</v>
      </c>
      <c r="AC34" s="3198">
        <v>0</v>
      </c>
      <c r="AD34" s="3198">
        <v>0</v>
      </c>
      <c r="AE34" s="3198">
        <v>0</v>
      </c>
      <c r="AF34" s="3198">
        <v>0</v>
      </c>
      <c r="AG34" s="3198">
        <v>0</v>
      </c>
      <c r="AH34" s="3209"/>
      <c r="AI34" s="3226">
        <v>0</v>
      </c>
      <c r="AJ34" s="283" cm="1">
        <f t="array" ref="AJ34">SUM(COUNTIFS($C34:$AG34,{"0","4","5","6","7","8","9"}))</f>
        <v>30</v>
      </c>
      <c r="AK34" s="283" cm="1">
        <f t="array" ref="AK34">SUM(COUNTIFS($C34:$AG34,{"0","4","5","6","7","8","9"},$C$4:$AG$4,"0"))</f>
        <v>14</v>
      </c>
      <c r="AL34" s="283" cm="1">
        <f t="array" ref="AL34">SUM(COUNTIFS($C34:$AG34,{"0","4","5","6","7","8","9"},$C$4:$AG$4,"1"))</f>
        <v>5</v>
      </c>
      <c r="AM34" s="283" cm="1">
        <f t="array" ref="AM34">SUM(COUNTIFS($C34:$AG34,{"0","4","5","6","7","8","9"},$C$4:$AG$4,"2"))</f>
        <v>7</v>
      </c>
      <c r="AN34" s="283" cm="1">
        <f t="array" ref="AN34">SUM(COUNTIFS($C34:$AG34,{"0","4","5","6","7","8","9"},$C$4:$AG$4,"3"))</f>
        <v>4</v>
      </c>
      <c r="AO34" s="283" cm="1">
        <f t="array" ref="AO34">SUM(COUNTIFS($C34:$AG34,{"1","2","3"}))</f>
        <v>1</v>
      </c>
      <c r="AP34" s="283" cm="1">
        <f t="array" ref="AP34">SUM(COUNTIFS($C34:$AG34,{"4","5","6"}))</f>
        <v>0</v>
      </c>
      <c r="AQ34" s="283">
        <f>AK34*'Spreadsheet Key'!$A$23 + AL34*'Spreadsheet Key'!$A$24 + AM34*'Spreadsheet Key'!$A$25 + AN34*'Spreadsheet Key'!$A$26</f>
        <v>1306</v>
      </c>
      <c r="AR34" s="283">
        <f>AJ34/('MAY Statistics'!$B$30)*ABS(AI34-1)</f>
        <v>5.2083333333333336E-2</v>
      </c>
      <c r="AS34" s="283">
        <f t="shared" ref="AS34" si="25">AI34*AT34</f>
        <v>0</v>
      </c>
      <c r="AT34" s="3228">
        <f>AR34*'MAY Statistics'!$C$11</f>
        <v>64.136458333333337</v>
      </c>
      <c r="AU34" s="283"/>
      <c r="AV34" s="283">
        <f t="shared" si="0"/>
        <v>1</v>
      </c>
      <c r="AW34" s="283">
        <f t="shared" si="1"/>
        <v>0</v>
      </c>
      <c r="AX34" s="283">
        <f t="shared" si="2"/>
        <v>0</v>
      </c>
      <c r="AY34" s="283" cm="1">
        <f t="array" ref="AY34">COUNTIFS($C34:$AG34,"9",$C$4:$AG$4,"1")+SUM(COUNTIFS($C34:$AG34,{"8","9"},$C$4:$AG$4,"2"))+COUNTIFS($C34:$AG34,"8",$C$4:$AG$4,"3")</f>
        <v>1</v>
      </c>
      <c r="AZ34" s="283">
        <f t="shared" si="3"/>
        <v>0</v>
      </c>
      <c r="BA34" s="283">
        <f t="shared" si="4"/>
        <v>2</v>
      </c>
      <c r="BB34" s="283">
        <f>AV34*'Spreadsheet Key'!$A$27+AW34*'Spreadsheet Key'!$A$28+AX34*'Spreadsheet Key'!$A$29+AY34*'Spreadsheet Key'!$A$30+AZ34*'Spreadsheet Key'!$A$31</f>
        <v>46</v>
      </c>
      <c r="BC34" s="283"/>
      <c r="BD34" s="283">
        <f t="shared" ref="BD34" si="26">AT34-BB34</f>
        <v>18.136458333333337</v>
      </c>
      <c r="BE34" s="3213"/>
      <c r="BF34" s="3213"/>
      <c r="BG34" s="3213"/>
      <c r="BH34" s="3213"/>
    </row>
    <row r="35" spans="1:60">
      <c r="A35" s="3212"/>
      <c r="B35" s="3212"/>
      <c r="C35" s="780"/>
      <c r="D35" s="780"/>
      <c r="E35" s="780"/>
      <c r="F35" s="2434"/>
      <c r="G35" s="2434"/>
      <c r="H35" s="2435" t="s">
        <v>722</v>
      </c>
      <c r="I35" s="780"/>
      <c r="J35" s="780"/>
      <c r="K35" s="2434"/>
      <c r="L35" s="780"/>
      <c r="M35" s="2437" t="s">
        <v>720</v>
      </c>
      <c r="N35" s="780"/>
      <c r="O35" s="780"/>
      <c r="P35" s="780"/>
      <c r="Q35" s="780"/>
      <c r="R35" s="780"/>
      <c r="S35" s="2434"/>
      <c r="T35" s="780"/>
      <c r="U35" s="780"/>
      <c r="V35" s="780"/>
      <c r="W35" s="780"/>
      <c r="X35" s="780"/>
      <c r="Y35" s="780"/>
      <c r="Z35" s="780"/>
      <c r="AA35" s="780"/>
      <c r="AB35" s="780"/>
      <c r="AC35" s="780"/>
      <c r="AD35" s="780"/>
      <c r="AE35" s="780"/>
      <c r="AF35" s="780"/>
      <c r="AG35" s="806"/>
      <c r="AH35" s="3126"/>
      <c r="AI35" s="3226"/>
      <c r="AJ35" s="283"/>
      <c r="AK35" s="283"/>
      <c r="AL35" s="283"/>
      <c r="AM35" s="283"/>
      <c r="AN35" s="283"/>
      <c r="AO35" s="283"/>
      <c r="AP35" s="283"/>
      <c r="AQ35" s="283"/>
      <c r="AR35" s="283"/>
      <c r="AS35" s="283"/>
      <c r="AT35" s="3228"/>
      <c r="AU35" s="283"/>
      <c r="AV35" s="283">
        <f t="shared" si="0"/>
        <v>0</v>
      </c>
      <c r="AW35" s="283">
        <f t="shared" si="1"/>
        <v>0</v>
      </c>
      <c r="AX35" s="283">
        <f t="shared" si="2"/>
        <v>0</v>
      </c>
      <c r="AY35" s="283" cm="1">
        <f t="array" ref="AY35">COUNTIFS($C35:$AG35,"9",$C$4:$AG$4,"1")+SUM(COUNTIFS($C35:$AG35,{"8","9"},$C$4:$AG$4,"2"))+COUNTIFS($C35:$AG35,"8",$C$4:$AG$4,"3")</f>
        <v>0</v>
      </c>
      <c r="AZ35" s="283">
        <f t="shared" si="3"/>
        <v>0</v>
      </c>
      <c r="BA35" s="283">
        <f t="shared" si="4"/>
        <v>0</v>
      </c>
      <c r="BB35" s="283">
        <f>AV35*'Spreadsheet Key'!$A$27+AW35*'Spreadsheet Key'!$A$28+AX35*'Spreadsheet Key'!$A$29+AY35*'Spreadsheet Key'!$A$30+AZ35*'Spreadsheet Key'!$A$31</f>
        <v>0</v>
      </c>
      <c r="BC35" s="283"/>
      <c r="BD35" s="283"/>
      <c r="BE35" s="3139"/>
      <c r="BF35" s="3139"/>
      <c r="BG35" s="3139"/>
      <c r="BH35" s="3139"/>
    </row>
    <row r="36" spans="1:60" s="3211" customFormat="1">
      <c r="A36" s="3187" t="s">
        <v>1056</v>
      </c>
      <c r="B36" s="3187" t="s">
        <v>334</v>
      </c>
      <c r="C36" s="3199">
        <v>0</v>
      </c>
      <c r="D36" s="3198">
        <v>0</v>
      </c>
      <c r="E36" s="3198">
        <v>0</v>
      </c>
      <c r="F36" s="3198">
        <v>0</v>
      </c>
      <c r="G36" s="3198">
        <v>0</v>
      </c>
      <c r="H36" s="3198">
        <v>9</v>
      </c>
      <c r="I36" s="3198">
        <v>0</v>
      </c>
      <c r="J36" s="3198">
        <v>0</v>
      </c>
      <c r="K36" s="3198">
        <v>0</v>
      </c>
      <c r="L36" s="3198">
        <v>0</v>
      </c>
      <c r="M36" s="3198">
        <v>8</v>
      </c>
      <c r="N36" s="3198">
        <v>0</v>
      </c>
      <c r="O36" s="3198">
        <v>0</v>
      </c>
      <c r="P36" s="3198">
        <v>0</v>
      </c>
      <c r="Q36" s="3198">
        <v>0</v>
      </c>
      <c r="R36" s="3198">
        <v>0</v>
      </c>
      <c r="S36" s="3198">
        <v>0</v>
      </c>
      <c r="T36" s="3198">
        <v>0</v>
      </c>
      <c r="U36" s="3198">
        <v>0</v>
      </c>
      <c r="V36" s="3198">
        <v>0</v>
      </c>
      <c r="W36" s="3198">
        <v>0</v>
      </c>
      <c r="X36" s="3198">
        <v>0</v>
      </c>
      <c r="Y36" s="3198">
        <v>0</v>
      </c>
      <c r="Z36" s="3198">
        <v>0</v>
      </c>
      <c r="AA36" s="3198">
        <v>0</v>
      </c>
      <c r="AB36" s="3198">
        <v>0</v>
      </c>
      <c r="AC36" s="3198">
        <v>0</v>
      </c>
      <c r="AD36" s="3198">
        <v>0</v>
      </c>
      <c r="AE36" s="3198">
        <v>0</v>
      </c>
      <c r="AF36" s="3198">
        <v>0</v>
      </c>
      <c r="AG36" s="3198">
        <v>0</v>
      </c>
      <c r="AH36" s="3209"/>
      <c r="AI36" s="3226">
        <v>0</v>
      </c>
      <c r="AJ36" s="283" cm="1">
        <f t="array" ref="AJ36">SUM(COUNTIFS($C36:$AG36,{"0","4","5","6","7","8","9"}))</f>
        <v>31</v>
      </c>
      <c r="AK36" s="283" cm="1">
        <f t="array" ref="AK36">SUM(COUNTIFS($C36:$AG36,{"0","4","5","6","7","8","9"},$C$4:$AG$4,"0"))</f>
        <v>15</v>
      </c>
      <c r="AL36" s="283" cm="1">
        <f t="array" ref="AL36">SUM(COUNTIFS($C36:$AG36,{"0","4","5","6","7","8","9"},$C$4:$AG$4,"1"))</f>
        <v>5</v>
      </c>
      <c r="AM36" s="283" cm="1">
        <f t="array" ref="AM36">SUM(COUNTIFS($C36:$AG36,{"0","4","5","6","7","8","9"},$C$4:$AG$4,"2"))</f>
        <v>7</v>
      </c>
      <c r="AN36" s="283" cm="1">
        <f t="array" ref="AN36">SUM(COUNTIFS($C36:$AG36,{"0","4","5","6","7","8","9"},$C$4:$AG$4,"3"))</f>
        <v>4</v>
      </c>
      <c r="AO36" s="283" cm="1">
        <f t="array" ref="AO36">SUM(COUNTIFS($C36:$AG36,{"1","2","3"}))</f>
        <v>0</v>
      </c>
      <c r="AP36" s="283" cm="1">
        <f t="array" ref="AP36">SUM(COUNTIFS($C36:$AG36,{"4","5","6"}))</f>
        <v>0</v>
      </c>
      <c r="AQ36" s="283">
        <f>AK36*'Spreadsheet Key'!$A$23 + AL36*'Spreadsheet Key'!$A$24 + AM36*'Spreadsheet Key'!$A$25 + AN36*'Spreadsheet Key'!$A$26</f>
        <v>1328</v>
      </c>
      <c r="AR36" s="283">
        <f>AJ36/('MAY Statistics'!$B$30)*ABS(AI36-1)</f>
        <v>5.3819444444444448E-2</v>
      </c>
      <c r="AS36" s="283">
        <f t="shared" si="5"/>
        <v>0</v>
      </c>
      <c r="AT36" s="3228">
        <f>AR36*'MAY Statistics'!$C$11</f>
        <v>66.274340277777782</v>
      </c>
      <c r="AU36" s="283"/>
      <c r="AV36" s="283">
        <f t="shared" si="0"/>
        <v>0</v>
      </c>
      <c r="AW36" s="283">
        <f t="shared" si="1"/>
        <v>1</v>
      </c>
      <c r="AX36" s="283">
        <f t="shared" si="2"/>
        <v>0</v>
      </c>
      <c r="AY36" s="283" cm="1">
        <f t="array" ref="AY36">COUNTIFS($C36:$AG36,"9",$C$4:$AG$4,"1")+SUM(COUNTIFS($C36:$AG36,{"8","9"},$C$4:$AG$4,"2"))+COUNTIFS($C36:$AG36,"8",$C$4:$AG$4,"3")</f>
        <v>1</v>
      </c>
      <c r="AZ36" s="283">
        <f t="shared" si="3"/>
        <v>0</v>
      </c>
      <c r="BA36" s="283">
        <f t="shared" si="4"/>
        <v>2</v>
      </c>
      <c r="BB36" s="283">
        <f>AV36*'Spreadsheet Key'!$A$27+AW36*'Spreadsheet Key'!$A$28+AX36*'Spreadsheet Key'!$A$29+AY36*'Spreadsheet Key'!$A$30+AZ36*'Spreadsheet Key'!$A$31</f>
        <v>48</v>
      </c>
      <c r="BC36" s="283"/>
      <c r="BD36" s="283">
        <f t="shared" ref="BD36" si="27">AT36-BB36</f>
        <v>18.274340277777782</v>
      </c>
      <c r="BE36" s="3213"/>
      <c r="BF36" s="3213"/>
      <c r="BG36" s="3213"/>
      <c r="BH36" s="3213"/>
    </row>
    <row r="37" spans="1:60">
      <c r="A37" s="3212"/>
      <c r="B37" s="3212"/>
      <c r="C37" s="2435" t="s">
        <v>722</v>
      </c>
      <c r="D37" s="780"/>
      <c r="E37" s="780"/>
      <c r="F37" s="780"/>
      <c r="G37" s="780"/>
      <c r="H37" s="2435"/>
      <c r="I37" s="2435" t="s">
        <v>722</v>
      </c>
      <c r="J37" s="2435"/>
      <c r="K37" s="780"/>
      <c r="L37" s="2435"/>
      <c r="M37" s="2435" t="s">
        <v>722</v>
      </c>
      <c r="N37" s="780"/>
      <c r="O37" s="780"/>
      <c r="P37" s="2435"/>
      <c r="Q37" s="780"/>
      <c r="R37" s="780"/>
      <c r="S37" s="780"/>
      <c r="T37" s="2439"/>
      <c r="U37" s="780"/>
      <c r="V37" s="6308" t="s">
        <v>1287</v>
      </c>
      <c r="W37" s="6309"/>
      <c r="X37" s="780"/>
      <c r="Y37" s="780"/>
      <c r="Z37" s="780"/>
      <c r="AA37" s="780"/>
      <c r="AB37" s="780"/>
      <c r="AC37" s="780"/>
      <c r="AD37" s="780"/>
      <c r="AE37" s="780"/>
      <c r="AF37" s="780"/>
      <c r="AG37" s="806"/>
      <c r="AH37" s="3126"/>
      <c r="AI37" s="3226"/>
      <c r="AJ37" s="283"/>
      <c r="AK37" s="283"/>
      <c r="AL37" s="283"/>
      <c r="AM37" s="283"/>
      <c r="AN37" s="283"/>
      <c r="AO37" s="283"/>
      <c r="AP37" s="283"/>
      <c r="AQ37" s="283"/>
      <c r="AR37" s="283"/>
      <c r="AS37" s="283"/>
      <c r="AT37" s="3228"/>
      <c r="AU37" s="283"/>
      <c r="AV37" s="283">
        <f t="shared" si="0"/>
        <v>0</v>
      </c>
      <c r="AW37" s="283">
        <f t="shared" si="1"/>
        <v>0</v>
      </c>
      <c r="AX37" s="283">
        <f t="shared" si="2"/>
        <v>0</v>
      </c>
      <c r="AY37" s="283" cm="1">
        <f t="array" ref="AY37">COUNTIFS($C37:$AG37,"9",$C$4:$AG$4,"1")+SUM(COUNTIFS($C37:$AG37,{"8","9"},$C$4:$AG$4,"2"))+COUNTIFS($C37:$AG37,"8",$C$4:$AG$4,"3")</f>
        <v>0</v>
      </c>
      <c r="AZ37" s="283">
        <f t="shared" si="3"/>
        <v>0</v>
      </c>
      <c r="BA37" s="283">
        <f t="shared" si="4"/>
        <v>0</v>
      </c>
      <c r="BB37" s="283">
        <f>AV37*'Spreadsheet Key'!$A$27+AW37*'Spreadsheet Key'!$A$28+AX37*'Spreadsheet Key'!$A$29+AY37*'Spreadsheet Key'!$A$30+AZ37*'Spreadsheet Key'!$A$31</f>
        <v>0</v>
      </c>
      <c r="BC37" s="283"/>
      <c r="BD37" s="283"/>
      <c r="BE37" s="283"/>
      <c r="BF37" s="283"/>
      <c r="BG37" s="283"/>
      <c r="BH37" s="283"/>
    </row>
    <row r="38" spans="1:60" s="3211" customFormat="1">
      <c r="A38" s="3187" t="s">
        <v>129</v>
      </c>
      <c r="B38" s="3187" t="s">
        <v>474</v>
      </c>
      <c r="C38" s="3199">
        <v>9</v>
      </c>
      <c r="D38" s="3198">
        <v>0</v>
      </c>
      <c r="E38" s="3198">
        <v>0</v>
      </c>
      <c r="F38" s="3198">
        <v>0</v>
      </c>
      <c r="G38" s="3198">
        <v>0</v>
      </c>
      <c r="H38" s="3198">
        <v>0</v>
      </c>
      <c r="I38" s="3198">
        <v>9</v>
      </c>
      <c r="J38" s="3198">
        <v>0</v>
      </c>
      <c r="K38" s="3198">
        <v>0</v>
      </c>
      <c r="L38" s="3198">
        <v>0</v>
      </c>
      <c r="M38" s="3198">
        <v>9</v>
      </c>
      <c r="N38" s="3198">
        <v>0</v>
      </c>
      <c r="O38" s="3198">
        <v>0</v>
      </c>
      <c r="P38" s="3198">
        <v>0</v>
      </c>
      <c r="Q38" s="3198">
        <v>0</v>
      </c>
      <c r="R38" s="3198">
        <v>0</v>
      </c>
      <c r="S38" s="3198">
        <v>0</v>
      </c>
      <c r="T38" s="3198">
        <v>0</v>
      </c>
      <c r="U38" s="3198">
        <v>0</v>
      </c>
      <c r="V38" s="3198">
        <v>5</v>
      </c>
      <c r="W38" s="3198">
        <v>5</v>
      </c>
      <c r="X38" s="3198">
        <v>0</v>
      </c>
      <c r="Y38" s="3198">
        <v>0</v>
      </c>
      <c r="Z38" s="3198">
        <v>0</v>
      </c>
      <c r="AA38" s="3198">
        <v>0</v>
      </c>
      <c r="AB38" s="3198">
        <v>0</v>
      </c>
      <c r="AC38" s="3198">
        <v>0</v>
      </c>
      <c r="AD38" s="3198">
        <v>0</v>
      </c>
      <c r="AE38" s="3198">
        <v>0</v>
      </c>
      <c r="AF38" s="3198">
        <v>0</v>
      </c>
      <c r="AG38" s="3198">
        <v>0</v>
      </c>
      <c r="AH38" s="3209"/>
      <c r="AI38" s="3226">
        <v>0</v>
      </c>
      <c r="AJ38" s="283" cm="1">
        <f t="array" ref="AJ38">SUM(COUNTIFS($C38:$AG38,{"0","4","5","6","7","8","9"}))</f>
        <v>31</v>
      </c>
      <c r="AK38" s="283" cm="1">
        <f t="array" ref="AK38">SUM(COUNTIFS($C38:$AG38,{"0","4","5","6","7","8","9"},$C$4:$AG$4,"0"))</f>
        <v>15</v>
      </c>
      <c r="AL38" s="283" cm="1">
        <f t="array" ref="AL38">SUM(COUNTIFS($C38:$AG38,{"0","4","5","6","7","8","9"},$C$4:$AG$4,"1"))</f>
        <v>5</v>
      </c>
      <c r="AM38" s="283" cm="1">
        <f t="array" ref="AM38">SUM(COUNTIFS($C38:$AG38,{"0","4","5","6","7","8","9"},$C$4:$AG$4,"2"))</f>
        <v>7</v>
      </c>
      <c r="AN38" s="283" cm="1">
        <f t="array" ref="AN38">SUM(COUNTIFS($C38:$AG38,{"0","4","5","6","7","8","9"},$C$4:$AG$4,"3"))</f>
        <v>4</v>
      </c>
      <c r="AO38" s="283" cm="1">
        <f t="array" ref="AO38">SUM(COUNTIFS($C38:$AG38,{"1","2","3"}))</f>
        <v>0</v>
      </c>
      <c r="AP38" s="283" cm="1">
        <f t="array" ref="AP38">SUM(COUNTIFS($C38:$AG38,{"4","5","6"}))</f>
        <v>2</v>
      </c>
      <c r="AQ38" s="283">
        <f>AK38*'Spreadsheet Key'!$A$23 + AL38*'Spreadsheet Key'!$A$24 + AM38*'Spreadsheet Key'!$A$25 + AN38*'Spreadsheet Key'!$A$26</f>
        <v>1328</v>
      </c>
      <c r="AR38" s="283">
        <f>AJ38/('MAY Statistics'!$B$30)*ABS(AI38-1)</f>
        <v>5.3819444444444448E-2</v>
      </c>
      <c r="AS38" s="283">
        <f t="shared" ref="AS38" si="28">AI38*AT38</f>
        <v>0</v>
      </c>
      <c r="AT38" s="3228">
        <f>AR38*'MAY Statistics'!$C$11</f>
        <v>66.274340277777782</v>
      </c>
      <c r="AU38" s="283"/>
      <c r="AV38" s="283">
        <f t="shared" si="0"/>
        <v>0</v>
      </c>
      <c r="AW38" s="283">
        <f t="shared" si="1"/>
        <v>2</v>
      </c>
      <c r="AX38" s="283">
        <f t="shared" si="2"/>
        <v>0</v>
      </c>
      <c r="AY38" s="283" cm="1">
        <f t="array" ref="AY38">COUNTIFS($C38:$AG38,"9",$C$4:$AG$4,"1")+SUM(COUNTIFS($C38:$AG38,{"8","9"},$C$4:$AG$4,"2"))+COUNTIFS($C38:$AG38,"8",$C$4:$AG$4,"3")</f>
        <v>0</v>
      </c>
      <c r="AZ38" s="283">
        <f t="shared" si="3"/>
        <v>1</v>
      </c>
      <c r="BA38" s="283">
        <f t="shared" si="4"/>
        <v>3</v>
      </c>
      <c r="BB38" s="283">
        <f>AV38*'Spreadsheet Key'!$A$27+AW38*'Spreadsheet Key'!$A$28+AX38*'Spreadsheet Key'!$A$29+AY38*'Spreadsheet Key'!$A$30+AZ38*'Spreadsheet Key'!$A$31</f>
        <v>44</v>
      </c>
      <c r="BC38" s="283"/>
      <c r="BD38" s="283">
        <f t="shared" ref="BD38" si="29">AT38-BB38</f>
        <v>22.274340277777782</v>
      </c>
      <c r="BE38" s="3210"/>
      <c r="BF38" s="3210"/>
      <c r="BG38" s="3210"/>
      <c r="BH38" s="3210"/>
    </row>
    <row r="39" spans="1:60">
      <c r="A39" s="3212"/>
      <c r="B39" s="3212"/>
      <c r="C39" s="6310" t="s">
        <v>1288</v>
      </c>
      <c r="D39" s="6311"/>
      <c r="E39" s="3019" t="s">
        <v>1025</v>
      </c>
      <c r="F39" s="3019" t="s">
        <v>1025</v>
      </c>
      <c r="G39" s="6312" t="s">
        <v>1279</v>
      </c>
      <c r="H39" s="6312"/>
      <c r="I39" s="6312"/>
      <c r="J39" s="6312"/>
      <c r="K39" s="6312"/>
      <c r="L39" s="6312"/>
      <c r="M39" s="6312"/>
      <c r="N39" s="6312"/>
      <c r="O39" s="6312"/>
      <c r="P39" s="6312"/>
      <c r="Q39" s="6312"/>
      <c r="R39" s="6312"/>
      <c r="S39" s="3019" t="s">
        <v>1025</v>
      </c>
      <c r="T39" s="937"/>
      <c r="U39" s="937"/>
      <c r="V39" s="937"/>
      <c r="W39" s="2433"/>
      <c r="X39" s="2433" t="s">
        <v>720</v>
      </c>
      <c r="Y39" s="937"/>
      <c r="Z39" s="937"/>
      <c r="AA39" s="937"/>
      <c r="AB39" s="937"/>
      <c r="AC39" s="937"/>
      <c r="AD39" s="937"/>
      <c r="AE39" s="937"/>
      <c r="AF39" s="2433" t="s">
        <v>720</v>
      </c>
      <c r="AG39" s="1333"/>
      <c r="AH39" s="3126"/>
      <c r="AI39" s="3226"/>
      <c r="AJ39" s="283"/>
      <c r="AK39" s="283"/>
      <c r="AL39" s="283"/>
      <c r="AM39" s="283"/>
      <c r="AN39" s="283"/>
      <c r="AO39" s="283"/>
      <c r="AP39" s="283"/>
      <c r="AQ39" s="283"/>
      <c r="AR39" s="283"/>
      <c r="AS39" s="283"/>
      <c r="AT39" s="3228"/>
      <c r="AU39" s="283"/>
      <c r="AV39" s="283">
        <f t="shared" si="0"/>
        <v>0</v>
      </c>
      <c r="AW39" s="283">
        <f t="shared" si="1"/>
        <v>0</v>
      </c>
      <c r="AX39" s="283">
        <f t="shared" si="2"/>
        <v>0</v>
      </c>
      <c r="AY39" s="283" cm="1">
        <f t="array" ref="AY39">COUNTIFS($C39:$AG39,"9",$C$4:$AG$4,"1")+SUM(COUNTIFS($C39:$AG39,{"8","9"},$C$4:$AG$4,"2"))+COUNTIFS($C39:$AG39,"8",$C$4:$AG$4,"3")</f>
        <v>0</v>
      </c>
      <c r="AZ39" s="283">
        <f t="shared" si="3"/>
        <v>0</v>
      </c>
      <c r="BA39" s="283">
        <f t="shared" si="4"/>
        <v>0</v>
      </c>
      <c r="BB39" s="283">
        <f>AV39*'Spreadsheet Key'!$A$27+AW39*'Spreadsheet Key'!$A$28+AX39*'Spreadsheet Key'!$A$29+AY39*'Spreadsheet Key'!$A$30+AZ39*'Spreadsheet Key'!$A$31</f>
        <v>0</v>
      </c>
      <c r="BC39" s="283"/>
      <c r="BD39" s="283"/>
      <c r="BE39" s="283"/>
      <c r="BF39" s="283"/>
      <c r="BG39" s="283"/>
      <c r="BH39" s="283"/>
    </row>
    <row r="40" spans="1:60" s="3211" customFormat="1">
      <c r="A40" s="3180" t="s">
        <v>283</v>
      </c>
      <c r="B40" s="3180" t="s">
        <v>1036</v>
      </c>
      <c r="C40" s="3199">
        <v>2</v>
      </c>
      <c r="D40" s="3198">
        <v>2</v>
      </c>
      <c r="E40" s="3198">
        <v>2</v>
      </c>
      <c r="F40" s="3198">
        <v>2</v>
      </c>
      <c r="G40" s="3198">
        <v>2</v>
      </c>
      <c r="H40" s="3198">
        <v>2</v>
      </c>
      <c r="I40" s="3198">
        <v>2</v>
      </c>
      <c r="J40" s="3198">
        <v>2</v>
      </c>
      <c r="K40" s="3198">
        <v>2</v>
      </c>
      <c r="L40" s="3198">
        <v>2</v>
      </c>
      <c r="M40" s="3198">
        <v>2</v>
      </c>
      <c r="N40" s="3198">
        <v>2</v>
      </c>
      <c r="O40" s="3198">
        <v>2</v>
      </c>
      <c r="P40" s="3198">
        <v>2</v>
      </c>
      <c r="Q40" s="3198">
        <v>2</v>
      </c>
      <c r="R40" s="3198">
        <v>2</v>
      </c>
      <c r="S40" s="3198">
        <v>3</v>
      </c>
      <c r="T40" s="3198">
        <v>0</v>
      </c>
      <c r="U40" s="3198">
        <v>0</v>
      </c>
      <c r="V40" s="3198">
        <v>0</v>
      </c>
      <c r="W40" s="3198">
        <v>0</v>
      </c>
      <c r="X40" s="3198">
        <v>8</v>
      </c>
      <c r="Y40" s="3198">
        <v>0</v>
      </c>
      <c r="Z40" s="3198">
        <v>0</v>
      </c>
      <c r="AA40" s="3198">
        <v>0</v>
      </c>
      <c r="AB40" s="3198">
        <v>0</v>
      </c>
      <c r="AC40" s="3198">
        <v>0</v>
      </c>
      <c r="AD40" s="3198">
        <v>0</v>
      </c>
      <c r="AE40" s="3198">
        <v>0</v>
      </c>
      <c r="AF40" s="3198">
        <v>8</v>
      </c>
      <c r="AG40" s="3198">
        <v>0</v>
      </c>
      <c r="AH40" s="3209"/>
      <c r="AI40" s="3226">
        <v>1</v>
      </c>
      <c r="AJ40" s="283" cm="1">
        <f t="array" ref="AJ40">SUM(COUNTIFS($C40:$AG40,{"0","4","5","6","7","8","9"}))</f>
        <v>14</v>
      </c>
      <c r="AK40" s="283" cm="1">
        <f t="array" ref="AK40">SUM(COUNTIFS($C40:$AG40,{"0","4","5","6","7","8","9"},$C$4:$AG$4,"0"))</f>
        <v>6</v>
      </c>
      <c r="AL40" s="283" cm="1">
        <f t="array" ref="AL40">SUM(COUNTIFS($C40:$AG40,{"0","4","5","6","7","8","9"},$C$4:$AG$4,"1"))</f>
        <v>2</v>
      </c>
      <c r="AM40" s="283" cm="1">
        <f t="array" ref="AM40">SUM(COUNTIFS($C40:$AG40,{"0","4","5","6","7","8","9"},$C$4:$AG$4,"2"))</f>
        <v>4</v>
      </c>
      <c r="AN40" s="283" cm="1">
        <f t="array" ref="AN40">SUM(COUNTIFS($C40:$AG40,{"0","4","5","6","7","8","9"},$C$4:$AG$4,"3"))</f>
        <v>2</v>
      </c>
      <c r="AO40" s="283" cm="1">
        <f t="array" ref="AO40">SUM(COUNTIFS($C40:$AG40,{"1","2","3"}))</f>
        <v>17</v>
      </c>
      <c r="AP40" s="283" cm="1">
        <f t="array" ref="AP40">SUM(COUNTIFS($C40:$AG40,{"4","5","6"}))</f>
        <v>0</v>
      </c>
      <c r="AQ40" s="283">
        <f>AK40*'Spreadsheet Key'!$A$23 + AL40*'Spreadsheet Key'!$A$24 + AM40*'Spreadsheet Key'!$A$25 + AN40*'Spreadsheet Key'!$A$26</f>
        <v>640</v>
      </c>
      <c r="AR40" s="283">
        <f>AJ40/('MAY Statistics'!$B$30)*ABS(AI40-1)</f>
        <v>0</v>
      </c>
      <c r="AS40" s="283">
        <f>AI40*AT40</f>
        <v>12.64516129032258</v>
      </c>
      <c r="AT40" s="3228">
        <f>(AJ40/'MAY Statistics'!$B$6)*'Spreadsheet Key'!$A$32</f>
        <v>12.64516129032258</v>
      </c>
      <c r="AU40" s="283"/>
      <c r="AV40" s="283">
        <f t="shared" si="0"/>
        <v>0</v>
      </c>
      <c r="AW40" s="283">
        <f t="shared" si="1"/>
        <v>0</v>
      </c>
      <c r="AX40" s="283">
        <f t="shared" si="2"/>
        <v>2</v>
      </c>
      <c r="AY40" s="283" cm="1">
        <f t="array" ref="AY40">COUNTIFS($C40:$AG40,"9",$C$4:$AG$4,"1")+SUM(COUNTIFS($C40:$AG40,{"8","9"},$C$4:$AG$4,"2"))+COUNTIFS($C40:$AG40,"8",$C$4:$AG$4,"3")</f>
        <v>0</v>
      </c>
      <c r="AZ40" s="283">
        <f t="shared" si="3"/>
        <v>0</v>
      </c>
      <c r="BA40" s="283">
        <f t="shared" si="4"/>
        <v>2</v>
      </c>
      <c r="BB40" s="283">
        <f>AV40*'Spreadsheet Key'!$A$27+AW40*'Spreadsheet Key'!$A$28+AX40*'Spreadsheet Key'!$A$29+AY40*'Spreadsheet Key'!$A$30+AZ40*'Spreadsheet Key'!$A$31</f>
        <v>36</v>
      </c>
      <c r="BC40" s="283"/>
      <c r="BD40" s="283">
        <f t="shared" ref="BD40" si="30">AT40-BB40</f>
        <v>-23.35483870967742</v>
      </c>
      <c r="BE40" s="3210"/>
      <c r="BF40" s="3210"/>
      <c r="BG40" s="3210"/>
      <c r="BH40" s="3210"/>
    </row>
    <row r="41" spans="1:60">
      <c r="A41" s="3208"/>
      <c r="B41" s="3208"/>
      <c r="C41" s="5579" t="s">
        <v>1289</v>
      </c>
      <c r="D41" s="5873"/>
      <c r="E41" s="5873"/>
      <c r="F41" s="5873"/>
      <c r="G41" s="5873"/>
      <c r="H41" s="5873"/>
      <c r="I41" s="5873"/>
      <c r="J41" s="5580"/>
      <c r="K41" s="3019" t="s">
        <v>1025</v>
      </c>
      <c r="L41" s="779"/>
      <c r="M41" s="779"/>
      <c r="N41" s="779"/>
      <c r="O41" s="779"/>
      <c r="P41" s="779"/>
      <c r="Q41" s="779"/>
      <c r="R41" s="2434" t="s">
        <v>722</v>
      </c>
      <c r="S41" s="779"/>
      <c r="T41" s="779"/>
      <c r="U41" s="779"/>
      <c r="V41" s="779"/>
      <c r="W41" s="779"/>
      <c r="X41" s="779"/>
      <c r="Y41" s="4333" t="s">
        <v>1290</v>
      </c>
      <c r="Z41" s="4411"/>
      <c r="AA41" s="4411"/>
      <c r="AB41" s="4334"/>
      <c r="AC41" s="2437"/>
      <c r="AD41" s="2437" t="s">
        <v>720</v>
      </c>
      <c r="AE41" s="779"/>
      <c r="AF41" s="779"/>
      <c r="AG41" s="804"/>
      <c r="AH41" s="3126"/>
      <c r="AI41" s="3226"/>
      <c r="AJ41" s="283"/>
      <c r="AK41" s="283"/>
      <c r="AL41" s="283"/>
      <c r="AM41" s="283"/>
      <c r="AN41" s="283"/>
      <c r="AO41" s="283"/>
      <c r="AP41" s="283"/>
      <c r="AQ41" s="283"/>
      <c r="AR41" s="283"/>
      <c r="AS41" s="283"/>
      <c r="AT41" s="3228"/>
      <c r="AU41" s="283"/>
      <c r="AV41" s="283">
        <f t="shared" si="0"/>
        <v>0</v>
      </c>
      <c r="AW41" s="283">
        <f t="shared" si="1"/>
        <v>0</v>
      </c>
      <c r="AX41" s="283">
        <f t="shared" si="2"/>
        <v>0</v>
      </c>
      <c r="AY41" s="283" cm="1">
        <f t="array" ref="AY41">COUNTIFS($C41:$AG41,"9",$C$4:$AG$4,"1")+SUM(COUNTIFS($C41:$AG41,{"8","9"},$C$4:$AG$4,"2"))+COUNTIFS($C41:$AG41,"8",$C$4:$AG$4,"3")</f>
        <v>0</v>
      </c>
      <c r="AZ41" s="283">
        <f t="shared" si="3"/>
        <v>0</v>
      </c>
      <c r="BA41" s="283">
        <f t="shared" si="4"/>
        <v>0</v>
      </c>
      <c r="BB41" s="283">
        <f>AV41*'Spreadsheet Key'!$A$27+AW41*'Spreadsheet Key'!$A$28+AX41*'Spreadsheet Key'!$A$29+AY41*'Spreadsheet Key'!$A$30+AZ41*'Spreadsheet Key'!$A$31</f>
        <v>0</v>
      </c>
      <c r="BC41" s="283"/>
      <c r="BD41" s="283"/>
      <c r="BE41" s="283"/>
      <c r="BF41" s="283"/>
      <c r="BG41" s="283"/>
      <c r="BH41" s="283"/>
    </row>
    <row r="42" spans="1:60" s="3211" customFormat="1">
      <c r="A42" s="3180" t="s">
        <v>95</v>
      </c>
      <c r="B42" s="3180" t="s">
        <v>1058</v>
      </c>
      <c r="C42" s="3199">
        <v>2</v>
      </c>
      <c r="D42" s="3198">
        <v>2</v>
      </c>
      <c r="E42" s="3198">
        <v>2</v>
      </c>
      <c r="F42" s="3198">
        <v>2</v>
      </c>
      <c r="G42" s="3198">
        <v>2</v>
      </c>
      <c r="H42" s="3198">
        <v>2</v>
      </c>
      <c r="I42" s="3198">
        <v>2</v>
      </c>
      <c r="J42" s="3198">
        <v>2</v>
      </c>
      <c r="K42" s="3198">
        <v>3</v>
      </c>
      <c r="L42" s="3198">
        <v>0</v>
      </c>
      <c r="M42" s="3198">
        <v>0</v>
      </c>
      <c r="N42" s="3198">
        <v>0</v>
      </c>
      <c r="O42" s="3198">
        <v>0</v>
      </c>
      <c r="P42" s="3198">
        <v>0</v>
      </c>
      <c r="Q42" s="3198">
        <v>0</v>
      </c>
      <c r="R42" s="3198">
        <v>9</v>
      </c>
      <c r="S42" s="3198">
        <v>0</v>
      </c>
      <c r="T42" s="3198">
        <v>0</v>
      </c>
      <c r="U42" s="3198">
        <v>0</v>
      </c>
      <c r="V42" s="3198">
        <v>0</v>
      </c>
      <c r="W42" s="3198">
        <v>0</v>
      </c>
      <c r="X42" s="3198">
        <v>0</v>
      </c>
      <c r="Y42" s="3198">
        <v>4</v>
      </c>
      <c r="Z42" s="3198">
        <v>5</v>
      </c>
      <c r="AA42" s="3198">
        <v>5</v>
      </c>
      <c r="AB42" s="3198">
        <v>6</v>
      </c>
      <c r="AC42" s="3198">
        <v>0</v>
      </c>
      <c r="AD42" s="3198">
        <v>8</v>
      </c>
      <c r="AE42" s="3198">
        <v>0</v>
      </c>
      <c r="AF42" s="3198">
        <v>0</v>
      </c>
      <c r="AG42" s="3198">
        <v>0</v>
      </c>
      <c r="AH42" s="3209"/>
      <c r="AI42" s="3226">
        <v>0</v>
      </c>
      <c r="AJ42" s="283" cm="1">
        <f t="array" ref="AJ42">SUM(COUNTIFS($C42:$AG42,{"0","4","5","6","7","8","9"}))</f>
        <v>22</v>
      </c>
      <c r="AK42" s="283" cm="1">
        <f t="array" ref="AK42">SUM(COUNTIFS($C42:$AG42,{"0","4","5","6","7","8","9"},$C$4:$AG$4,"0"))</f>
        <v>10</v>
      </c>
      <c r="AL42" s="283" cm="1">
        <f t="array" ref="AL42">SUM(COUNTIFS($C42:$AG42,{"0","4","5","6","7","8","9"},$C$4:$AG$4,"1"))</f>
        <v>3</v>
      </c>
      <c r="AM42" s="283" cm="1">
        <f t="array" ref="AM42">SUM(COUNTIFS($C42:$AG42,{"0","4","5","6","7","8","9"},$C$4:$AG$4,"2"))</f>
        <v>6</v>
      </c>
      <c r="AN42" s="283" cm="1">
        <f t="array" ref="AN42">SUM(COUNTIFS($C42:$AG42,{"0","4","5","6","7","8","9"},$C$4:$AG$4,"3"))</f>
        <v>3</v>
      </c>
      <c r="AO42" s="283" cm="1">
        <f t="array" ref="AO42">SUM(COUNTIFS($C42:$AG42,{"1","2","3"}))</f>
        <v>9</v>
      </c>
      <c r="AP42" s="283" cm="1">
        <f t="array" ref="AP42">SUM(COUNTIFS($C42:$AG42,{"4","5","6"}))</f>
        <v>4</v>
      </c>
      <c r="AQ42" s="283">
        <f>AK42*'Spreadsheet Key'!$A$23 + AL42*'Spreadsheet Key'!$A$24 + AM42*'Spreadsheet Key'!$A$25 + AN42*'Spreadsheet Key'!$A$26</f>
        <v>982</v>
      </c>
      <c r="AR42" s="283">
        <f>AJ42/('MAY Statistics'!$B$30)*ABS(AI42-1)</f>
        <v>3.8194444444444448E-2</v>
      </c>
      <c r="AS42" s="283">
        <f t="shared" ref="AS42" si="31">AI42*AT42</f>
        <v>0</v>
      </c>
      <c r="AT42" s="3228">
        <f>AR42*'MAY Statistics'!$C$11</f>
        <v>47.033402777777788</v>
      </c>
      <c r="AU42" s="283"/>
      <c r="AV42" s="283">
        <f t="shared" si="0"/>
        <v>1</v>
      </c>
      <c r="AW42" s="283">
        <f t="shared" si="1"/>
        <v>0</v>
      </c>
      <c r="AX42" s="283">
        <f t="shared" si="2"/>
        <v>0</v>
      </c>
      <c r="AY42" s="283" cm="1">
        <f t="array" ref="AY42">COUNTIFS($C42:$AG42,"9",$C$4:$AG$4,"1")+SUM(COUNTIFS($C42:$AG42,{"8","9"},$C$4:$AG$4,"2"))+COUNTIFS($C42:$AG42,"8",$C$4:$AG$4,"3")</f>
        <v>1</v>
      </c>
      <c r="AZ42" s="283">
        <f t="shared" si="3"/>
        <v>0</v>
      </c>
      <c r="BA42" s="283">
        <f t="shared" si="4"/>
        <v>2</v>
      </c>
      <c r="BB42" s="283">
        <f>AV42*'Spreadsheet Key'!$A$27+AW42*'Spreadsheet Key'!$A$28+AX42*'Spreadsheet Key'!$A$29+AY42*'Spreadsheet Key'!$A$30+AZ42*'Spreadsheet Key'!$A$31</f>
        <v>46</v>
      </c>
      <c r="BC42" s="283"/>
      <c r="BD42" s="283">
        <f t="shared" ref="BD42" si="32">AT42-BB42</f>
        <v>1.0334027777777877</v>
      </c>
      <c r="BE42" s="3210"/>
      <c r="BF42" s="3210"/>
      <c r="BG42" s="3210"/>
      <c r="BH42" s="3210"/>
    </row>
    <row r="43" spans="1:60">
      <c r="A43" s="3208"/>
      <c r="B43" s="3208"/>
      <c r="C43" s="4417" t="s">
        <v>438</v>
      </c>
      <c r="D43" s="4468"/>
      <c r="E43" s="4468"/>
      <c r="F43" s="6313" t="s">
        <v>1025</v>
      </c>
      <c r="G43" s="6314"/>
      <c r="H43" s="6302" t="s">
        <v>1291</v>
      </c>
      <c r="I43" s="6303"/>
      <c r="J43" s="6303"/>
      <c r="K43" s="6303"/>
      <c r="L43" s="6303"/>
      <c r="M43" s="6303"/>
      <c r="N43" s="6303"/>
      <c r="O43" s="6303"/>
      <c r="P43" s="6303"/>
      <c r="Q43" s="6303"/>
      <c r="R43" s="6304"/>
      <c r="S43" s="3010" t="s">
        <v>1025</v>
      </c>
      <c r="T43" s="779"/>
      <c r="U43" s="2437"/>
      <c r="V43" s="2437" t="s">
        <v>720</v>
      </c>
      <c r="W43" s="2434"/>
      <c r="X43" s="779"/>
      <c r="Y43" s="4333" t="s">
        <v>1290</v>
      </c>
      <c r="Z43" s="4411"/>
      <c r="AA43" s="4411"/>
      <c r="AB43" s="4334"/>
      <c r="AC43" s="779"/>
      <c r="AD43" s="2434"/>
      <c r="AE43" s="2437"/>
      <c r="AF43" s="779"/>
      <c r="AG43" s="804"/>
      <c r="AH43" s="3126"/>
      <c r="AI43" s="3226"/>
      <c r="AJ43" s="283"/>
      <c r="AK43" s="283"/>
      <c r="AL43" s="283"/>
      <c r="AM43" s="283"/>
      <c r="AN43" s="283"/>
      <c r="AO43" s="283"/>
      <c r="AP43" s="283"/>
      <c r="AQ43" s="283"/>
      <c r="AR43" s="283"/>
      <c r="AS43" s="283"/>
      <c r="AT43" s="3228"/>
      <c r="AU43" s="283"/>
      <c r="AV43" s="283">
        <f t="shared" si="0"/>
        <v>0</v>
      </c>
      <c r="AW43" s="283">
        <f t="shared" si="1"/>
        <v>0</v>
      </c>
      <c r="AX43" s="283">
        <f t="shared" si="2"/>
        <v>0</v>
      </c>
      <c r="AY43" s="283" cm="1">
        <f t="array" ref="AY43">COUNTIFS($C43:$AG43,"9",$C$4:$AG$4,"1")+SUM(COUNTIFS($C43:$AG43,{"8","9"},$C$4:$AG$4,"2"))+COUNTIFS($C43:$AG43,"8",$C$4:$AG$4,"3")</f>
        <v>0</v>
      </c>
      <c r="AZ43" s="283">
        <f t="shared" si="3"/>
        <v>0</v>
      </c>
      <c r="BA43" s="283">
        <f t="shared" si="4"/>
        <v>0</v>
      </c>
      <c r="BB43" s="283">
        <f>AV43*'Spreadsheet Key'!$A$27+AW43*'Spreadsheet Key'!$A$28+AX43*'Spreadsheet Key'!$A$29+AY43*'Spreadsheet Key'!$A$30+AZ43*'Spreadsheet Key'!$A$31</f>
        <v>0</v>
      </c>
      <c r="BC43" s="283"/>
      <c r="BD43" s="283"/>
      <c r="BE43" s="283"/>
      <c r="BF43" s="283"/>
      <c r="BG43" s="283"/>
      <c r="BH43" s="283"/>
    </row>
    <row r="44" spans="1:60" s="3211" customFormat="1">
      <c r="A44" s="3180" t="s">
        <v>95</v>
      </c>
      <c r="B44" s="3180" t="s">
        <v>620</v>
      </c>
      <c r="C44" s="3199">
        <v>2</v>
      </c>
      <c r="D44" s="3199">
        <v>2</v>
      </c>
      <c r="E44" s="3199">
        <v>2</v>
      </c>
      <c r="F44" s="3199">
        <v>2</v>
      </c>
      <c r="G44" s="3199">
        <v>2</v>
      </c>
      <c r="H44" s="3199">
        <v>2</v>
      </c>
      <c r="I44" s="3199">
        <v>2</v>
      </c>
      <c r="J44" s="3199">
        <v>2</v>
      </c>
      <c r="K44" s="3199">
        <v>2</v>
      </c>
      <c r="L44" s="3199">
        <v>2</v>
      </c>
      <c r="M44" s="3199">
        <v>2</v>
      </c>
      <c r="N44" s="3199">
        <v>2</v>
      </c>
      <c r="O44" s="3199">
        <v>2</v>
      </c>
      <c r="P44" s="3199">
        <v>2</v>
      </c>
      <c r="Q44" s="3199">
        <v>2</v>
      </c>
      <c r="R44" s="3199">
        <v>2</v>
      </c>
      <c r="S44" s="3198">
        <v>3</v>
      </c>
      <c r="T44" s="3198">
        <v>0</v>
      </c>
      <c r="U44" s="3198">
        <v>0</v>
      </c>
      <c r="V44" s="3198">
        <v>8</v>
      </c>
      <c r="W44" s="3198">
        <v>0</v>
      </c>
      <c r="X44" s="3198">
        <v>0</v>
      </c>
      <c r="Y44" s="3198">
        <v>4</v>
      </c>
      <c r="Z44" s="3198">
        <v>5</v>
      </c>
      <c r="AA44" s="3198">
        <v>5</v>
      </c>
      <c r="AB44" s="3198">
        <v>6</v>
      </c>
      <c r="AC44" s="3198">
        <v>0</v>
      </c>
      <c r="AD44" s="3198">
        <v>0</v>
      </c>
      <c r="AE44" s="3198">
        <v>0</v>
      </c>
      <c r="AF44" s="3198">
        <v>0</v>
      </c>
      <c r="AG44" s="3198">
        <v>0</v>
      </c>
      <c r="AH44" s="3209"/>
      <c r="AI44" s="3226">
        <v>0</v>
      </c>
      <c r="AJ44" s="283" cm="1">
        <f t="array" ref="AJ44">SUM(COUNTIFS($C44:$AG44,{"0","4","5","6","7","8","9"}))</f>
        <v>14</v>
      </c>
      <c r="AK44" s="283" cm="1">
        <f t="array" ref="AK44">SUM(COUNTIFS($C44:$AG44,{"0","4","5","6","7","8","9"},$C$4:$AG$4,"0"))</f>
        <v>6</v>
      </c>
      <c r="AL44" s="283" cm="1">
        <f t="array" ref="AL44">SUM(COUNTIFS($C44:$AG44,{"0","4","5","6","7","8","9"},$C$4:$AG$4,"1"))</f>
        <v>2</v>
      </c>
      <c r="AM44" s="283" cm="1">
        <f t="array" ref="AM44">SUM(COUNTIFS($C44:$AG44,{"0","4","5","6","7","8","9"},$C$4:$AG$4,"2"))</f>
        <v>4</v>
      </c>
      <c r="AN44" s="283" cm="1">
        <f t="array" ref="AN44">SUM(COUNTIFS($C44:$AG44,{"0","4","5","6","7","8","9"},$C$4:$AG$4,"3"))</f>
        <v>2</v>
      </c>
      <c r="AO44" s="283" cm="1">
        <f t="array" ref="AO44">SUM(COUNTIFS($C44:$AG44,{"1","2","3"}))</f>
        <v>17</v>
      </c>
      <c r="AP44" s="283" cm="1">
        <f t="array" ref="AP44">SUM(COUNTIFS($C44:$AG44,{"4","5","6"}))</f>
        <v>4</v>
      </c>
      <c r="AQ44" s="283">
        <f>AK44*'Spreadsheet Key'!$A$23 + AL44*'Spreadsheet Key'!$A$24 + AM44*'Spreadsheet Key'!$A$25 + AN44*'Spreadsheet Key'!$A$26</f>
        <v>640</v>
      </c>
      <c r="AR44" s="283">
        <f>AJ44/('MAY Statistics'!$B$30)*ABS(AI44-1)</f>
        <v>2.4305555555555556E-2</v>
      </c>
      <c r="AS44" s="283">
        <f t="shared" si="5"/>
        <v>0</v>
      </c>
      <c r="AT44" s="3228">
        <f>AR44*'MAY Statistics'!$C$11</f>
        <v>29.930347222222224</v>
      </c>
      <c r="AU44" s="283"/>
      <c r="AV44" s="283">
        <f t="shared" si="0"/>
        <v>1</v>
      </c>
      <c r="AW44" s="283">
        <f t="shared" si="1"/>
        <v>0</v>
      </c>
      <c r="AX44" s="283">
        <f t="shared" si="2"/>
        <v>0</v>
      </c>
      <c r="AY44" s="283" cm="1">
        <f t="array" ref="AY44">COUNTIFS($C44:$AG44,"9",$C$4:$AG$4,"1")+SUM(COUNTIFS($C44:$AG44,{"8","9"},$C$4:$AG$4,"2"))+COUNTIFS($C44:$AG44,"8",$C$4:$AG$4,"3")</f>
        <v>0</v>
      </c>
      <c r="AZ44" s="283">
        <f t="shared" si="3"/>
        <v>0</v>
      </c>
      <c r="BA44" s="283">
        <f t="shared" si="4"/>
        <v>1</v>
      </c>
      <c r="BB44" s="283">
        <f>AV44*'Spreadsheet Key'!$A$27+AW44*'Spreadsheet Key'!$A$28+AX44*'Spreadsheet Key'!$A$29+AY44*'Spreadsheet Key'!$A$30+AZ44*'Spreadsheet Key'!$A$31</f>
        <v>10</v>
      </c>
      <c r="BC44" s="283"/>
      <c r="BD44" s="283">
        <f t="shared" ref="BD44" si="33">AT44-BB44</f>
        <v>19.930347222222224</v>
      </c>
      <c r="BE44" s="3210"/>
      <c r="BF44" s="3210"/>
      <c r="BG44" s="3210"/>
      <c r="BH44" s="3210"/>
    </row>
    <row r="45" spans="1:60">
      <c r="A45" s="3208"/>
      <c r="B45" s="3208"/>
      <c r="C45" s="6310" t="s">
        <v>1288</v>
      </c>
      <c r="D45" s="6311"/>
      <c r="E45" s="3010" t="s">
        <v>1025</v>
      </c>
      <c r="F45" s="3010" t="s">
        <v>1025</v>
      </c>
      <c r="G45" s="6300" t="s">
        <v>1281</v>
      </c>
      <c r="H45" s="6300"/>
      <c r="I45" s="6300"/>
      <c r="J45" s="6300"/>
      <c r="K45" s="6300"/>
      <c r="L45" s="6300"/>
      <c r="M45" s="6300"/>
      <c r="N45" s="6300"/>
      <c r="O45" s="6300"/>
      <c r="P45" s="6300"/>
      <c r="Q45" s="6300"/>
      <c r="R45" s="6300"/>
      <c r="S45" s="3010" t="s">
        <v>1025</v>
      </c>
      <c r="T45" s="779"/>
      <c r="U45" s="779"/>
      <c r="V45" s="779"/>
      <c r="W45" s="779"/>
      <c r="X45" s="779"/>
      <c r="Y45" s="4333" t="s">
        <v>1292</v>
      </c>
      <c r="Z45" s="4411"/>
      <c r="AA45" s="4411"/>
      <c r="AB45" s="4334"/>
      <c r="AC45" s="779"/>
      <c r="AD45" s="2434"/>
      <c r="AE45" s="779"/>
      <c r="AF45" s="779"/>
      <c r="AG45" s="2444" t="s">
        <v>722</v>
      </c>
      <c r="AH45" s="3126"/>
      <c r="AI45" s="3226"/>
      <c r="AJ45" s="283"/>
      <c r="AK45" s="283"/>
      <c r="AL45" s="283"/>
      <c r="AM45" s="283"/>
      <c r="AN45" s="283"/>
      <c r="AO45" s="283"/>
      <c r="AP45" s="283"/>
      <c r="AQ45" s="283"/>
      <c r="AR45" s="283"/>
      <c r="AS45" s="283"/>
      <c r="AT45" s="3228"/>
      <c r="AU45" s="283"/>
      <c r="AV45" s="283">
        <f t="shared" si="0"/>
        <v>0</v>
      </c>
      <c r="AW45" s="283">
        <f t="shared" si="1"/>
        <v>0</v>
      </c>
      <c r="AX45" s="283">
        <f t="shared" si="2"/>
        <v>0</v>
      </c>
      <c r="AY45" s="283" cm="1">
        <f t="array" ref="AY45">COUNTIFS($C45:$AG45,"9",$C$4:$AG$4,"1")+SUM(COUNTIFS($C45:$AG45,{"8","9"},$C$4:$AG$4,"2"))+COUNTIFS($C45:$AG45,"8",$C$4:$AG$4,"3")</f>
        <v>0</v>
      </c>
      <c r="AZ45" s="283">
        <f t="shared" si="3"/>
        <v>0</v>
      </c>
      <c r="BA45" s="283">
        <f t="shared" si="4"/>
        <v>0</v>
      </c>
      <c r="BB45" s="283">
        <f>AV45*'Spreadsheet Key'!$A$27+AW45*'Spreadsheet Key'!$A$28+AX45*'Spreadsheet Key'!$A$29+AY45*'Spreadsheet Key'!$A$30+AZ45*'Spreadsheet Key'!$A$31</f>
        <v>0</v>
      </c>
      <c r="BC45" s="283"/>
      <c r="BD45" s="283"/>
      <c r="BE45" s="283"/>
      <c r="BF45" s="283"/>
      <c r="BG45" s="283"/>
      <c r="BH45" s="283"/>
    </row>
    <row r="46" spans="1:60" s="3211" customFormat="1">
      <c r="A46" s="3180" t="s">
        <v>95</v>
      </c>
      <c r="B46" s="3180" t="s">
        <v>1037</v>
      </c>
      <c r="C46" s="3199">
        <v>2</v>
      </c>
      <c r="D46" s="3199">
        <v>2</v>
      </c>
      <c r="E46" s="3199">
        <v>2</v>
      </c>
      <c r="F46" s="3199">
        <v>2</v>
      </c>
      <c r="G46" s="3199">
        <v>2</v>
      </c>
      <c r="H46" s="3199">
        <v>2</v>
      </c>
      <c r="I46" s="3199">
        <v>2</v>
      </c>
      <c r="J46" s="3199">
        <v>2</v>
      </c>
      <c r="K46" s="3199">
        <v>2</v>
      </c>
      <c r="L46" s="3199">
        <v>2</v>
      </c>
      <c r="M46" s="3199">
        <v>2</v>
      </c>
      <c r="N46" s="3199">
        <v>2</v>
      </c>
      <c r="O46" s="3199">
        <v>2</v>
      </c>
      <c r="P46" s="3199">
        <v>2</v>
      </c>
      <c r="Q46" s="3199">
        <v>2</v>
      </c>
      <c r="R46" s="3199">
        <v>2</v>
      </c>
      <c r="S46" s="3198">
        <v>3</v>
      </c>
      <c r="T46" s="3198">
        <v>0</v>
      </c>
      <c r="U46" s="3198">
        <v>0</v>
      </c>
      <c r="V46" s="3198">
        <v>0</v>
      </c>
      <c r="W46" s="3198">
        <v>0</v>
      </c>
      <c r="X46" s="3198">
        <v>0</v>
      </c>
      <c r="Y46" s="3198">
        <v>4</v>
      </c>
      <c r="Z46" s="3198">
        <v>5</v>
      </c>
      <c r="AA46" s="3198">
        <v>5</v>
      </c>
      <c r="AB46" s="3198">
        <v>6</v>
      </c>
      <c r="AC46" s="3198">
        <v>0</v>
      </c>
      <c r="AD46" s="3198">
        <v>0</v>
      </c>
      <c r="AE46" s="3198">
        <v>0</v>
      </c>
      <c r="AF46" s="3198">
        <v>0</v>
      </c>
      <c r="AG46" s="3198">
        <v>9</v>
      </c>
      <c r="AH46" s="3209"/>
      <c r="AI46" s="3226">
        <v>0</v>
      </c>
      <c r="AJ46" s="283" cm="1">
        <f t="array" ref="AJ46">SUM(COUNTIFS($C46:$AG46,{"0","4","5","6","7","8","9"}))</f>
        <v>14</v>
      </c>
      <c r="AK46" s="283" cm="1">
        <f t="array" ref="AK46">SUM(COUNTIFS($C46:$AG46,{"0","4","5","6","7","8","9"},$C$4:$AG$4,"0"))</f>
        <v>6</v>
      </c>
      <c r="AL46" s="283" cm="1">
        <f t="array" ref="AL46">SUM(COUNTIFS($C46:$AG46,{"0","4","5","6","7","8","9"},$C$4:$AG$4,"1"))</f>
        <v>2</v>
      </c>
      <c r="AM46" s="283" cm="1">
        <f t="array" ref="AM46">SUM(COUNTIFS($C46:$AG46,{"0","4","5","6","7","8","9"},$C$4:$AG$4,"2"))</f>
        <v>4</v>
      </c>
      <c r="AN46" s="283" cm="1">
        <f t="array" ref="AN46">SUM(COUNTIFS($C46:$AG46,{"0","4","5","6","7","8","9"},$C$4:$AG$4,"3"))</f>
        <v>2</v>
      </c>
      <c r="AO46" s="283" cm="1">
        <f t="array" ref="AO46">SUM(COUNTIFS($C46:$AG46,{"1","2","3"}))</f>
        <v>17</v>
      </c>
      <c r="AP46" s="283" cm="1">
        <f t="array" ref="AP46">SUM(COUNTIFS($C46:$AG46,{"4","5","6"}))</f>
        <v>4</v>
      </c>
      <c r="AQ46" s="283">
        <f>AK46*'Spreadsheet Key'!$A$23 + AL46*'Spreadsheet Key'!$A$24 + AM46*'Spreadsheet Key'!$A$25 + AN46*'Spreadsheet Key'!$A$26</f>
        <v>640</v>
      </c>
      <c r="AR46" s="283">
        <f>AJ46/('MAY Statistics'!$B$30)*ABS(AI46-1)</f>
        <v>2.4305555555555556E-2</v>
      </c>
      <c r="AS46" s="283">
        <f t="shared" ref="AS46" si="34">AI46*AT46</f>
        <v>0</v>
      </c>
      <c r="AT46" s="3228">
        <f>AR46*'MAY Statistics'!$C$11</f>
        <v>29.930347222222224</v>
      </c>
      <c r="AU46" s="283"/>
      <c r="AV46" s="283">
        <f t="shared" si="0"/>
        <v>0</v>
      </c>
      <c r="AW46" s="283">
        <f t="shared" si="1"/>
        <v>0</v>
      </c>
      <c r="AX46" s="283">
        <f t="shared" si="2"/>
        <v>0</v>
      </c>
      <c r="AY46" s="283" cm="1">
        <f t="array" ref="AY46">COUNTIFS($C46:$AG46,"9",$C$4:$AG$4,"1")+SUM(COUNTIFS($C46:$AG46,{"8","9"},$C$4:$AG$4,"2"))+COUNTIFS($C46:$AG46,"8",$C$4:$AG$4,"3")</f>
        <v>1</v>
      </c>
      <c r="AZ46" s="283">
        <f t="shared" si="3"/>
        <v>0</v>
      </c>
      <c r="BA46" s="283">
        <f t="shared" si="4"/>
        <v>1</v>
      </c>
      <c r="BB46" s="283">
        <f>AV46*'Spreadsheet Key'!$A$27+AW46*'Spreadsheet Key'!$A$28+AX46*'Spreadsheet Key'!$A$29+AY46*'Spreadsheet Key'!$A$30+AZ46*'Spreadsheet Key'!$A$31</f>
        <v>36</v>
      </c>
      <c r="BC46" s="283"/>
      <c r="BD46" s="283">
        <f t="shared" ref="BD46" si="35">AT46-BB46</f>
        <v>-6.069652777777776</v>
      </c>
      <c r="BE46" s="3210"/>
      <c r="BF46" s="3210"/>
      <c r="BG46" s="3210"/>
      <c r="BH46" s="3210"/>
    </row>
    <row r="47" spans="1:60">
      <c r="A47" s="3208"/>
      <c r="B47" s="3208"/>
      <c r="C47" s="3095"/>
      <c r="D47" s="2287"/>
      <c r="E47" s="2287"/>
      <c r="F47" s="3010" t="s">
        <v>1025</v>
      </c>
      <c r="G47" s="6300" t="s">
        <v>1279</v>
      </c>
      <c r="H47" s="6300"/>
      <c r="I47" s="6300"/>
      <c r="J47" s="6300"/>
      <c r="K47" s="6300"/>
      <c r="L47" s="6300"/>
      <c r="M47" s="6300"/>
      <c r="N47" s="6300"/>
      <c r="O47" s="6300"/>
      <c r="P47" s="6300"/>
      <c r="Q47" s="6300"/>
      <c r="R47" s="6300"/>
      <c r="S47" s="3010" t="s">
        <v>1025</v>
      </c>
      <c r="T47" s="779"/>
      <c r="U47" s="779"/>
      <c r="V47" s="779"/>
      <c r="W47" s="2434"/>
      <c r="X47" s="779"/>
      <c r="Y47" s="779"/>
      <c r="Z47" s="2434" t="s">
        <v>720</v>
      </c>
      <c r="AA47" s="779"/>
      <c r="AB47" s="779"/>
      <c r="AC47" s="779"/>
      <c r="AD47" s="2434" t="s">
        <v>722</v>
      </c>
      <c r="AE47" s="779"/>
      <c r="AF47" s="779"/>
      <c r="AG47" s="2444"/>
      <c r="AH47" s="3126"/>
      <c r="AI47" s="3226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3228"/>
      <c r="AU47" s="283"/>
      <c r="AV47" s="283">
        <f t="shared" si="0"/>
        <v>0</v>
      </c>
      <c r="AW47" s="283">
        <f t="shared" si="1"/>
        <v>0</v>
      </c>
      <c r="AX47" s="283">
        <f t="shared" si="2"/>
        <v>0</v>
      </c>
      <c r="AY47" s="283" cm="1">
        <f t="array" ref="AY47">COUNTIFS($C47:$AG47,"9",$C$4:$AG$4,"1")+SUM(COUNTIFS($C47:$AG47,{"8","9"},$C$4:$AG$4,"2"))+COUNTIFS($C47:$AG47,"8",$C$4:$AG$4,"3")</f>
        <v>0</v>
      </c>
      <c r="AZ47" s="283">
        <f t="shared" si="3"/>
        <v>0</v>
      </c>
      <c r="BA47" s="283">
        <f t="shared" si="4"/>
        <v>0</v>
      </c>
      <c r="BB47" s="283">
        <f>AV47*'Spreadsheet Key'!$A$27+AW47*'Spreadsheet Key'!$A$28+AX47*'Spreadsheet Key'!$A$29+AY47*'Spreadsheet Key'!$A$30+AZ47*'Spreadsheet Key'!$A$31</f>
        <v>0</v>
      </c>
      <c r="BC47" s="283"/>
      <c r="BD47" s="283"/>
      <c r="BE47" s="283"/>
      <c r="BF47" s="283"/>
      <c r="BG47" s="283"/>
      <c r="BH47" s="283"/>
    </row>
    <row r="48" spans="1:60" s="3211" customFormat="1">
      <c r="A48" s="3180" t="s">
        <v>739</v>
      </c>
      <c r="B48" s="3180" t="s">
        <v>740</v>
      </c>
      <c r="C48" s="3199">
        <v>0</v>
      </c>
      <c r="D48" s="3198">
        <v>0</v>
      </c>
      <c r="E48" s="3198">
        <v>0</v>
      </c>
      <c r="F48" s="3198">
        <v>1</v>
      </c>
      <c r="G48" s="3198">
        <v>2</v>
      </c>
      <c r="H48" s="3198">
        <v>2</v>
      </c>
      <c r="I48" s="3198">
        <v>2</v>
      </c>
      <c r="J48" s="3198">
        <v>2</v>
      </c>
      <c r="K48" s="3198">
        <v>2</v>
      </c>
      <c r="L48" s="3198">
        <v>2</v>
      </c>
      <c r="M48" s="3198">
        <v>2</v>
      </c>
      <c r="N48" s="3198">
        <v>2</v>
      </c>
      <c r="O48" s="3198">
        <v>2</v>
      </c>
      <c r="P48" s="3198">
        <v>2</v>
      </c>
      <c r="Q48" s="3198">
        <v>2</v>
      </c>
      <c r="R48" s="3198">
        <v>2</v>
      </c>
      <c r="S48" s="3198">
        <v>3</v>
      </c>
      <c r="T48" s="3198">
        <v>0</v>
      </c>
      <c r="U48" s="3198">
        <v>0</v>
      </c>
      <c r="V48" s="3198">
        <v>0</v>
      </c>
      <c r="W48" s="3198">
        <v>0</v>
      </c>
      <c r="X48" s="3198">
        <v>0</v>
      </c>
      <c r="Y48" s="3198">
        <v>0</v>
      </c>
      <c r="Z48" s="3198">
        <v>8</v>
      </c>
      <c r="AA48" s="3198">
        <v>0</v>
      </c>
      <c r="AB48" s="3198">
        <v>0</v>
      </c>
      <c r="AC48" s="3198">
        <v>0</v>
      </c>
      <c r="AD48" s="3198">
        <v>9</v>
      </c>
      <c r="AE48" s="3198">
        <v>0</v>
      </c>
      <c r="AF48" s="3198">
        <v>0</v>
      </c>
      <c r="AG48" s="3198">
        <v>0</v>
      </c>
      <c r="AH48" s="3209"/>
      <c r="AI48" s="3226">
        <v>0</v>
      </c>
      <c r="AJ48" s="283" cm="1">
        <f t="array" ref="AJ48">SUM(COUNTIFS($C48:$AG48,{"0","4","5","6","7","8","9"}))</f>
        <v>17</v>
      </c>
      <c r="AK48" s="283" cm="1">
        <f t="array" ref="AK48">SUM(COUNTIFS($C48:$AG48,{"0","4","5","6","7","8","9"},$C$4:$AG$4,"0"))</f>
        <v>7</v>
      </c>
      <c r="AL48" s="283" cm="1">
        <f t="array" ref="AL48">SUM(COUNTIFS($C48:$AG48,{"0","4","5","6","7","8","9"},$C$4:$AG$4,"1"))</f>
        <v>3</v>
      </c>
      <c r="AM48" s="283" cm="1">
        <f t="array" ref="AM48">SUM(COUNTIFS($C48:$AG48,{"0","4","5","6","7","8","9"},$C$4:$AG$4,"2"))</f>
        <v>5</v>
      </c>
      <c r="AN48" s="283" cm="1">
        <f t="array" ref="AN48">SUM(COUNTIFS($C48:$AG48,{"0","4","5","6","7","8","9"},$C$4:$AG$4,"3"))</f>
        <v>2</v>
      </c>
      <c r="AO48" s="283" cm="1">
        <f t="array" ref="AO48">SUM(COUNTIFS($C48:$AG48,{"1","2","3"}))</f>
        <v>14</v>
      </c>
      <c r="AP48" s="283" cm="1">
        <f t="array" ref="AP48">SUM(COUNTIFS($C48:$AG48,{"4","5","6"}))</f>
        <v>0</v>
      </c>
      <c r="AQ48" s="283">
        <f>AK48*'Spreadsheet Key'!$A$23 + AL48*'Spreadsheet Key'!$A$24 + AM48*'Spreadsheet Key'!$A$25 + AN48*'Spreadsheet Key'!$A$26</f>
        <v>788</v>
      </c>
      <c r="AR48" s="283">
        <f>AJ48/('MAY Statistics'!$B$30)*ABS(AI48-1)</f>
        <v>2.9513888888888888E-2</v>
      </c>
      <c r="AS48" s="283">
        <f t="shared" si="5"/>
        <v>0</v>
      </c>
      <c r="AT48" s="3228">
        <f>AR48*'MAY Statistics'!$C$11</f>
        <v>36.343993055555558</v>
      </c>
      <c r="AU48" s="283"/>
      <c r="AV48" s="283">
        <f t="shared" si="0"/>
        <v>0</v>
      </c>
      <c r="AW48" s="283">
        <f t="shared" si="1"/>
        <v>1</v>
      </c>
      <c r="AX48" s="283">
        <f t="shared" si="2"/>
        <v>0</v>
      </c>
      <c r="AY48" s="283" cm="1">
        <f t="array" ref="AY48">COUNTIFS($C48:$AG48,"9",$C$4:$AG$4,"1")+SUM(COUNTIFS($C48:$AG48,{"8","9"},$C$4:$AG$4,"2"))+COUNTIFS($C48:$AG48,"8",$C$4:$AG$4,"3")</f>
        <v>1</v>
      </c>
      <c r="AZ48" s="283">
        <f t="shared" si="3"/>
        <v>0</v>
      </c>
      <c r="BA48" s="283">
        <f t="shared" si="4"/>
        <v>2</v>
      </c>
      <c r="BB48" s="283">
        <f>AV48*'Spreadsheet Key'!$A$27+AW48*'Spreadsheet Key'!$A$28+AX48*'Spreadsheet Key'!$A$29+AY48*'Spreadsheet Key'!$A$30+AZ48*'Spreadsheet Key'!$A$31</f>
        <v>48</v>
      </c>
      <c r="BC48" s="283"/>
      <c r="BD48" s="283">
        <f t="shared" ref="BD48" si="36">AT48-BB48</f>
        <v>-11.656006944444442</v>
      </c>
      <c r="BE48" s="3210"/>
      <c r="BF48" s="3210"/>
      <c r="BG48" s="3210"/>
      <c r="BH48" s="3210"/>
    </row>
    <row r="49" spans="1:60">
      <c r="A49" s="3208"/>
      <c r="B49" s="3208"/>
      <c r="C49" s="3222"/>
      <c r="D49" s="2879"/>
      <c r="E49" s="2879"/>
      <c r="F49" s="2599" t="s">
        <v>1025</v>
      </c>
      <c r="G49" s="6319" t="s">
        <v>1279</v>
      </c>
      <c r="H49" s="6319"/>
      <c r="I49" s="6319"/>
      <c r="J49" s="6319"/>
      <c r="K49" s="6319"/>
      <c r="L49" s="6319"/>
      <c r="M49" s="6319"/>
      <c r="N49" s="6319"/>
      <c r="O49" s="6319"/>
      <c r="P49" s="6319"/>
      <c r="Q49" s="6319"/>
      <c r="R49" s="6319"/>
      <c r="S49" s="2599" t="s">
        <v>1025</v>
      </c>
      <c r="T49" s="321"/>
      <c r="U49" s="2443" t="s">
        <v>722</v>
      </c>
      <c r="V49" s="321"/>
      <c r="W49" s="321"/>
      <c r="X49" s="321"/>
      <c r="Y49" s="4333" t="s">
        <v>1293</v>
      </c>
      <c r="Z49" s="4411"/>
      <c r="AA49" s="4411"/>
      <c r="AB49" s="4334"/>
      <c r="AC49" s="2434" t="s">
        <v>722</v>
      </c>
      <c r="AD49" s="321"/>
      <c r="AE49" s="321"/>
      <c r="AF49" s="321"/>
      <c r="AG49" s="322"/>
      <c r="AH49" s="3126"/>
      <c r="AI49" s="3226"/>
      <c r="AJ49" s="283"/>
      <c r="AK49" s="283"/>
      <c r="AL49" s="283"/>
      <c r="AM49" s="283"/>
      <c r="AN49" s="283"/>
      <c r="AO49" s="283"/>
      <c r="AP49" s="283"/>
      <c r="AQ49" s="283"/>
      <c r="AR49" s="283"/>
      <c r="AS49" s="283"/>
      <c r="AT49" s="3228"/>
      <c r="AU49" s="283"/>
      <c r="AV49" s="283">
        <f t="shared" si="0"/>
        <v>0</v>
      </c>
      <c r="AW49" s="283">
        <f t="shared" si="1"/>
        <v>0</v>
      </c>
      <c r="AX49" s="283">
        <f t="shared" si="2"/>
        <v>0</v>
      </c>
      <c r="AY49" s="283" cm="1">
        <f t="array" ref="AY49">COUNTIFS($C49:$AG49,"9",$C$4:$AG$4,"1")+SUM(COUNTIFS($C49:$AG49,{"8","9"},$C$4:$AG$4,"2"))+COUNTIFS($C49:$AG49,"8",$C$4:$AG$4,"3")</f>
        <v>0</v>
      </c>
      <c r="AZ49" s="283">
        <f t="shared" si="3"/>
        <v>0</v>
      </c>
      <c r="BA49" s="283">
        <f t="shared" si="4"/>
        <v>0</v>
      </c>
      <c r="BB49" s="283">
        <f>AV49*'Spreadsheet Key'!$A$27+AW49*'Spreadsheet Key'!$A$28+AX49*'Spreadsheet Key'!$A$29+AY49*'Spreadsheet Key'!$A$30+AZ49*'Spreadsheet Key'!$A$31</f>
        <v>0</v>
      </c>
      <c r="BC49" s="283"/>
      <c r="BD49" s="283"/>
      <c r="BE49" s="283"/>
      <c r="BF49" s="283"/>
      <c r="BG49" s="283"/>
      <c r="BH49" s="283"/>
    </row>
    <row r="50" spans="1:60" s="3211" customFormat="1">
      <c r="A50" s="3180" t="s">
        <v>108</v>
      </c>
      <c r="B50" s="3180" t="s">
        <v>1106</v>
      </c>
      <c r="C50" s="3199">
        <v>0</v>
      </c>
      <c r="D50" s="3198">
        <v>0</v>
      </c>
      <c r="E50" s="3198">
        <v>0</v>
      </c>
      <c r="F50" s="3198">
        <v>1</v>
      </c>
      <c r="G50" s="3198">
        <v>2</v>
      </c>
      <c r="H50" s="3198">
        <v>2</v>
      </c>
      <c r="I50" s="3198">
        <v>2</v>
      </c>
      <c r="J50" s="3198">
        <v>2</v>
      </c>
      <c r="K50" s="3198">
        <v>2</v>
      </c>
      <c r="L50" s="3198">
        <v>2</v>
      </c>
      <c r="M50" s="3198">
        <v>2</v>
      </c>
      <c r="N50" s="3198">
        <v>2</v>
      </c>
      <c r="O50" s="3198">
        <v>2</v>
      </c>
      <c r="P50" s="3198">
        <v>2</v>
      </c>
      <c r="Q50" s="3198">
        <v>2</v>
      </c>
      <c r="R50" s="3198">
        <v>2</v>
      </c>
      <c r="S50" s="3198">
        <v>3</v>
      </c>
      <c r="T50" s="3198">
        <v>0</v>
      </c>
      <c r="U50" s="3198">
        <v>9</v>
      </c>
      <c r="V50" s="3198">
        <v>0</v>
      </c>
      <c r="W50" s="3198">
        <v>0</v>
      </c>
      <c r="X50" s="3198">
        <v>0</v>
      </c>
      <c r="Y50" s="3198">
        <v>4</v>
      </c>
      <c r="Z50" s="3198">
        <v>5</v>
      </c>
      <c r="AA50" s="3198">
        <v>5</v>
      </c>
      <c r="AB50" s="3198">
        <v>6</v>
      </c>
      <c r="AC50" s="3198">
        <v>9</v>
      </c>
      <c r="AD50" s="3198">
        <v>0</v>
      </c>
      <c r="AE50" s="3198">
        <v>0</v>
      </c>
      <c r="AF50" s="3198">
        <v>0</v>
      </c>
      <c r="AG50" s="3198">
        <v>0</v>
      </c>
      <c r="AH50" s="3209"/>
      <c r="AI50" s="3226">
        <v>0</v>
      </c>
      <c r="AJ50" s="283" cm="1">
        <f t="array" ref="AJ50">SUM(COUNTIFS($C50:$AG50,{"0","4","5","6","7","8","9"}))</f>
        <v>17</v>
      </c>
      <c r="AK50" s="283" cm="1">
        <f t="array" ref="AK50">SUM(COUNTIFS($C50:$AG50,{"0","4","5","6","7","8","9"},$C$4:$AG$4,"0"))</f>
        <v>7</v>
      </c>
      <c r="AL50" s="283" cm="1">
        <f t="array" ref="AL50">SUM(COUNTIFS($C50:$AG50,{"0","4","5","6","7","8","9"},$C$4:$AG$4,"1"))</f>
        <v>3</v>
      </c>
      <c r="AM50" s="283" cm="1">
        <f t="array" ref="AM50">SUM(COUNTIFS($C50:$AG50,{"0","4","5","6","7","8","9"},$C$4:$AG$4,"2"))</f>
        <v>5</v>
      </c>
      <c r="AN50" s="283" cm="1">
        <f t="array" ref="AN50">SUM(COUNTIFS($C50:$AG50,{"0","4","5","6","7","8","9"},$C$4:$AG$4,"3"))</f>
        <v>2</v>
      </c>
      <c r="AO50" s="283" cm="1">
        <f t="array" ref="AO50">SUM(COUNTIFS($C50:$AG50,{"1","2","3"}))</f>
        <v>14</v>
      </c>
      <c r="AP50" s="283" cm="1">
        <f t="array" ref="AP50">SUM(COUNTIFS($C50:$AG50,{"4","5","6"}))</f>
        <v>4</v>
      </c>
      <c r="AQ50" s="283">
        <f>AK50*'Spreadsheet Key'!$A$23 + AL50*'Spreadsheet Key'!$A$24 + AM50*'Spreadsheet Key'!$A$25 + AN50*'Spreadsheet Key'!$A$26</f>
        <v>788</v>
      </c>
      <c r="AR50" s="283">
        <f>AJ50/('MAY Statistics'!$B$30)*ABS(AI50-1)</f>
        <v>2.9513888888888888E-2</v>
      </c>
      <c r="AS50" s="283">
        <f t="shared" ref="AS50" si="37">AI50*AT50</f>
        <v>0</v>
      </c>
      <c r="AT50" s="3228">
        <f>AR50*'MAY Statistics'!$C$11</f>
        <v>36.343993055555558</v>
      </c>
      <c r="AU50" s="283"/>
      <c r="AV50" s="283">
        <f t="shared" si="0"/>
        <v>0</v>
      </c>
      <c r="AW50" s="283">
        <f t="shared" si="1"/>
        <v>2</v>
      </c>
      <c r="AX50" s="283">
        <f t="shared" si="2"/>
        <v>0</v>
      </c>
      <c r="AY50" s="283" cm="1">
        <f t="array" ref="AY50">COUNTIFS($C50:$AG50,"9",$C$4:$AG$4,"1")+SUM(COUNTIFS($C50:$AG50,{"8","9"},$C$4:$AG$4,"2"))+COUNTIFS($C50:$AG50,"8",$C$4:$AG$4,"3")</f>
        <v>0</v>
      </c>
      <c r="AZ50" s="283">
        <f t="shared" si="3"/>
        <v>0</v>
      </c>
      <c r="BA50" s="283">
        <f t="shared" si="4"/>
        <v>2</v>
      </c>
      <c r="BB50" s="283">
        <f>AV50*'Spreadsheet Key'!$A$27+AW50*'Spreadsheet Key'!$A$28+AX50*'Spreadsheet Key'!$A$29+AY50*'Spreadsheet Key'!$A$30+AZ50*'Spreadsheet Key'!$A$31</f>
        <v>24</v>
      </c>
      <c r="BC50" s="283"/>
      <c r="BD50" s="283">
        <f t="shared" ref="BD50" si="38">AT50-BB50</f>
        <v>12.343993055555558</v>
      </c>
      <c r="BE50" s="3210"/>
      <c r="BF50" s="3210"/>
      <c r="BG50" s="3210"/>
      <c r="BH50" s="3210"/>
    </row>
    <row r="51" spans="1:60">
      <c r="A51" s="3208"/>
      <c r="B51" s="3208"/>
      <c r="C51" s="778"/>
      <c r="D51" s="778"/>
      <c r="E51" s="2437" t="s">
        <v>720</v>
      </c>
      <c r="F51" s="776"/>
      <c r="G51" s="776"/>
      <c r="H51" s="3019" t="s">
        <v>1025</v>
      </c>
      <c r="I51" s="4593" t="s">
        <v>1280</v>
      </c>
      <c r="J51" s="4593"/>
      <c r="K51" s="3019" t="s">
        <v>1025</v>
      </c>
      <c r="L51" s="2705"/>
      <c r="M51" s="2437"/>
      <c r="N51" s="2434" t="s">
        <v>722</v>
      </c>
      <c r="O51" s="776"/>
      <c r="P51" s="776"/>
      <c r="Q51" s="776"/>
      <c r="R51" s="776"/>
      <c r="S51" s="776"/>
      <c r="T51" s="778"/>
      <c r="U51" s="778"/>
      <c r="V51" s="778"/>
      <c r="W51" s="778"/>
      <c r="X51" s="778"/>
      <c r="Y51" s="778"/>
      <c r="Z51" s="778"/>
      <c r="AA51" s="778"/>
      <c r="AB51" s="778"/>
      <c r="AC51" s="778"/>
      <c r="AD51" s="778"/>
      <c r="AE51" s="778"/>
      <c r="AF51" s="778"/>
      <c r="AG51" s="805"/>
      <c r="AH51" s="3126"/>
      <c r="AI51" s="3226"/>
      <c r="AJ51" s="283"/>
      <c r="AK51" s="283"/>
      <c r="AL51" s="283"/>
      <c r="AM51" s="283"/>
      <c r="AN51" s="283"/>
      <c r="AO51" s="283"/>
      <c r="AP51" s="283"/>
      <c r="AQ51" s="283"/>
      <c r="AR51" s="283"/>
      <c r="AS51" s="283"/>
      <c r="AT51" s="3228"/>
      <c r="AU51" s="283"/>
      <c r="AV51" s="283">
        <f t="shared" si="0"/>
        <v>0</v>
      </c>
      <c r="AW51" s="283">
        <f t="shared" si="1"/>
        <v>0</v>
      </c>
      <c r="AX51" s="283">
        <f t="shared" si="2"/>
        <v>0</v>
      </c>
      <c r="AY51" s="283" cm="1">
        <f t="array" ref="AY51">COUNTIFS($C51:$AG51,"9",$C$4:$AG$4,"1")+SUM(COUNTIFS($C51:$AG51,{"8","9"},$C$4:$AG$4,"2"))+COUNTIFS($C51:$AG51,"8",$C$4:$AG$4,"3")</f>
        <v>0</v>
      </c>
      <c r="AZ51" s="283">
        <f t="shared" si="3"/>
        <v>0</v>
      </c>
      <c r="BA51" s="283">
        <f t="shared" si="4"/>
        <v>0</v>
      </c>
      <c r="BB51" s="283">
        <f>AV51*'Spreadsheet Key'!$A$27+AW51*'Spreadsheet Key'!$A$28+AX51*'Spreadsheet Key'!$A$29+AY51*'Spreadsheet Key'!$A$30+AZ51*'Spreadsheet Key'!$A$31</f>
        <v>0</v>
      </c>
      <c r="BC51" s="283"/>
      <c r="BD51" s="283"/>
      <c r="BE51" s="283"/>
      <c r="BF51" s="283"/>
      <c r="BG51" s="283"/>
      <c r="BH51" s="283"/>
    </row>
    <row r="52" spans="1:60" s="3211" customFormat="1">
      <c r="A52" s="3180" t="s">
        <v>145</v>
      </c>
      <c r="B52" s="3180" t="s">
        <v>148</v>
      </c>
      <c r="C52" s="3199">
        <v>0</v>
      </c>
      <c r="D52" s="3198">
        <v>0</v>
      </c>
      <c r="E52" s="3198">
        <v>8</v>
      </c>
      <c r="F52" s="3198">
        <v>0</v>
      </c>
      <c r="G52" s="3198">
        <v>0</v>
      </c>
      <c r="H52" s="3198">
        <v>1</v>
      </c>
      <c r="I52" s="3198">
        <v>2</v>
      </c>
      <c r="J52" s="3198">
        <v>2</v>
      </c>
      <c r="K52" s="3198">
        <v>3</v>
      </c>
      <c r="L52" s="3263">
        <v>0</v>
      </c>
      <c r="M52" s="3198">
        <v>0</v>
      </c>
      <c r="N52" s="3198">
        <v>9</v>
      </c>
      <c r="O52" s="3198">
        <v>0</v>
      </c>
      <c r="P52" s="3198">
        <v>0</v>
      </c>
      <c r="Q52" s="3198">
        <v>0</v>
      </c>
      <c r="R52" s="3198">
        <v>0</v>
      </c>
      <c r="S52" s="3198">
        <v>0</v>
      </c>
      <c r="T52" s="3198">
        <v>0</v>
      </c>
      <c r="U52" s="3198">
        <v>0</v>
      </c>
      <c r="V52" s="3198">
        <v>0</v>
      </c>
      <c r="W52" s="3198">
        <v>0</v>
      </c>
      <c r="X52" s="3198">
        <v>0</v>
      </c>
      <c r="Y52" s="3198">
        <v>0</v>
      </c>
      <c r="Z52" s="3198">
        <v>0</v>
      </c>
      <c r="AA52" s="3198">
        <v>0</v>
      </c>
      <c r="AB52" s="3198">
        <v>0</v>
      </c>
      <c r="AC52" s="3198">
        <v>0</v>
      </c>
      <c r="AD52" s="3198">
        <v>0</v>
      </c>
      <c r="AE52" s="3198">
        <v>0</v>
      </c>
      <c r="AF52" s="3198">
        <v>0</v>
      </c>
      <c r="AG52" s="3198">
        <v>0</v>
      </c>
      <c r="AH52" s="3209"/>
      <c r="AI52" s="3226">
        <v>0</v>
      </c>
      <c r="AJ52" s="283" cm="1">
        <f t="array" ref="AJ52">SUM(COUNTIFS($C52:$AG52,{"0","4","5","6","7","8","9"}))</f>
        <v>27</v>
      </c>
      <c r="AK52" s="283" cm="1">
        <f t="array" ref="AK52">SUM(COUNTIFS($C52:$AG52,{"0","4","5","6","7","8","9"},$C$4:$AG$4,"0"))</f>
        <v>12</v>
      </c>
      <c r="AL52" s="283" cm="1">
        <f t="array" ref="AL52">SUM(COUNTIFS($C52:$AG52,{"0","4","5","6","7","8","9"},$C$4:$AG$4,"1"))</f>
        <v>4</v>
      </c>
      <c r="AM52" s="283" cm="1">
        <f t="array" ref="AM52">SUM(COUNTIFS($C52:$AG52,{"0","4","5","6","7","8","9"},$C$4:$AG$4,"2"))</f>
        <v>7</v>
      </c>
      <c r="AN52" s="283" cm="1">
        <f t="array" ref="AN52">SUM(COUNTIFS($C52:$AG52,{"0","4","5","6","7","8","9"},$C$4:$AG$4,"3"))</f>
        <v>4</v>
      </c>
      <c r="AO52" s="283" cm="1">
        <f t="array" ref="AO52">SUM(COUNTIFS($C52:$AG52,{"1","2","3"}))</f>
        <v>4</v>
      </c>
      <c r="AP52" s="283" cm="1">
        <f t="array" ref="AP52">SUM(COUNTIFS($C52:$AG52,{"4","5","6"}))</f>
        <v>0</v>
      </c>
      <c r="AQ52" s="283">
        <f>AK52*'Spreadsheet Key'!$A$23 + AL52*'Spreadsheet Key'!$A$24 + AM52*'Spreadsheet Key'!$A$25 + AN52*'Spreadsheet Key'!$A$26</f>
        <v>1208</v>
      </c>
      <c r="AR52" s="283">
        <f>AJ52/('MAY Statistics'!$B$30)*ABS(AI52-1)</f>
        <v>4.6875E-2</v>
      </c>
      <c r="AS52" s="283">
        <f t="shared" si="5"/>
        <v>0</v>
      </c>
      <c r="AT52" s="3228">
        <f>AR52*'MAY Statistics'!$C$11</f>
        <v>57.722812500000003</v>
      </c>
      <c r="AU52" s="283"/>
      <c r="AV52" s="283">
        <f t="shared" si="0"/>
        <v>0</v>
      </c>
      <c r="AW52" s="283">
        <f t="shared" si="1"/>
        <v>1</v>
      </c>
      <c r="AX52" s="283">
        <f t="shared" si="2"/>
        <v>0</v>
      </c>
      <c r="AY52" s="283" cm="1">
        <f t="array" ref="AY52">COUNTIFS($C52:$AG52,"9",$C$4:$AG$4,"1")+SUM(COUNTIFS($C52:$AG52,{"8","9"},$C$4:$AG$4,"2"))+COUNTIFS($C52:$AG52,"8",$C$4:$AG$4,"3")</f>
        <v>1</v>
      </c>
      <c r="AZ52" s="283">
        <f t="shared" si="3"/>
        <v>0</v>
      </c>
      <c r="BA52" s="283">
        <f t="shared" si="4"/>
        <v>2</v>
      </c>
      <c r="BB52" s="283">
        <f>AV52*'Spreadsheet Key'!$A$27+AW52*'Spreadsheet Key'!$A$28+AX52*'Spreadsheet Key'!$A$29+AY52*'Spreadsheet Key'!$A$30+AZ52*'Spreadsheet Key'!$A$31</f>
        <v>48</v>
      </c>
      <c r="BC52" s="283"/>
      <c r="BD52" s="283">
        <f t="shared" ref="BD52" si="39">AT52-BB52</f>
        <v>9.7228125000000034</v>
      </c>
      <c r="BE52" s="3210"/>
      <c r="BF52" s="3210"/>
      <c r="BG52" s="3210"/>
      <c r="BH52" s="3210"/>
    </row>
    <row r="53" spans="1:60">
      <c r="A53" s="3208"/>
      <c r="B53" s="3208"/>
      <c r="C53" s="3010" t="s">
        <v>1025</v>
      </c>
      <c r="D53" s="6302" t="s">
        <v>1279</v>
      </c>
      <c r="E53" s="6303"/>
      <c r="F53" s="6303"/>
      <c r="G53" s="6303"/>
      <c r="H53" s="6303"/>
      <c r="I53" s="6303"/>
      <c r="J53" s="6303"/>
      <c r="K53" s="6303"/>
      <c r="L53" s="6303"/>
      <c r="M53" s="6303"/>
      <c r="N53" s="6303"/>
      <c r="O53" s="6303"/>
      <c r="P53" s="6303"/>
      <c r="Q53" s="6303"/>
      <c r="R53" s="6304"/>
      <c r="S53" s="3010" t="s">
        <v>1025</v>
      </c>
      <c r="T53" s="779"/>
      <c r="U53" s="779"/>
      <c r="V53" s="779"/>
      <c r="W53" s="2434" t="s">
        <v>722</v>
      </c>
      <c r="X53" s="779"/>
      <c r="Y53" s="779"/>
      <c r="Z53" s="2434"/>
      <c r="AA53" s="779"/>
      <c r="AB53" s="2434" t="s">
        <v>722</v>
      </c>
      <c r="AC53" s="2434"/>
      <c r="AD53" s="779"/>
      <c r="AE53" s="779"/>
      <c r="AF53" s="779"/>
      <c r="AG53" s="804"/>
      <c r="AH53" s="3126"/>
      <c r="AI53" s="3226"/>
      <c r="AJ53" s="283"/>
      <c r="AK53" s="283"/>
      <c r="AL53" s="283"/>
      <c r="AM53" s="283"/>
      <c r="AN53" s="283"/>
      <c r="AO53" s="283"/>
      <c r="AP53" s="283"/>
      <c r="AQ53" s="283"/>
      <c r="AR53" s="283"/>
      <c r="AS53" s="283"/>
      <c r="AT53" s="3228"/>
      <c r="AU53" s="283"/>
      <c r="AV53" s="283">
        <f t="shared" si="0"/>
        <v>0</v>
      </c>
      <c r="AW53" s="283">
        <f t="shared" si="1"/>
        <v>0</v>
      </c>
      <c r="AX53" s="283">
        <f t="shared" si="2"/>
        <v>0</v>
      </c>
      <c r="AY53" s="283" cm="1">
        <f t="array" ref="AY53">COUNTIFS($C53:$AG53,"9",$C$4:$AG$4,"1")+SUM(COUNTIFS($C53:$AG53,{"8","9"},$C$4:$AG$4,"2"))+COUNTIFS($C53:$AG53,"8",$C$4:$AG$4,"3")</f>
        <v>0</v>
      </c>
      <c r="AZ53" s="283">
        <f t="shared" si="3"/>
        <v>0</v>
      </c>
      <c r="BA53" s="283">
        <f t="shared" si="4"/>
        <v>0</v>
      </c>
      <c r="BB53" s="283">
        <f>AV53*'Spreadsheet Key'!$A$27+AW53*'Spreadsheet Key'!$A$28+AX53*'Spreadsheet Key'!$A$29+AY53*'Spreadsheet Key'!$A$30+AZ53*'Spreadsheet Key'!$A$31</f>
        <v>0</v>
      </c>
      <c r="BC53" s="283"/>
      <c r="BD53" s="283"/>
      <c r="BE53" s="283"/>
      <c r="BF53" s="283"/>
      <c r="BG53" s="283"/>
      <c r="BH53" s="283"/>
    </row>
    <row r="54" spans="1:60" s="3211" customFormat="1">
      <c r="A54" s="3180" t="s">
        <v>1272</v>
      </c>
      <c r="B54" s="3180" t="s">
        <v>618</v>
      </c>
      <c r="C54" s="3199">
        <v>2</v>
      </c>
      <c r="D54" s="3199">
        <v>2</v>
      </c>
      <c r="E54" s="3199">
        <v>2</v>
      </c>
      <c r="F54" s="3199">
        <v>2</v>
      </c>
      <c r="G54" s="3199">
        <v>2</v>
      </c>
      <c r="H54" s="3199">
        <v>2</v>
      </c>
      <c r="I54" s="3199">
        <v>2</v>
      </c>
      <c r="J54" s="3199">
        <v>2</v>
      </c>
      <c r="K54" s="3199">
        <v>2</v>
      </c>
      <c r="L54" s="3199">
        <v>2</v>
      </c>
      <c r="M54" s="3199">
        <v>2</v>
      </c>
      <c r="N54" s="3199">
        <v>2</v>
      </c>
      <c r="O54" s="3199">
        <v>2</v>
      </c>
      <c r="P54" s="3199">
        <v>2</v>
      </c>
      <c r="Q54" s="3199">
        <v>2</v>
      </c>
      <c r="R54" s="3199">
        <v>2</v>
      </c>
      <c r="S54" s="3198">
        <v>3</v>
      </c>
      <c r="T54" s="3198">
        <v>0</v>
      </c>
      <c r="U54" s="3198">
        <v>0</v>
      </c>
      <c r="V54" s="3198">
        <v>0</v>
      </c>
      <c r="W54" s="3198">
        <v>9</v>
      </c>
      <c r="X54" s="3198">
        <v>0</v>
      </c>
      <c r="Y54" s="3198">
        <v>0</v>
      </c>
      <c r="Z54" s="3198">
        <v>0</v>
      </c>
      <c r="AA54" s="3198">
        <v>0</v>
      </c>
      <c r="AB54" s="3198">
        <v>9</v>
      </c>
      <c r="AC54" s="3198">
        <v>0</v>
      </c>
      <c r="AD54" s="3198">
        <v>0</v>
      </c>
      <c r="AE54" s="3198">
        <v>0</v>
      </c>
      <c r="AF54" s="3198">
        <v>0</v>
      </c>
      <c r="AG54" s="3198">
        <v>0</v>
      </c>
      <c r="AH54" s="3209"/>
      <c r="AI54" s="3226">
        <v>0</v>
      </c>
      <c r="AJ54" s="283" cm="1">
        <f t="array" ref="AJ54">SUM(COUNTIFS($C54:$AG54,{"0","4","5","6","7","8","9"}))</f>
        <v>14</v>
      </c>
      <c r="AK54" s="283" cm="1">
        <f t="array" ref="AK54">SUM(COUNTIFS($C54:$AG54,{"0","4","5","6","7","8","9"},$C$4:$AG$4,"0"))</f>
        <v>6</v>
      </c>
      <c r="AL54" s="283" cm="1">
        <f t="array" ref="AL54">SUM(COUNTIFS($C54:$AG54,{"0","4","5","6","7","8","9"},$C$4:$AG$4,"1"))</f>
        <v>2</v>
      </c>
      <c r="AM54" s="283" cm="1">
        <f t="array" ref="AM54">SUM(COUNTIFS($C54:$AG54,{"0","4","5","6","7","8","9"},$C$4:$AG$4,"2"))</f>
        <v>4</v>
      </c>
      <c r="AN54" s="283" cm="1">
        <f t="array" ref="AN54">SUM(COUNTIFS($C54:$AG54,{"0","4","5","6","7","8","9"},$C$4:$AG$4,"3"))</f>
        <v>2</v>
      </c>
      <c r="AO54" s="283" cm="1">
        <f t="array" ref="AO54">SUM(COUNTIFS($C54:$AG54,{"1","2","3"}))</f>
        <v>17</v>
      </c>
      <c r="AP54" s="283" cm="1">
        <f t="array" ref="AP54">SUM(COUNTIFS($C54:$AG54,{"4","5","6"}))</f>
        <v>0</v>
      </c>
      <c r="AQ54" s="283">
        <f>AK54*'Spreadsheet Key'!$A$23 + AL54*'Spreadsheet Key'!$A$24 + AM54*'Spreadsheet Key'!$A$25 + AN54*'Spreadsheet Key'!$A$26</f>
        <v>640</v>
      </c>
      <c r="AR54" s="283">
        <f>AJ54/('MAY Statistics'!$B$30)*ABS(AI54-1)</f>
        <v>2.4305555555555556E-2</v>
      </c>
      <c r="AS54" s="283">
        <f t="shared" ref="AS54" si="40">AI54*AT54</f>
        <v>0</v>
      </c>
      <c r="AT54" s="3228">
        <f>AR54*'MAY Statistics'!$C$11</f>
        <v>29.930347222222224</v>
      </c>
      <c r="AU54" s="283"/>
      <c r="AV54" s="283">
        <f t="shared" si="0"/>
        <v>0</v>
      </c>
      <c r="AW54" s="283">
        <f t="shared" si="1"/>
        <v>1</v>
      </c>
      <c r="AX54" s="283">
        <f t="shared" si="2"/>
        <v>0</v>
      </c>
      <c r="AY54" s="283" cm="1">
        <f t="array" ref="AY54">COUNTIFS($C54:$AG54,"9",$C$4:$AG$4,"1")+SUM(COUNTIFS($C54:$AG54,{"8","9"},$C$4:$AG$4,"2"))+COUNTIFS($C54:$AG54,"8",$C$4:$AG$4,"3")</f>
        <v>0</v>
      </c>
      <c r="AZ54" s="283">
        <f t="shared" si="3"/>
        <v>1</v>
      </c>
      <c r="BA54" s="283">
        <f t="shared" si="4"/>
        <v>2</v>
      </c>
      <c r="BB54" s="283">
        <f>AV54*'Spreadsheet Key'!$A$27+AW54*'Spreadsheet Key'!$A$28+AX54*'Spreadsheet Key'!$A$29+AY54*'Spreadsheet Key'!$A$30+AZ54*'Spreadsheet Key'!$A$31</f>
        <v>32</v>
      </c>
      <c r="BC54" s="283"/>
      <c r="BD54" s="283">
        <f t="shared" ref="BD54" si="41">AT54-BB54</f>
        <v>-2.069652777777776</v>
      </c>
    </row>
    <row r="55" spans="1:60">
      <c r="A55" s="3208"/>
      <c r="B55" s="3208"/>
      <c r="C55" s="779"/>
      <c r="D55" s="779"/>
      <c r="E55" s="2434" t="s">
        <v>722</v>
      </c>
      <c r="F55" s="2434"/>
      <c r="G55" s="779"/>
      <c r="H55" s="779"/>
      <c r="I55" s="3215" t="s">
        <v>720</v>
      </c>
      <c r="J55" s="779"/>
      <c r="K55" s="779"/>
      <c r="L55" s="2437"/>
      <c r="M55" s="779"/>
      <c r="N55" s="779"/>
      <c r="O55" s="779"/>
      <c r="P55" s="779"/>
      <c r="Q55" s="2434" t="s">
        <v>722</v>
      </c>
      <c r="R55" s="2894"/>
      <c r="S55" s="779"/>
      <c r="T55" s="779"/>
      <c r="U55" s="779"/>
      <c r="V55" s="779"/>
      <c r="W55" s="779"/>
      <c r="X55" s="779"/>
      <c r="Y55" s="779"/>
      <c r="Z55" s="779"/>
      <c r="AA55" s="779"/>
      <c r="AB55" s="779"/>
      <c r="AC55" s="779"/>
      <c r="AD55" s="779"/>
      <c r="AE55" s="779"/>
      <c r="AF55" s="779"/>
      <c r="AG55" s="804"/>
      <c r="AH55" s="3126"/>
      <c r="AI55" s="3226"/>
      <c r="AJ55" s="283"/>
      <c r="AK55" s="283"/>
      <c r="AL55" s="283"/>
      <c r="AM55" s="283"/>
      <c r="AN55" s="283"/>
      <c r="AO55" s="283"/>
      <c r="AP55" s="283"/>
      <c r="AQ55" s="283"/>
      <c r="AR55" s="283"/>
      <c r="AS55" s="283"/>
      <c r="AT55" s="3228"/>
      <c r="AU55" s="283"/>
      <c r="AV55" s="283">
        <f t="shared" si="0"/>
        <v>0</v>
      </c>
      <c r="AW55" s="283">
        <f t="shared" si="1"/>
        <v>0</v>
      </c>
      <c r="AX55" s="283">
        <f t="shared" si="2"/>
        <v>0</v>
      </c>
      <c r="AY55" s="283" cm="1">
        <f t="array" ref="AY55">COUNTIFS($C55:$AG55,"9",$C$4:$AG$4,"1")+SUM(COUNTIFS($C55:$AG55,{"8","9"},$C$4:$AG$4,"2"))+COUNTIFS($C55:$AG55,"8",$C$4:$AG$4,"3")</f>
        <v>0</v>
      </c>
      <c r="AZ55" s="283">
        <f t="shared" si="3"/>
        <v>0</v>
      </c>
      <c r="BA55" s="283">
        <f t="shared" si="4"/>
        <v>0</v>
      </c>
      <c r="BB55" s="283">
        <f>AV55*'Spreadsheet Key'!$A$27+AW55*'Spreadsheet Key'!$A$28+AX55*'Spreadsheet Key'!$A$29+AY55*'Spreadsheet Key'!$A$30+AZ55*'Spreadsheet Key'!$A$31</f>
        <v>0</v>
      </c>
      <c r="BC55" s="283"/>
      <c r="BD55" s="283"/>
    </row>
    <row r="56" spans="1:60" s="3211" customFormat="1">
      <c r="A56" s="3180" t="s">
        <v>149</v>
      </c>
      <c r="B56" s="3180" t="s">
        <v>151</v>
      </c>
      <c r="C56" s="3199">
        <v>0</v>
      </c>
      <c r="D56" s="3198">
        <v>0</v>
      </c>
      <c r="E56" s="3198">
        <v>9</v>
      </c>
      <c r="F56" s="3198">
        <v>0</v>
      </c>
      <c r="G56" s="3198">
        <v>0</v>
      </c>
      <c r="H56" s="3198">
        <v>0</v>
      </c>
      <c r="I56" s="3198">
        <v>8</v>
      </c>
      <c r="J56" s="3198">
        <v>0</v>
      </c>
      <c r="K56" s="3198">
        <v>0</v>
      </c>
      <c r="L56" s="3198">
        <v>0</v>
      </c>
      <c r="M56" s="3198">
        <v>0</v>
      </c>
      <c r="N56" s="3198">
        <v>0</v>
      </c>
      <c r="O56" s="3198">
        <v>0</v>
      </c>
      <c r="P56" s="3198">
        <v>0</v>
      </c>
      <c r="Q56" s="3198">
        <v>9</v>
      </c>
      <c r="R56" s="3198">
        <v>0</v>
      </c>
      <c r="S56" s="3198">
        <v>0</v>
      </c>
      <c r="T56" s="3198">
        <v>0</v>
      </c>
      <c r="U56" s="3198">
        <v>0</v>
      </c>
      <c r="V56" s="3198">
        <v>0</v>
      </c>
      <c r="W56" s="3198">
        <v>0</v>
      </c>
      <c r="X56" s="3198">
        <v>0</v>
      </c>
      <c r="Y56" s="3198">
        <v>0</v>
      </c>
      <c r="Z56" s="3198">
        <v>0</v>
      </c>
      <c r="AA56" s="3198">
        <v>0</v>
      </c>
      <c r="AB56" s="3198">
        <v>0</v>
      </c>
      <c r="AC56" s="3198">
        <v>0</v>
      </c>
      <c r="AD56" s="3198">
        <v>0</v>
      </c>
      <c r="AE56" s="3198">
        <v>0</v>
      </c>
      <c r="AF56" s="3198">
        <v>0</v>
      </c>
      <c r="AG56" s="3198">
        <v>0</v>
      </c>
      <c r="AH56" s="3209"/>
      <c r="AI56" s="3226">
        <v>0</v>
      </c>
      <c r="AJ56" s="283" cm="1">
        <f t="array" ref="AJ56">SUM(COUNTIFS($C56:$AG56,{"0","4","5","6","7","8","9"}))</f>
        <v>31</v>
      </c>
      <c r="AK56" s="283" cm="1">
        <f t="array" ref="AK56">SUM(COUNTIFS($C56:$AG56,{"0","4","5","6","7","8","9"},$C$4:$AG$4,"0"))</f>
        <v>15</v>
      </c>
      <c r="AL56" s="283" cm="1">
        <f t="array" ref="AL56">SUM(COUNTIFS($C56:$AG56,{"0","4","5","6","7","8","9"},$C$4:$AG$4,"1"))</f>
        <v>5</v>
      </c>
      <c r="AM56" s="283" cm="1">
        <f t="array" ref="AM56">SUM(COUNTIFS($C56:$AG56,{"0","4","5","6","7","8","9"},$C$4:$AG$4,"2"))</f>
        <v>7</v>
      </c>
      <c r="AN56" s="283" cm="1">
        <f t="array" ref="AN56">SUM(COUNTIFS($C56:$AG56,{"0","4","5","6","7","8","9"},$C$4:$AG$4,"3"))</f>
        <v>4</v>
      </c>
      <c r="AO56" s="283" cm="1">
        <f t="array" ref="AO56">SUM(COUNTIFS($C56:$AG56,{"1","2","3"}))</f>
        <v>0</v>
      </c>
      <c r="AP56" s="283" cm="1">
        <f t="array" ref="AP56">SUM(COUNTIFS($C56:$AG56,{"4","5","6"}))</f>
        <v>0</v>
      </c>
      <c r="AQ56" s="283">
        <f>AK56*'Spreadsheet Key'!$A$23 + AL56*'Spreadsheet Key'!$A$24 + AM56*'Spreadsheet Key'!$A$25 + AN56*'Spreadsheet Key'!$A$26</f>
        <v>1328</v>
      </c>
      <c r="AR56" s="283">
        <f>AJ56/('MAY Statistics'!$B$30)*ABS(AI56-1)</f>
        <v>5.3819444444444448E-2</v>
      </c>
      <c r="AS56" s="283">
        <f t="shared" si="5"/>
        <v>0</v>
      </c>
      <c r="AT56" s="3228">
        <f>AR56*'MAY Statistics'!$C$11</f>
        <v>66.274340277777782</v>
      </c>
      <c r="AU56" s="283"/>
      <c r="AV56" s="283">
        <f t="shared" si="0"/>
        <v>1</v>
      </c>
      <c r="AW56" s="283">
        <f t="shared" si="1"/>
        <v>1</v>
      </c>
      <c r="AX56" s="283">
        <f t="shared" si="2"/>
        <v>0</v>
      </c>
      <c r="AY56" s="283" cm="1">
        <f t="array" ref="AY56">COUNTIFS($C56:$AG56,"9",$C$4:$AG$4,"1")+SUM(COUNTIFS($C56:$AG56,{"8","9"},$C$4:$AG$4,"2"))+COUNTIFS($C56:$AG56,"8",$C$4:$AG$4,"3")</f>
        <v>1</v>
      </c>
      <c r="AZ56" s="283">
        <f t="shared" si="3"/>
        <v>0</v>
      </c>
      <c r="BA56" s="283">
        <f t="shared" si="4"/>
        <v>3</v>
      </c>
      <c r="BB56" s="283">
        <f>AV56*'Spreadsheet Key'!$A$27+AW56*'Spreadsheet Key'!$A$28+AX56*'Spreadsheet Key'!$A$29+AY56*'Spreadsheet Key'!$A$30+AZ56*'Spreadsheet Key'!$A$31</f>
        <v>58</v>
      </c>
      <c r="BC56" s="283"/>
      <c r="BD56" s="283">
        <f t="shared" ref="BD56" si="42">AT56-BB56</f>
        <v>8.2743402777777817</v>
      </c>
    </row>
    <row r="57" spans="1:60">
      <c r="A57" s="3208"/>
      <c r="B57" s="3208"/>
      <c r="C57" s="3019" t="s">
        <v>1025</v>
      </c>
      <c r="D57" s="937"/>
      <c r="E57" s="937"/>
      <c r="F57" s="937"/>
      <c r="G57" s="937"/>
      <c r="H57" s="3019" t="s">
        <v>1025</v>
      </c>
      <c r="I57" s="4593" t="s">
        <v>1280</v>
      </c>
      <c r="J57" s="4593"/>
      <c r="K57" s="3019" t="s">
        <v>1025</v>
      </c>
      <c r="L57" s="937"/>
      <c r="M57" s="937"/>
      <c r="N57" s="937"/>
      <c r="O57" s="2433" t="s">
        <v>720</v>
      </c>
      <c r="P57" s="2433"/>
      <c r="Q57" s="937"/>
      <c r="R57" s="937"/>
      <c r="S57" s="937"/>
      <c r="T57" s="937"/>
      <c r="U57" s="2433" t="s">
        <v>720</v>
      </c>
      <c r="V57" s="937"/>
      <c r="W57" s="937"/>
      <c r="X57" s="937"/>
      <c r="Y57" s="937"/>
      <c r="Z57" s="937"/>
      <c r="AA57" s="937"/>
      <c r="AB57" s="937"/>
      <c r="AC57" s="3130"/>
      <c r="AD57" s="3130"/>
      <c r="AE57" s="3130"/>
      <c r="AF57" s="3130"/>
      <c r="AG57" s="3223"/>
      <c r="AH57" s="3126"/>
      <c r="AI57" s="3226"/>
      <c r="AJ57" s="283"/>
      <c r="AK57" s="283"/>
      <c r="AL57" s="283"/>
      <c r="AM57" s="283"/>
      <c r="AN57" s="283"/>
      <c r="AO57" s="283"/>
      <c r="AP57" s="283"/>
      <c r="AQ57" s="283"/>
      <c r="AR57" s="283"/>
      <c r="AS57" s="283"/>
      <c r="AT57" s="3228"/>
      <c r="AU57" s="283"/>
      <c r="AV57" s="283">
        <f t="shared" si="0"/>
        <v>0</v>
      </c>
      <c r="AW57" s="283">
        <f t="shared" si="1"/>
        <v>0</v>
      </c>
      <c r="AX57" s="283">
        <f t="shared" si="2"/>
        <v>0</v>
      </c>
      <c r="AY57" s="283" cm="1">
        <f t="array" ref="AY57">COUNTIFS($C57:$AG57,"9",$C$4:$AG$4,"1")+SUM(COUNTIFS($C57:$AG57,{"8","9"},$C$4:$AG$4,"2"))+COUNTIFS($C57:$AG57,"8",$C$4:$AG$4,"3")</f>
        <v>0</v>
      </c>
      <c r="AZ57" s="283">
        <f t="shared" si="3"/>
        <v>0</v>
      </c>
      <c r="BA57" s="283">
        <f t="shared" si="4"/>
        <v>0</v>
      </c>
      <c r="BB57" s="283">
        <f>AV57*'Spreadsheet Key'!$A$27+AW57*'Spreadsheet Key'!$A$28+AX57*'Spreadsheet Key'!$A$29+AY57*'Spreadsheet Key'!$A$30+AZ57*'Spreadsheet Key'!$A$31</f>
        <v>0</v>
      </c>
      <c r="BC57" s="283"/>
      <c r="BD57" s="283"/>
    </row>
    <row r="58" spans="1:60" s="3211" customFormat="1">
      <c r="A58" s="3180" t="s">
        <v>283</v>
      </c>
      <c r="B58" s="3180" t="s">
        <v>1005</v>
      </c>
      <c r="C58" s="3199">
        <v>3</v>
      </c>
      <c r="D58" s="3198">
        <v>0</v>
      </c>
      <c r="E58" s="3198">
        <v>0</v>
      </c>
      <c r="F58" s="3198">
        <v>0</v>
      </c>
      <c r="G58" s="3198">
        <v>0</v>
      </c>
      <c r="H58" s="3198">
        <v>1</v>
      </c>
      <c r="I58" s="3198">
        <v>2</v>
      </c>
      <c r="J58" s="3198">
        <v>2</v>
      </c>
      <c r="K58" s="3198">
        <v>3</v>
      </c>
      <c r="L58" s="3198">
        <v>0</v>
      </c>
      <c r="M58" s="3198">
        <v>0</v>
      </c>
      <c r="N58" s="3198">
        <v>0</v>
      </c>
      <c r="O58" s="3198">
        <v>8</v>
      </c>
      <c r="P58" s="3198">
        <v>0</v>
      </c>
      <c r="Q58" s="3198">
        <v>0</v>
      </c>
      <c r="R58" s="3198">
        <v>0</v>
      </c>
      <c r="S58" s="3198">
        <v>0</v>
      </c>
      <c r="T58" s="3198">
        <v>0</v>
      </c>
      <c r="U58" s="3198">
        <v>8</v>
      </c>
      <c r="V58" s="3198">
        <v>0</v>
      </c>
      <c r="W58" s="3198">
        <v>0</v>
      </c>
      <c r="X58" s="3198">
        <v>0</v>
      </c>
      <c r="Y58" s="3198">
        <v>0</v>
      </c>
      <c r="Z58" s="3198">
        <v>0</v>
      </c>
      <c r="AA58" s="3198">
        <v>0</v>
      </c>
      <c r="AB58" s="3198">
        <v>0</v>
      </c>
      <c r="AC58" s="3198">
        <v>0</v>
      </c>
      <c r="AD58" s="3198">
        <v>0</v>
      </c>
      <c r="AE58" s="3198">
        <v>0</v>
      </c>
      <c r="AF58" s="3198">
        <v>0</v>
      </c>
      <c r="AG58" s="3198">
        <v>0</v>
      </c>
      <c r="AH58" s="3209"/>
      <c r="AI58" s="3226">
        <v>1</v>
      </c>
      <c r="AJ58" s="283" cm="1">
        <f t="array" ref="AJ58">SUM(COUNTIFS($C58:$AG58,{"0","4","5","6","7","8","9"}))</f>
        <v>26</v>
      </c>
      <c r="AK58" s="283" cm="1">
        <f t="array" ref="AK58">SUM(COUNTIFS($C58:$AG58,{"0","4","5","6","7","8","9"},$C$4:$AG$4,"0"))</f>
        <v>11</v>
      </c>
      <c r="AL58" s="283" cm="1">
        <f t="array" ref="AL58">SUM(COUNTIFS($C58:$AG58,{"0","4","5","6","7","8","9"},$C$4:$AG$4,"1"))</f>
        <v>4</v>
      </c>
      <c r="AM58" s="283" cm="1">
        <f t="array" ref="AM58">SUM(COUNTIFS($C58:$AG58,{"0","4","5","6","7","8","9"},$C$4:$AG$4,"2"))</f>
        <v>7</v>
      </c>
      <c r="AN58" s="283" cm="1">
        <f t="array" ref="AN58">SUM(COUNTIFS($C58:$AG58,{"0","4","5","6","7","8","9"},$C$4:$AG$4,"3"))</f>
        <v>4</v>
      </c>
      <c r="AO58" s="283" cm="1">
        <f t="array" ref="AO58">SUM(COUNTIFS($C58:$AG58,{"1","2","3"}))</f>
        <v>5</v>
      </c>
      <c r="AP58" s="283" cm="1">
        <f t="array" ref="AP58">SUM(COUNTIFS($C58:$AG58,{"4","5","6"}))</f>
        <v>0</v>
      </c>
      <c r="AQ58" s="283">
        <f>AK58*'Spreadsheet Key'!$A$23 + AL58*'Spreadsheet Key'!$A$24 + AM58*'Spreadsheet Key'!$A$25 + AN58*'Spreadsheet Key'!$A$26</f>
        <v>1186</v>
      </c>
      <c r="AR58" s="283">
        <f>AJ58/('MAY Statistics'!$B$30)*ABS(AI58-1)</f>
        <v>0</v>
      </c>
      <c r="AS58" s="283">
        <f>AI58*AT58</f>
        <v>23.483870967741936</v>
      </c>
      <c r="AT58" s="3228">
        <f>(AJ58/'MAY Statistics'!$B$6)*'Spreadsheet Key'!$A$32</f>
        <v>23.483870967741936</v>
      </c>
      <c r="AU58" s="283"/>
      <c r="AV58" s="283">
        <f t="shared" si="0"/>
        <v>2</v>
      </c>
      <c r="AW58" s="283">
        <f t="shared" si="1"/>
        <v>0</v>
      </c>
      <c r="AX58" s="283">
        <f t="shared" si="2"/>
        <v>0</v>
      </c>
      <c r="AY58" s="283" cm="1">
        <f t="array" ref="AY58">COUNTIFS($C58:$AG58,"9",$C$4:$AG$4,"1")+SUM(COUNTIFS($C58:$AG58,{"8","9"},$C$4:$AG$4,"2"))+COUNTIFS($C58:$AG58,"8",$C$4:$AG$4,"3")</f>
        <v>0</v>
      </c>
      <c r="AZ58" s="283">
        <f t="shared" si="3"/>
        <v>0</v>
      </c>
      <c r="BA58" s="283">
        <f t="shared" si="4"/>
        <v>2</v>
      </c>
      <c r="BB58" s="283">
        <f>AV58*'Spreadsheet Key'!$A$27+AW58*'Spreadsheet Key'!$A$28+AX58*'Spreadsheet Key'!$A$29+AY58*'Spreadsheet Key'!$A$30+AZ58*'Spreadsheet Key'!$A$31</f>
        <v>20</v>
      </c>
      <c r="BC58" s="283"/>
      <c r="BD58" s="283">
        <f t="shared" ref="BD58" si="43">AT58-BB58</f>
        <v>3.4838709677419359</v>
      </c>
    </row>
    <row r="59" spans="1:60">
      <c r="A59" s="3208"/>
      <c r="B59" s="3208"/>
      <c r="C59" s="779"/>
      <c r="D59" s="779"/>
      <c r="E59" s="779"/>
      <c r="F59" s="779"/>
      <c r="G59" s="779"/>
      <c r="H59" s="2434"/>
      <c r="I59" s="779"/>
      <c r="J59" s="2434" t="s">
        <v>722</v>
      </c>
      <c r="K59" s="779"/>
      <c r="L59" s="2434"/>
      <c r="M59" s="779"/>
      <c r="N59" s="779"/>
      <c r="O59" s="779"/>
      <c r="P59" s="2434"/>
      <c r="Q59" s="2434"/>
      <c r="R59" s="2434"/>
      <c r="S59" s="2434" t="s">
        <v>722</v>
      </c>
      <c r="T59" s="2434"/>
      <c r="U59" s="779"/>
      <c r="V59" s="779"/>
      <c r="W59" s="779"/>
      <c r="X59" s="779"/>
      <c r="Y59" s="779"/>
      <c r="Z59" s="779"/>
      <c r="AA59" s="779"/>
      <c r="AB59" s="2434"/>
      <c r="AC59" s="675"/>
      <c r="AD59" s="675"/>
      <c r="AE59" s="675"/>
      <c r="AF59" s="675"/>
      <c r="AG59" s="2444"/>
      <c r="AH59" s="3126"/>
      <c r="AI59" s="3226"/>
      <c r="AJ59" s="283"/>
      <c r="AK59" s="283"/>
      <c r="AL59" s="283"/>
      <c r="AM59" s="283"/>
      <c r="AN59" s="283"/>
      <c r="AO59" s="283"/>
      <c r="AP59" s="283"/>
      <c r="AQ59" s="283"/>
      <c r="AR59" s="283"/>
      <c r="AS59" s="283"/>
      <c r="AT59" s="3228"/>
      <c r="AU59" s="283"/>
      <c r="AV59" s="283">
        <f t="shared" si="0"/>
        <v>0</v>
      </c>
      <c r="AW59" s="283">
        <f t="shared" si="1"/>
        <v>0</v>
      </c>
      <c r="AX59" s="283">
        <f t="shared" si="2"/>
        <v>0</v>
      </c>
      <c r="AY59" s="283" cm="1">
        <f t="array" ref="AY59">COUNTIFS($C59:$AG59,"9",$C$4:$AG$4,"1")+SUM(COUNTIFS($C59:$AG59,{"8","9"},$C$4:$AG$4,"2"))+COUNTIFS($C59:$AG59,"8",$C$4:$AG$4,"3")</f>
        <v>0</v>
      </c>
      <c r="AZ59" s="283">
        <f t="shared" si="3"/>
        <v>0</v>
      </c>
      <c r="BA59" s="283">
        <f t="shared" si="4"/>
        <v>0</v>
      </c>
      <c r="BB59" s="283">
        <f>AV59*'Spreadsheet Key'!$A$27+AW59*'Spreadsheet Key'!$A$28+AX59*'Spreadsheet Key'!$A$29+AY59*'Spreadsheet Key'!$A$30+AZ59*'Spreadsheet Key'!$A$31</f>
        <v>0</v>
      </c>
      <c r="BC59" s="283"/>
      <c r="BD59" s="283"/>
    </row>
    <row r="60" spans="1:60" s="3211" customFormat="1">
      <c r="A60" s="3180" t="s">
        <v>602</v>
      </c>
      <c r="B60" s="3216" t="s">
        <v>660</v>
      </c>
      <c r="C60" s="3199">
        <v>0</v>
      </c>
      <c r="D60" s="3198">
        <v>0</v>
      </c>
      <c r="E60" s="3198">
        <v>0</v>
      </c>
      <c r="F60" s="3198">
        <v>0</v>
      </c>
      <c r="G60" s="3198">
        <v>0</v>
      </c>
      <c r="H60" s="3198">
        <v>0</v>
      </c>
      <c r="I60" s="3198">
        <v>0</v>
      </c>
      <c r="J60" s="3198">
        <v>9</v>
      </c>
      <c r="K60" s="3198">
        <v>0</v>
      </c>
      <c r="L60" s="3198">
        <v>0</v>
      </c>
      <c r="M60" s="3198">
        <v>0</v>
      </c>
      <c r="N60" s="3198">
        <v>0</v>
      </c>
      <c r="O60" s="3198">
        <v>0</v>
      </c>
      <c r="P60" s="3198">
        <v>0</v>
      </c>
      <c r="Q60" s="3198">
        <v>0</v>
      </c>
      <c r="R60" s="3198">
        <v>0</v>
      </c>
      <c r="S60" s="3198">
        <v>9</v>
      </c>
      <c r="T60" s="3198">
        <v>0</v>
      </c>
      <c r="U60" s="3198">
        <v>0</v>
      </c>
      <c r="V60" s="3198">
        <v>0</v>
      </c>
      <c r="W60" s="3198">
        <v>0</v>
      </c>
      <c r="X60" s="3198">
        <v>0</v>
      </c>
      <c r="Y60" s="3198">
        <v>0</v>
      </c>
      <c r="Z60" s="3198">
        <v>0</v>
      </c>
      <c r="AA60" s="3198">
        <v>0</v>
      </c>
      <c r="AB60" s="3198">
        <v>0</v>
      </c>
      <c r="AC60" s="3198">
        <v>0</v>
      </c>
      <c r="AD60" s="3198">
        <v>0</v>
      </c>
      <c r="AE60" s="3198">
        <v>0</v>
      </c>
      <c r="AF60" s="3198">
        <v>0</v>
      </c>
      <c r="AG60" s="3198">
        <v>0</v>
      </c>
      <c r="AH60" s="3209"/>
      <c r="AI60" s="3226">
        <v>0</v>
      </c>
      <c r="AJ60" s="283" cm="1">
        <f t="array" ref="AJ60">SUM(COUNTIFS($C60:$AG60,{"0","4","5","6","7","8","9"}))</f>
        <v>31</v>
      </c>
      <c r="AK60" s="283" cm="1">
        <f t="array" ref="AK60">SUM(COUNTIFS($C60:$AG60,{"0","4","5","6","7","8","9"},$C$4:$AG$4,"0"))</f>
        <v>15</v>
      </c>
      <c r="AL60" s="283" cm="1">
        <f t="array" ref="AL60">SUM(COUNTIFS($C60:$AG60,{"0","4","5","6","7","8","9"},$C$4:$AG$4,"1"))</f>
        <v>5</v>
      </c>
      <c r="AM60" s="283" cm="1">
        <f t="array" ref="AM60">SUM(COUNTIFS($C60:$AG60,{"0","4","5","6","7","8","9"},$C$4:$AG$4,"2"))</f>
        <v>7</v>
      </c>
      <c r="AN60" s="283" cm="1">
        <f t="array" ref="AN60">SUM(COUNTIFS($C60:$AG60,{"0","4","5","6","7","8","9"},$C$4:$AG$4,"3"))</f>
        <v>4</v>
      </c>
      <c r="AO60" s="283" cm="1">
        <f t="array" ref="AO60">SUM(COUNTIFS($C60:$AG60,{"1","2","3"}))</f>
        <v>0</v>
      </c>
      <c r="AP60" s="283" cm="1">
        <f t="array" ref="AP60">SUM(COUNTIFS($C60:$AG60,{"4","5","6"}))</f>
        <v>0</v>
      </c>
      <c r="AQ60" s="283">
        <f>AK60*'Spreadsheet Key'!$A$23 + AL60*'Spreadsheet Key'!$A$24 + AM60*'Spreadsheet Key'!$A$25 + AN60*'Spreadsheet Key'!$A$26</f>
        <v>1328</v>
      </c>
      <c r="AR60" s="283">
        <f>AJ60/('MAY Statistics'!$B$30)*ABS(AI60-1)</f>
        <v>5.3819444444444448E-2</v>
      </c>
      <c r="AS60" s="283">
        <f t="shared" si="5"/>
        <v>0</v>
      </c>
      <c r="AT60" s="3228">
        <f>AR60*'MAY Statistics'!$C$11</f>
        <v>66.274340277777782</v>
      </c>
      <c r="AU60" s="283"/>
      <c r="AV60" s="283">
        <f t="shared" si="0"/>
        <v>0</v>
      </c>
      <c r="AW60" s="283">
        <f t="shared" si="1"/>
        <v>1</v>
      </c>
      <c r="AX60" s="283">
        <f t="shared" si="2"/>
        <v>0</v>
      </c>
      <c r="AY60" s="283" cm="1">
        <f t="array" ref="AY60">COUNTIFS($C60:$AG60,"9",$C$4:$AG$4,"1")+SUM(COUNTIFS($C60:$AG60,{"8","9"},$C$4:$AG$4,"2"))+COUNTIFS($C60:$AG60,"8",$C$4:$AG$4,"3")</f>
        <v>1</v>
      </c>
      <c r="AZ60" s="283">
        <f t="shared" si="3"/>
        <v>0</v>
      </c>
      <c r="BA60" s="283">
        <f t="shared" si="4"/>
        <v>2</v>
      </c>
      <c r="BB60" s="283">
        <f>AV60*'Spreadsheet Key'!$A$27+AW60*'Spreadsheet Key'!$A$28+AX60*'Spreadsheet Key'!$A$29+AY60*'Spreadsheet Key'!$A$30+AZ60*'Spreadsheet Key'!$A$31</f>
        <v>48</v>
      </c>
      <c r="BC60" s="283"/>
      <c r="BD60" s="283">
        <f t="shared" ref="BD60" si="44">AT60-BB60</f>
        <v>18.274340277777782</v>
      </c>
    </row>
    <row r="61" spans="1:60">
      <c r="A61" s="3208"/>
      <c r="B61" s="3208"/>
      <c r="C61" s="3010" t="s">
        <v>1025</v>
      </c>
      <c r="D61" s="782"/>
      <c r="E61" s="782"/>
      <c r="F61" s="2443" t="s">
        <v>720</v>
      </c>
      <c r="G61" s="782"/>
      <c r="H61" s="3010" t="s">
        <v>1025</v>
      </c>
      <c r="I61" s="4306" t="s">
        <v>1280</v>
      </c>
      <c r="J61" s="4306"/>
      <c r="K61" s="3010" t="s">
        <v>1025</v>
      </c>
      <c r="L61" s="782"/>
      <c r="M61" s="782"/>
      <c r="N61" s="782"/>
      <c r="O61" s="782"/>
      <c r="P61" s="2443" t="s">
        <v>722</v>
      </c>
      <c r="Q61" s="2437"/>
      <c r="R61" s="782"/>
      <c r="S61" s="782"/>
      <c r="T61" s="2443"/>
      <c r="U61" s="2443"/>
      <c r="V61" s="782"/>
      <c r="W61" s="782"/>
      <c r="X61" s="782"/>
      <c r="Y61" s="782"/>
      <c r="Z61" s="782"/>
      <c r="AA61" s="782"/>
      <c r="AB61" s="782"/>
      <c r="AC61" s="3591" t="s">
        <v>483</v>
      </c>
      <c r="AD61" s="3591" t="s">
        <v>483</v>
      </c>
      <c r="AE61" s="3679"/>
      <c r="AF61" s="3070"/>
      <c r="AG61" s="3224"/>
      <c r="AH61" s="3126"/>
      <c r="AI61" s="3226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3228"/>
      <c r="AU61" s="283"/>
      <c r="AV61" s="283">
        <f t="shared" si="0"/>
        <v>0</v>
      </c>
      <c r="AW61" s="283">
        <f t="shared" si="1"/>
        <v>0</v>
      </c>
      <c r="AX61" s="283">
        <f t="shared" si="2"/>
        <v>0</v>
      </c>
      <c r="AY61" s="283" cm="1">
        <f t="array" ref="AY61">COUNTIFS($C61:$AG61,"9",$C$4:$AG$4,"1")+SUM(COUNTIFS($C61:$AG61,{"8","9"},$C$4:$AG$4,"2"))+COUNTIFS($C61:$AG61,"8",$C$4:$AG$4,"3")</f>
        <v>0</v>
      </c>
      <c r="AZ61" s="283">
        <f t="shared" si="3"/>
        <v>0</v>
      </c>
      <c r="BA61" s="283">
        <f t="shared" si="4"/>
        <v>0</v>
      </c>
      <c r="BB61" s="283">
        <f>AV61*'Spreadsheet Key'!$A$27+AW61*'Spreadsheet Key'!$A$28+AX61*'Spreadsheet Key'!$A$29+AY61*'Spreadsheet Key'!$A$30+AZ61*'Spreadsheet Key'!$A$31</f>
        <v>0</v>
      </c>
      <c r="BC61" s="283"/>
      <c r="BD61" s="283"/>
    </row>
    <row r="62" spans="1:60" s="3211" customFormat="1">
      <c r="A62" s="3180" t="s">
        <v>81</v>
      </c>
      <c r="B62" s="3180" t="s">
        <v>396</v>
      </c>
      <c r="C62" s="3199">
        <v>3</v>
      </c>
      <c r="D62" s="3198">
        <v>0</v>
      </c>
      <c r="E62" s="3198">
        <v>0</v>
      </c>
      <c r="F62" s="3198">
        <v>8</v>
      </c>
      <c r="G62" s="3198">
        <v>0</v>
      </c>
      <c r="H62" s="3198">
        <v>1</v>
      </c>
      <c r="I62" s="3198">
        <v>2</v>
      </c>
      <c r="J62" s="3198">
        <v>2</v>
      </c>
      <c r="K62" s="3198">
        <v>3</v>
      </c>
      <c r="L62" s="3198">
        <v>0</v>
      </c>
      <c r="M62" s="3198">
        <v>0</v>
      </c>
      <c r="N62" s="3198">
        <v>0</v>
      </c>
      <c r="O62" s="3198">
        <v>0</v>
      </c>
      <c r="P62" s="3198">
        <v>9</v>
      </c>
      <c r="Q62" s="3198">
        <v>0</v>
      </c>
      <c r="R62" s="3198">
        <v>0</v>
      </c>
      <c r="S62" s="3198">
        <v>0</v>
      </c>
      <c r="T62" s="3198">
        <v>0</v>
      </c>
      <c r="U62" s="3198">
        <v>0</v>
      </c>
      <c r="V62" s="3198">
        <v>0</v>
      </c>
      <c r="W62" s="3198">
        <v>0</v>
      </c>
      <c r="X62" s="3198">
        <v>0</v>
      </c>
      <c r="Y62" s="3198">
        <v>0</v>
      </c>
      <c r="Z62" s="3198">
        <v>0</v>
      </c>
      <c r="AA62" s="3198">
        <v>0</v>
      </c>
      <c r="AB62" s="3198">
        <v>0</v>
      </c>
      <c r="AC62" s="3198">
        <v>7</v>
      </c>
      <c r="AD62" s="3198">
        <v>7</v>
      </c>
      <c r="AE62" s="3198">
        <v>0</v>
      </c>
      <c r="AF62" s="3198">
        <v>0</v>
      </c>
      <c r="AG62" s="3198">
        <v>0</v>
      </c>
      <c r="AH62" s="3209"/>
      <c r="AI62" s="3226">
        <v>0</v>
      </c>
      <c r="AJ62" s="283" cm="1">
        <f t="array" ref="AJ62">SUM(COUNTIFS($C62:$AG62,{"0","4","5","6","7","8","9"}))</f>
        <v>26</v>
      </c>
      <c r="AK62" s="283" cm="1">
        <f t="array" ref="AK62">SUM(COUNTIFS($C62:$AG62,{"0","4","5","6","7","8","9"},$C$4:$AG$4,"0"))</f>
        <v>11</v>
      </c>
      <c r="AL62" s="283" cm="1">
        <f t="array" ref="AL62">SUM(COUNTIFS($C62:$AG62,{"0","4","5","6","7","8","9"},$C$4:$AG$4,"1"))</f>
        <v>4</v>
      </c>
      <c r="AM62" s="283" cm="1">
        <f t="array" ref="AM62">SUM(COUNTIFS($C62:$AG62,{"0","4","5","6","7","8","9"},$C$4:$AG$4,"2"))</f>
        <v>7</v>
      </c>
      <c r="AN62" s="283" cm="1">
        <f t="array" ref="AN62">SUM(COUNTIFS($C62:$AG62,{"0","4","5","6","7","8","9"},$C$4:$AG$4,"3"))</f>
        <v>4</v>
      </c>
      <c r="AO62" s="283" cm="1">
        <f t="array" ref="AO62">SUM(COUNTIFS($C62:$AG62,{"1","2","3"}))</f>
        <v>5</v>
      </c>
      <c r="AP62" s="283" cm="1">
        <f t="array" ref="AP62">SUM(COUNTIFS($C62:$AG62,{"4","5","6"}))</f>
        <v>0</v>
      </c>
      <c r="AQ62" s="283">
        <f>AK62*'Spreadsheet Key'!$A$23 + AL62*'Spreadsheet Key'!$A$24 + AM62*'Spreadsheet Key'!$A$25 + AN62*'Spreadsheet Key'!$A$26</f>
        <v>1186</v>
      </c>
      <c r="AR62" s="283">
        <f>AJ62/('MAY Statistics'!$B$30)*ABS(AI62-1)</f>
        <v>4.5138888888888888E-2</v>
      </c>
      <c r="AS62" s="283">
        <v>0</v>
      </c>
      <c r="AT62" s="3228">
        <f>AR62*'MAY Statistics'!$C$11</f>
        <v>55.584930555555559</v>
      </c>
      <c r="AU62" s="283"/>
      <c r="AV62" s="283">
        <f t="shared" si="0"/>
        <v>0</v>
      </c>
      <c r="AW62" s="283">
        <f t="shared" si="1"/>
        <v>1</v>
      </c>
      <c r="AX62" s="283">
        <f t="shared" si="2"/>
        <v>0</v>
      </c>
      <c r="AY62" s="283" cm="1">
        <f t="array" ref="AY62">COUNTIFS($C62:$AG62,"9",$C$4:$AG$4,"1")+SUM(COUNTIFS($C62:$AG62,{"8","9"},$C$4:$AG$4,"2"))+COUNTIFS($C62:$AG62,"8",$C$4:$AG$4,"3")</f>
        <v>1</v>
      </c>
      <c r="AZ62" s="283">
        <f t="shared" si="3"/>
        <v>0</v>
      </c>
      <c r="BA62" s="283">
        <f t="shared" si="4"/>
        <v>2</v>
      </c>
      <c r="BB62" s="283">
        <f>AV62*'Spreadsheet Key'!$A$27+AW62*'Spreadsheet Key'!$A$28+AX62*'Spreadsheet Key'!$A$29+AY62*'Spreadsheet Key'!$A$30+AZ62*'Spreadsheet Key'!$A$31</f>
        <v>48</v>
      </c>
      <c r="BC62" s="283"/>
      <c r="BD62" s="283">
        <f t="shared" ref="BD62" si="45">AT62-BB62</f>
        <v>7.5849305555555588</v>
      </c>
    </row>
    <row r="63" spans="1:60">
      <c r="A63" s="3208"/>
      <c r="B63" s="3208"/>
      <c r="C63" s="778"/>
      <c r="D63" s="778"/>
      <c r="E63" s="3010" t="s">
        <v>1025</v>
      </c>
      <c r="F63" s="6315" t="s">
        <v>754</v>
      </c>
      <c r="G63" s="6316"/>
      <c r="H63" s="3023" t="s">
        <v>1025</v>
      </c>
      <c r="I63" s="6192" t="s">
        <v>1280</v>
      </c>
      <c r="J63" s="6317"/>
      <c r="K63" s="6317"/>
      <c r="L63" s="6317"/>
      <c r="M63" s="6193"/>
      <c r="N63" s="3023" t="s">
        <v>1025</v>
      </c>
      <c r="O63" s="778"/>
      <c r="P63" s="778"/>
      <c r="Q63" s="778"/>
      <c r="R63" s="2437" t="s">
        <v>720</v>
      </c>
      <c r="S63" s="778"/>
      <c r="T63" s="778"/>
      <c r="U63" s="778"/>
      <c r="V63" s="2437"/>
      <c r="W63" s="778"/>
      <c r="X63" s="778"/>
      <c r="Y63" s="778"/>
      <c r="Z63" s="778"/>
      <c r="AA63" s="2437" t="s">
        <v>720</v>
      </c>
      <c r="AB63" s="778"/>
      <c r="AC63" s="1207"/>
      <c r="AD63" s="1207"/>
      <c r="AE63" s="1207"/>
      <c r="AF63" s="1207"/>
      <c r="AG63" s="2489"/>
      <c r="AH63" s="3126"/>
      <c r="AI63" s="3226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3228"/>
      <c r="AU63" s="283"/>
      <c r="AV63" s="283">
        <f t="shared" si="0"/>
        <v>0</v>
      </c>
      <c r="AW63" s="283">
        <f t="shared" si="1"/>
        <v>0</v>
      </c>
      <c r="AX63" s="283">
        <f t="shared" si="2"/>
        <v>0</v>
      </c>
      <c r="AY63" s="283" cm="1">
        <f t="array" ref="AY63">COUNTIFS($C63:$AG63,"9",$C$4:$AG$4,"1")+SUM(COUNTIFS($C63:$AG63,{"8","9"},$C$4:$AG$4,"2"))+COUNTIFS($C63:$AG63,"8",$C$4:$AG$4,"3")</f>
        <v>0</v>
      </c>
      <c r="AZ63" s="283">
        <f t="shared" si="3"/>
        <v>0</v>
      </c>
      <c r="BA63" s="283">
        <f t="shared" si="4"/>
        <v>0</v>
      </c>
      <c r="BB63" s="283">
        <f>AV63*'Spreadsheet Key'!$A$27+AW63*'Spreadsheet Key'!$A$28+AX63*'Spreadsheet Key'!$A$29+AY63*'Spreadsheet Key'!$A$30+AZ63*'Spreadsheet Key'!$A$31</f>
        <v>0</v>
      </c>
      <c r="BC63" s="283"/>
      <c r="BD63" s="283"/>
    </row>
    <row r="64" spans="1:60" s="3211" customFormat="1">
      <c r="A64" s="3180" t="s">
        <v>95</v>
      </c>
      <c r="B64" s="3180" t="s">
        <v>303</v>
      </c>
      <c r="C64" s="3199">
        <v>0</v>
      </c>
      <c r="D64" s="3198">
        <v>0</v>
      </c>
      <c r="E64" s="3198">
        <v>1</v>
      </c>
      <c r="F64" s="3198">
        <v>2</v>
      </c>
      <c r="G64" s="3198">
        <v>2</v>
      </c>
      <c r="H64" s="3198">
        <v>2</v>
      </c>
      <c r="I64" s="3198">
        <v>2</v>
      </c>
      <c r="J64" s="3198">
        <v>2</v>
      </c>
      <c r="K64" s="3198">
        <v>2</v>
      </c>
      <c r="L64" s="3198">
        <v>2</v>
      </c>
      <c r="M64" s="3198">
        <v>2</v>
      </c>
      <c r="N64" s="3198">
        <v>3</v>
      </c>
      <c r="O64" s="3198">
        <v>0</v>
      </c>
      <c r="P64" s="3198">
        <v>0</v>
      </c>
      <c r="Q64" s="3198">
        <v>0</v>
      </c>
      <c r="R64" s="3198">
        <v>8</v>
      </c>
      <c r="S64" s="3198">
        <v>0</v>
      </c>
      <c r="T64" s="3198">
        <v>0</v>
      </c>
      <c r="U64" s="3198">
        <v>0</v>
      </c>
      <c r="V64" s="3198">
        <v>0</v>
      </c>
      <c r="W64" s="3198">
        <v>0</v>
      </c>
      <c r="X64" s="3198">
        <v>0</v>
      </c>
      <c r="Y64" s="3198">
        <v>0</v>
      </c>
      <c r="Z64" s="3198">
        <v>0</v>
      </c>
      <c r="AA64" s="3198">
        <v>8</v>
      </c>
      <c r="AB64" s="3198">
        <v>0</v>
      </c>
      <c r="AC64" s="3198">
        <v>0</v>
      </c>
      <c r="AD64" s="3198">
        <v>0</v>
      </c>
      <c r="AE64" s="3198">
        <v>0</v>
      </c>
      <c r="AF64" s="3198">
        <v>0</v>
      </c>
      <c r="AG64" s="3198">
        <v>0</v>
      </c>
      <c r="AH64" s="3209"/>
      <c r="AI64" s="3226">
        <v>0</v>
      </c>
      <c r="AJ64" s="283" cm="1">
        <f t="array" ref="AJ64">SUM(COUNTIFS($C64:$AG64,{"0","4","5","6","7","8","9"}))</f>
        <v>21</v>
      </c>
      <c r="AK64" s="283" cm="1">
        <f t="array" ref="AK64">SUM(COUNTIFS($C64:$AG64,{"0","4","5","6","7","8","9"},$C$4:$AG$4,"0"))</f>
        <v>10</v>
      </c>
      <c r="AL64" s="283" cm="1">
        <f t="array" ref="AL64">SUM(COUNTIFS($C64:$AG64,{"0","4","5","6","7","8","9"},$C$4:$AG$4,"1"))</f>
        <v>4</v>
      </c>
      <c r="AM64" s="283" cm="1">
        <f t="array" ref="AM64">SUM(COUNTIFS($C64:$AG64,{"0","4","5","6","7","8","9"},$C$4:$AG$4,"2"))</f>
        <v>5</v>
      </c>
      <c r="AN64" s="283" cm="1">
        <f t="array" ref="AN64">SUM(COUNTIFS($C64:$AG64,{"0","4","5","6","7","8","9"},$C$4:$AG$4,"3"))</f>
        <v>2</v>
      </c>
      <c r="AO64" s="283" cm="1">
        <f t="array" ref="AO64">SUM(COUNTIFS($C64:$AG64,{"1","2","3"}))</f>
        <v>10</v>
      </c>
      <c r="AP64" s="283" cm="1">
        <f t="array" ref="AP64">SUM(COUNTIFS($C64:$AG64,{"4","5","6"}))</f>
        <v>0</v>
      </c>
      <c r="AQ64" s="283">
        <f>AK64*'Spreadsheet Key'!$A$23 + AL64*'Spreadsheet Key'!$A$24 + AM64*'Spreadsheet Key'!$A$25 + AN64*'Spreadsheet Key'!$A$26</f>
        <v>908</v>
      </c>
      <c r="AR64" s="283">
        <f>AJ64/('MAY Statistics'!$B$30)*ABS(AI64-1)</f>
        <v>3.6458333333333336E-2</v>
      </c>
      <c r="AS64" s="283">
        <f t="shared" si="5"/>
        <v>0</v>
      </c>
      <c r="AT64" s="3228">
        <f>AR64*'MAY Statistics'!$C$11</f>
        <v>44.895520833333336</v>
      </c>
      <c r="AU64" s="283"/>
      <c r="AV64" s="283">
        <f t="shared" si="0"/>
        <v>0</v>
      </c>
      <c r="AW64" s="283">
        <f t="shared" si="1"/>
        <v>0</v>
      </c>
      <c r="AX64" s="283">
        <f t="shared" si="2"/>
        <v>1</v>
      </c>
      <c r="AY64" s="283" cm="1">
        <f t="array" ref="AY64">COUNTIFS($C64:$AG64,"9",$C$4:$AG$4,"1")+SUM(COUNTIFS($C64:$AG64,{"8","9"},$C$4:$AG$4,"2"))+COUNTIFS($C64:$AG64,"8",$C$4:$AG$4,"3")</f>
        <v>1</v>
      </c>
      <c r="AZ64" s="283">
        <f t="shared" si="3"/>
        <v>0</v>
      </c>
      <c r="BA64" s="283">
        <f t="shared" si="4"/>
        <v>2</v>
      </c>
      <c r="BB64" s="283">
        <f>AV64*'Spreadsheet Key'!$A$27+AW64*'Spreadsheet Key'!$A$28+AX64*'Spreadsheet Key'!$A$29+AY64*'Spreadsheet Key'!$A$30+AZ64*'Spreadsheet Key'!$A$31</f>
        <v>54</v>
      </c>
      <c r="BC64" s="283"/>
      <c r="BD64" s="283">
        <f t="shared" ref="BD64" si="46">AT64-BB64</f>
        <v>-9.104479166666664</v>
      </c>
    </row>
    <row r="65" spans="1:56">
      <c r="A65" s="3208"/>
      <c r="B65" s="3208"/>
      <c r="C65" s="6318" t="s">
        <v>1273</v>
      </c>
      <c r="D65" s="6318"/>
      <c r="E65" s="6318"/>
      <c r="F65" s="6318"/>
      <c r="G65" s="6318"/>
      <c r="H65" s="6318"/>
      <c r="I65" s="6318"/>
      <c r="J65" s="6318"/>
      <c r="K65" s="6318"/>
      <c r="L65" s="3010" t="s">
        <v>1025</v>
      </c>
      <c r="M65" s="779"/>
      <c r="N65" s="779"/>
      <c r="O65" s="779"/>
      <c r="P65" s="2434"/>
      <c r="Q65" s="2434"/>
      <c r="R65" s="779"/>
      <c r="S65" s="2434"/>
      <c r="T65" s="2434" t="s">
        <v>722</v>
      </c>
      <c r="U65" s="779"/>
      <c r="V65" s="779"/>
      <c r="W65" s="779"/>
      <c r="X65" s="779"/>
      <c r="Y65" s="779"/>
      <c r="Z65" s="779"/>
      <c r="AA65" s="2434" t="s">
        <v>722</v>
      </c>
      <c r="AB65" s="2434"/>
      <c r="AC65" s="668"/>
      <c r="AD65" s="668"/>
      <c r="AE65" s="675"/>
      <c r="AF65" s="675"/>
      <c r="AG65" s="3225"/>
      <c r="AH65" s="3126"/>
      <c r="AI65" s="3226"/>
      <c r="AJ65" s="283"/>
      <c r="AK65" s="283"/>
      <c r="AL65" s="283"/>
      <c r="AM65" s="283"/>
      <c r="AN65" s="283"/>
      <c r="AO65" s="283"/>
      <c r="AP65" s="283"/>
      <c r="AQ65" s="283"/>
      <c r="AR65" s="283"/>
      <c r="AS65" s="283"/>
      <c r="AT65" s="3228"/>
      <c r="AU65" s="283"/>
      <c r="AV65" s="283">
        <f t="shared" si="0"/>
        <v>0</v>
      </c>
      <c r="AW65" s="283">
        <f t="shared" si="1"/>
        <v>0</v>
      </c>
      <c r="AX65" s="283">
        <f t="shared" si="2"/>
        <v>0</v>
      </c>
      <c r="AY65" s="283" cm="1">
        <f t="array" ref="AY65">COUNTIFS($C65:$AG65,"9",$C$4:$AG$4,"1")+SUM(COUNTIFS($C65:$AG65,{"8","9"},$C$4:$AG$4,"2"))+COUNTIFS($C65:$AG65,"8",$C$4:$AG$4,"3")</f>
        <v>0</v>
      </c>
      <c r="AZ65" s="283">
        <f t="shared" si="3"/>
        <v>0</v>
      </c>
      <c r="BA65" s="283">
        <f t="shared" si="4"/>
        <v>0</v>
      </c>
      <c r="BB65" s="283">
        <f>AV65*'Spreadsheet Key'!$A$27+AW65*'Spreadsheet Key'!$A$28+AX65*'Spreadsheet Key'!$A$29+AY65*'Spreadsheet Key'!$A$30+AZ65*'Spreadsheet Key'!$A$31</f>
        <v>0</v>
      </c>
      <c r="BC65" s="283"/>
      <c r="BD65" s="283"/>
    </row>
    <row r="66" spans="1:56" s="3211" customFormat="1">
      <c r="A66" s="3180" t="s">
        <v>155</v>
      </c>
      <c r="B66" s="3187" t="s">
        <v>532</v>
      </c>
      <c r="C66" s="3199">
        <v>2</v>
      </c>
      <c r="D66" s="3199">
        <v>2</v>
      </c>
      <c r="E66" s="3199">
        <v>2</v>
      </c>
      <c r="F66" s="3199">
        <v>2</v>
      </c>
      <c r="G66" s="3199">
        <v>2</v>
      </c>
      <c r="H66" s="3199">
        <v>2</v>
      </c>
      <c r="I66" s="3199">
        <v>2</v>
      </c>
      <c r="J66" s="3199">
        <v>2</v>
      </c>
      <c r="K66" s="3199">
        <v>2</v>
      </c>
      <c r="L66" s="3198">
        <v>3</v>
      </c>
      <c r="M66" s="3198">
        <v>0</v>
      </c>
      <c r="N66" s="3198">
        <v>0</v>
      </c>
      <c r="O66" s="3198">
        <v>0</v>
      </c>
      <c r="P66" s="3198">
        <v>0</v>
      </c>
      <c r="Q66" s="3198">
        <v>0</v>
      </c>
      <c r="R66" s="3198">
        <v>0</v>
      </c>
      <c r="S66" s="3198">
        <v>0</v>
      </c>
      <c r="T66" s="3198">
        <v>9</v>
      </c>
      <c r="U66" s="3198">
        <v>0</v>
      </c>
      <c r="V66" s="3198">
        <v>0</v>
      </c>
      <c r="W66" s="3198">
        <v>0</v>
      </c>
      <c r="X66" s="3198">
        <v>0</v>
      </c>
      <c r="Y66" s="3198">
        <v>0</v>
      </c>
      <c r="Z66" s="3198">
        <v>0</v>
      </c>
      <c r="AA66" s="3198">
        <v>9</v>
      </c>
      <c r="AB66" s="3198">
        <v>0</v>
      </c>
      <c r="AC66" s="3198">
        <v>0</v>
      </c>
      <c r="AD66" s="3198">
        <v>0</v>
      </c>
      <c r="AE66" s="3198">
        <v>0</v>
      </c>
      <c r="AF66" s="3198">
        <v>0</v>
      </c>
      <c r="AG66" s="3198">
        <v>0</v>
      </c>
      <c r="AH66" s="3209"/>
      <c r="AI66" s="3226">
        <v>0</v>
      </c>
      <c r="AJ66" s="283" cm="1">
        <f t="array" ref="AJ66">SUM(COUNTIFS($C66:$AG66,{"0","4","5","6","7","8","9"}))</f>
        <v>21</v>
      </c>
      <c r="AK66" s="283" cm="1">
        <f t="array" ref="AK66">SUM(COUNTIFS($C66:$AG66,{"0","4","5","6","7","8","9"},$C$4:$AG$4,"0"))</f>
        <v>10</v>
      </c>
      <c r="AL66" s="283" cm="1">
        <f t="array" ref="AL66">SUM(COUNTIFS($C66:$AG66,{"0","4","5","6","7","8","9"},$C$4:$AG$4,"1"))</f>
        <v>3</v>
      </c>
      <c r="AM66" s="283" cm="1">
        <f t="array" ref="AM66">SUM(COUNTIFS($C66:$AG66,{"0","4","5","6","7","8","9"},$C$4:$AG$4,"2"))</f>
        <v>5</v>
      </c>
      <c r="AN66" s="283" cm="1">
        <f t="array" ref="AN66">SUM(COUNTIFS($C66:$AG66,{"0","4","5","6","7","8","9"},$C$4:$AG$4,"3"))</f>
        <v>3</v>
      </c>
      <c r="AO66" s="283" cm="1">
        <f t="array" ref="AO66">SUM(COUNTIFS($C66:$AG66,{"1","2","3"}))</f>
        <v>10</v>
      </c>
      <c r="AP66" s="283" cm="1">
        <f t="array" ref="AP66">SUM(COUNTIFS($C66:$AG66,{"4","5","6"}))</f>
        <v>0</v>
      </c>
      <c r="AQ66" s="283">
        <f>AK66*'Spreadsheet Key'!$A$23 + AL66*'Spreadsheet Key'!$A$24 + AM66*'Spreadsheet Key'!$A$25 + AN66*'Spreadsheet Key'!$A$26</f>
        <v>910</v>
      </c>
      <c r="AR66" s="283">
        <f>AJ66/('MAY Statistics'!$B$30)*ABS(AI66-1)</f>
        <v>3.6458333333333336E-2</v>
      </c>
      <c r="AS66" s="283">
        <f t="shared" ref="AS66" si="47">AI66*AT66</f>
        <v>0</v>
      </c>
      <c r="AT66" s="3228">
        <f>AR66*'MAY Statistics'!$C$11</f>
        <v>44.895520833333336</v>
      </c>
      <c r="AU66" s="283"/>
      <c r="AV66" s="283">
        <f t="shared" si="0"/>
        <v>0</v>
      </c>
      <c r="AW66" s="283">
        <f t="shared" si="1"/>
        <v>0</v>
      </c>
      <c r="AX66" s="283">
        <f t="shared" si="2"/>
        <v>0</v>
      </c>
      <c r="AY66" s="283" cm="1">
        <f t="array" ref="AY66">COUNTIFS($C66:$AG66,"9",$C$4:$AG$4,"1")+SUM(COUNTIFS($C66:$AG66,{"8","9"},$C$4:$AG$4,"2"))+COUNTIFS($C66:$AG66,"8",$C$4:$AG$4,"3")</f>
        <v>1</v>
      </c>
      <c r="AZ66" s="283">
        <f t="shared" si="3"/>
        <v>1</v>
      </c>
      <c r="BA66" s="283">
        <f t="shared" si="4"/>
        <v>2</v>
      </c>
      <c r="BB66" s="283">
        <f>AV66*'Spreadsheet Key'!$A$27+AW66*'Spreadsheet Key'!$A$28+AX66*'Spreadsheet Key'!$A$29+AY66*'Spreadsheet Key'!$A$30+AZ66*'Spreadsheet Key'!$A$31</f>
        <v>56</v>
      </c>
      <c r="BC66" s="283"/>
      <c r="BD66" s="283">
        <f t="shared" ref="BD66" si="48">AT66-BB66</f>
        <v>-11.104479166666664</v>
      </c>
    </row>
    <row r="67" spans="1:56">
      <c r="B67" s="916" t="s">
        <v>720</v>
      </c>
      <c r="C67">
        <f>COUNTIF(C$5:C$66,"D")</f>
        <v>1</v>
      </c>
      <c r="D67">
        <f t="shared" ref="D67:AG67" si="49">COUNTIF(D$5:D$66,"D")</f>
        <v>1</v>
      </c>
      <c r="E67">
        <f t="shared" si="49"/>
        <v>1</v>
      </c>
      <c r="F67">
        <f t="shared" si="49"/>
        <v>1</v>
      </c>
      <c r="G67">
        <f t="shared" si="49"/>
        <v>1</v>
      </c>
      <c r="H67">
        <f t="shared" si="49"/>
        <v>1</v>
      </c>
      <c r="I67">
        <f t="shared" si="49"/>
        <v>1</v>
      </c>
      <c r="J67">
        <f t="shared" si="49"/>
        <v>1</v>
      </c>
      <c r="K67">
        <f t="shared" si="49"/>
        <v>1</v>
      </c>
      <c r="L67">
        <f t="shared" si="49"/>
        <v>1</v>
      </c>
      <c r="M67">
        <f t="shared" si="49"/>
        <v>1</v>
      </c>
      <c r="N67">
        <f t="shared" si="49"/>
        <v>1</v>
      </c>
      <c r="O67">
        <f t="shared" si="49"/>
        <v>1</v>
      </c>
      <c r="P67">
        <f t="shared" si="49"/>
        <v>1</v>
      </c>
      <c r="Q67">
        <f t="shared" si="49"/>
        <v>1</v>
      </c>
      <c r="R67">
        <f t="shared" si="49"/>
        <v>1</v>
      </c>
      <c r="S67">
        <f t="shared" si="49"/>
        <v>1</v>
      </c>
      <c r="T67">
        <f t="shared" si="49"/>
        <v>1</v>
      </c>
      <c r="U67">
        <f t="shared" si="49"/>
        <v>1</v>
      </c>
      <c r="V67">
        <f t="shared" si="49"/>
        <v>1</v>
      </c>
      <c r="W67">
        <f t="shared" si="49"/>
        <v>1</v>
      </c>
      <c r="X67">
        <f t="shared" si="49"/>
        <v>1</v>
      </c>
      <c r="Y67">
        <f t="shared" si="49"/>
        <v>1</v>
      </c>
      <c r="Z67">
        <f t="shared" si="49"/>
        <v>1</v>
      </c>
      <c r="AA67">
        <f t="shared" si="49"/>
        <v>1</v>
      </c>
      <c r="AB67">
        <f t="shared" si="49"/>
        <v>1</v>
      </c>
      <c r="AC67">
        <f t="shared" si="49"/>
        <v>1</v>
      </c>
      <c r="AD67">
        <f t="shared" si="49"/>
        <v>1</v>
      </c>
      <c r="AE67">
        <f t="shared" si="49"/>
        <v>1</v>
      </c>
      <c r="AF67">
        <f t="shared" si="49"/>
        <v>1</v>
      </c>
      <c r="AG67">
        <f t="shared" si="49"/>
        <v>1</v>
      </c>
      <c r="AJ67" s="283"/>
      <c r="AK67" s="283"/>
      <c r="AL67" s="283"/>
      <c r="AM67" s="283"/>
      <c r="AN67" s="283"/>
      <c r="AO67" s="283"/>
      <c r="AP67" s="283"/>
      <c r="AQ67" s="283"/>
      <c r="AR67" s="283">
        <f>SUM(AR6:AR66)</f>
        <v>1.0052083333333333</v>
      </c>
      <c r="AS67" s="283">
        <f>SUM(AS6:AS66)</f>
        <v>96.58064516129032</v>
      </c>
      <c r="AT67" s="3228">
        <f>SUM(AT6:AT66)</f>
        <v>1334.414290994624</v>
      </c>
      <c r="AU67" s="283"/>
      <c r="AV67" s="283">
        <f t="shared" ref="AV67:BA67" si="50">SUM(AV6:AV66)</f>
        <v>15</v>
      </c>
      <c r="AW67" s="283">
        <f t="shared" si="50"/>
        <v>15</v>
      </c>
      <c r="AX67" s="283">
        <f t="shared" si="50"/>
        <v>5</v>
      </c>
      <c r="AY67" s="283">
        <f t="shared" si="50"/>
        <v>23</v>
      </c>
      <c r="AZ67" s="283">
        <f t="shared" si="50"/>
        <v>4</v>
      </c>
      <c r="BA67" s="283">
        <f t="shared" si="50"/>
        <v>62</v>
      </c>
      <c r="BB67" s="283">
        <f>SUM(BB6:BB66)</f>
        <v>1328</v>
      </c>
      <c r="BC67" s="283"/>
      <c r="BD67" s="283">
        <f>SUM(BD6:BD66)</f>
        <v>6.4142909946237339</v>
      </c>
    </row>
    <row r="68" spans="1:56">
      <c r="B68" s="916">
        <v>8</v>
      </c>
      <c r="C68">
        <f>COUNTIF(C$6:C$66,8)</f>
        <v>1</v>
      </c>
      <c r="D68">
        <f t="shared" ref="D68:AG68" si="51">COUNTIF(D$6:D$66,8)</f>
        <v>1</v>
      </c>
      <c r="E68">
        <f t="shared" si="51"/>
        <v>1</v>
      </c>
      <c r="F68">
        <f t="shared" si="51"/>
        <v>1</v>
      </c>
      <c r="G68">
        <f t="shared" si="51"/>
        <v>1</v>
      </c>
      <c r="H68">
        <f t="shared" si="51"/>
        <v>1</v>
      </c>
      <c r="I68">
        <f t="shared" si="51"/>
        <v>1</v>
      </c>
      <c r="J68">
        <f t="shared" si="51"/>
        <v>1</v>
      </c>
      <c r="K68">
        <f t="shared" si="51"/>
        <v>1</v>
      </c>
      <c r="L68">
        <f t="shared" si="51"/>
        <v>1</v>
      </c>
      <c r="M68">
        <f t="shared" si="51"/>
        <v>1</v>
      </c>
      <c r="N68">
        <f t="shared" si="51"/>
        <v>1</v>
      </c>
      <c r="O68">
        <f t="shared" si="51"/>
        <v>1</v>
      </c>
      <c r="P68">
        <f t="shared" si="51"/>
        <v>1</v>
      </c>
      <c r="Q68">
        <f t="shared" si="51"/>
        <v>1</v>
      </c>
      <c r="R68">
        <f t="shared" si="51"/>
        <v>1</v>
      </c>
      <c r="S68">
        <f t="shared" si="51"/>
        <v>1</v>
      </c>
      <c r="T68">
        <f t="shared" si="51"/>
        <v>1</v>
      </c>
      <c r="U68">
        <f t="shared" si="51"/>
        <v>1</v>
      </c>
      <c r="V68">
        <f t="shared" si="51"/>
        <v>1</v>
      </c>
      <c r="W68">
        <f t="shared" si="51"/>
        <v>1</v>
      </c>
      <c r="X68">
        <f t="shared" si="51"/>
        <v>1</v>
      </c>
      <c r="Y68">
        <f t="shared" si="51"/>
        <v>1</v>
      </c>
      <c r="Z68">
        <f t="shared" si="51"/>
        <v>1</v>
      </c>
      <c r="AA68">
        <f t="shared" si="51"/>
        <v>1</v>
      </c>
      <c r="AB68">
        <f t="shared" si="51"/>
        <v>1</v>
      </c>
      <c r="AC68">
        <f t="shared" si="51"/>
        <v>1</v>
      </c>
      <c r="AD68">
        <f t="shared" si="51"/>
        <v>1</v>
      </c>
      <c r="AE68">
        <f t="shared" si="51"/>
        <v>1</v>
      </c>
      <c r="AF68">
        <f t="shared" si="51"/>
        <v>1</v>
      </c>
      <c r="AG68">
        <f t="shared" si="51"/>
        <v>1</v>
      </c>
      <c r="AJ68" s="283"/>
      <c r="AK68" s="283"/>
      <c r="AL68" s="283"/>
      <c r="AM68" s="283"/>
      <c r="AN68" s="283"/>
      <c r="AO68" s="283"/>
      <c r="AP68" s="283"/>
      <c r="AQ68" s="283"/>
      <c r="AR68" t="s">
        <v>1214</v>
      </c>
      <c r="AS68" s="283">
        <f>SUM(AS6:AS66)</f>
        <v>96.58064516129032</v>
      </c>
      <c r="AT68" s="283"/>
      <c r="AU68" s="283"/>
      <c r="AV68" s="283"/>
      <c r="AW68" s="283"/>
      <c r="AX68" s="283"/>
      <c r="AY68" s="283"/>
      <c r="AZ68" s="283"/>
      <c r="BA68" s="283"/>
      <c r="BB68" s="283">
        <f>SUM(AV67*'Spreadsheet Key'!A27+'MAY STWO Watchbill _ draft 1'!AW67*'Spreadsheet Key'!A28+'MAY STWO Watchbill _ draft 1'!AX67*'Spreadsheet Key'!A29+'MAY STWO Watchbill _ draft 1'!AY67*'Spreadsheet Key'!A30+'MAY STWO Watchbill _ draft 1'!AZ67*'Spreadsheet Key'!A31)</f>
        <v>1328</v>
      </c>
      <c r="BC68" s="283"/>
      <c r="BD68" s="283">
        <f>STDEV(BD6:BD66)</f>
        <v>15.755165237156437</v>
      </c>
    </row>
    <row r="69" spans="1:56">
      <c r="B69" s="916" t="s">
        <v>722</v>
      </c>
      <c r="C69">
        <f>COUNTIF(C$5:C$66,"N")</f>
        <v>1</v>
      </c>
      <c r="D69">
        <f t="shared" ref="D69:AG69" si="52">COUNTIF(D$5:D$66,"N")</f>
        <v>1</v>
      </c>
      <c r="E69">
        <f t="shared" si="52"/>
        <v>1</v>
      </c>
      <c r="F69">
        <f t="shared" si="52"/>
        <v>1</v>
      </c>
      <c r="G69">
        <f t="shared" si="52"/>
        <v>1</v>
      </c>
      <c r="H69">
        <f t="shared" si="52"/>
        <v>1</v>
      </c>
      <c r="I69">
        <f t="shared" si="52"/>
        <v>1</v>
      </c>
      <c r="J69">
        <f t="shared" si="52"/>
        <v>1</v>
      </c>
      <c r="K69">
        <f t="shared" si="52"/>
        <v>1</v>
      </c>
      <c r="L69">
        <f t="shared" si="52"/>
        <v>1</v>
      </c>
      <c r="M69">
        <f t="shared" si="52"/>
        <v>1</v>
      </c>
      <c r="N69">
        <f t="shared" si="52"/>
        <v>1</v>
      </c>
      <c r="O69">
        <f t="shared" si="52"/>
        <v>1</v>
      </c>
      <c r="P69">
        <f t="shared" si="52"/>
        <v>1</v>
      </c>
      <c r="Q69">
        <f t="shared" si="52"/>
        <v>1</v>
      </c>
      <c r="R69">
        <f t="shared" si="52"/>
        <v>1</v>
      </c>
      <c r="S69">
        <f t="shared" si="52"/>
        <v>1</v>
      </c>
      <c r="T69">
        <f t="shared" si="52"/>
        <v>1</v>
      </c>
      <c r="U69">
        <f t="shared" si="52"/>
        <v>1</v>
      </c>
      <c r="V69">
        <f t="shared" si="52"/>
        <v>1</v>
      </c>
      <c r="W69">
        <f t="shared" si="52"/>
        <v>1</v>
      </c>
      <c r="X69">
        <f t="shared" si="52"/>
        <v>1</v>
      </c>
      <c r="Y69">
        <f t="shared" si="52"/>
        <v>1</v>
      </c>
      <c r="Z69">
        <f t="shared" si="52"/>
        <v>1</v>
      </c>
      <c r="AA69">
        <f t="shared" si="52"/>
        <v>1</v>
      </c>
      <c r="AB69">
        <f t="shared" si="52"/>
        <v>1</v>
      </c>
      <c r="AC69">
        <f t="shared" si="52"/>
        <v>1</v>
      </c>
      <c r="AD69">
        <f t="shared" si="52"/>
        <v>1</v>
      </c>
      <c r="AE69">
        <f t="shared" si="52"/>
        <v>1</v>
      </c>
      <c r="AF69">
        <f t="shared" si="52"/>
        <v>1</v>
      </c>
      <c r="AG69">
        <f t="shared" si="52"/>
        <v>1</v>
      </c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  <c r="BB69" s="283"/>
      <c r="BC69" s="283"/>
      <c r="BD69" s="283"/>
    </row>
    <row r="70" spans="1:56">
      <c r="B70" s="916">
        <v>9</v>
      </c>
      <c r="C70">
        <f>COUNTIF(C$6:C$66,9)</f>
        <v>1</v>
      </c>
      <c r="D70">
        <f t="shared" ref="D70:AG70" si="53">COUNTIF(D$6:D$66,9)</f>
        <v>1</v>
      </c>
      <c r="E70">
        <f t="shared" si="53"/>
        <v>1</v>
      </c>
      <c r="F70">
        <f t="shared" si="53"/>
        <v>1</v>
      </c>
      <c r="G70">
        <f t="shared" si="53"/>
        <v>1</v>
      </c>
      <c r="H70">
        <f t="shared" si="53"/>
        <v>1</v>
      </c>
      <c r="I70">
        <f t="shared" si="53"/>
        <v>1</v>
      </c>
      <c r="J70">
        <f t="shared" si="53"/>
        <v>1</v>
      </c>
      <c r="K70">
        <f t="shared" si="53"/>
        <v>1</v>
      </c>
      <c r="L70">
        <f t="shared" si="53"/>
        <v>1</v>
      </c>
      <c r="M70">
        <f t="shared" si="53"/>
        <v>1</v>
      </c>
      <c r="N70">
        <f t="shared" si="53"/>
        <v>1</v>
      </c>
      <c r="O70">
        <f t="shared" si="53"/>
        <v>1</v>
      </c>
      <c r="P70">
        <f t="shared" si="53"/>
        <v>1</v>
      </c>
      <c r="Q70">
        <f t="shared" si="53"/>
        <v>1</v>
      </c>
      <c r="R70">
        <f t="shared" si="53"/>
        <v>1</v>
      </c>
      <c r="S70">
        <f t="shared" si="53"/>
        <v>1</v>
      </c>
      <c r="T70">
        <f t="shared" si="53"/>
        <v>1</v>
      </c>
      <c r="U70">
        <f t="shared" si="53"/>
        <v>1</v>
      </c>
      <c r="V70">
        <f t="shared" si="53"/>
        <v>1</v>
      </c>
      <c r="W70">
        <f t="shared" si="53"/>
        <v>1</v>
      </c>
      <c r="X70">
        <f t="shared" si="53"/>
        <v>1</v>
      </c>
      <c r="Y70">
        <f t="shared" si="53"/>
        <v>1</v>
      </c>
      <c r="Z70">
        <f t="shared" si="53"/>
        <v>1</v>
      </c>
      <c r="AA70">
        <f t="shared" si="53"/>
        <v>1</v>
      </c>
      <c r="AB70">
        <f t="shared" si="53"/>
        <v>1</v>
      </c>
      <c r="AC70">
        <f t="shared" si="53"/>
        <v>1</v>
      </c>
      <c r="AD70">
        <f t="shared" si="53"/>
        <v>1</v>
      </c>
      <c r="AE70">
        <f t="shared" si="53"/>
        <v>1</v>
      </c>
      <c r="AF70">
        <f t="shared" si="53"/>
        <v>1</v>
      </c>
      <c r="AG70">
        <f t="shared" si="53"/>
        <v>1</v>
      </c>
      <c r="AJ70" s="283"/>
      <c r="AK70" s="283"/>
      <c r="AL70" s="283"/>
      <c r="AM70" s="283"/>
      <c r="AN70" s="283"/>
      <c r="AO70" s="283"/>
      <c r="AP70" s="283"/>
      <c r="AQ70" s="283"/>
      <c r="AR70" s="283"/>
      <c r="AS70" s="283"/>
      <c r="AT70" s="283"/>
      <c r="AU70" s="283"/>
      <c r="AV70" s="283"/>
      <c r="AW70" s="283"/>
      <c r="AX70" s="283"/>
      <c r="AY70" s="283"/>
      <c r="AZ70" s="283"/>
      <c r="BA70" s="283"/>
      <c r="BB70" s="283"/>
      <c r="BC70" s="283"/>
      <c r="BD70" s="283"/>
    </row>
    <row r="71" spans="1:56">
      <c r="A71" t="s">
        <v>1151</v>
      </c>
      <c r="C71">
        <f>COUNTIF(C5:AG66,"D")</f>
        <v>31</v>
      </c>
      <c r="AR71" s="283"/>
      <c r="AS71" s="283"/>
    </row>
    <row r="72" spans="1:56">
      <c r="A72" t="s">
        <v>1152</v>
      </c>
      <c r="C72">
        <f>COUNTIF(C5:AG66,"8")</f>
        <v>31</v>
      </c>
      <c r="AR72" s="283"/>
      <c r="AS72" s="283"/>
    </row>
    <row r="73" spans="1:56">
      <c r="A73" t="s">
        <v>1153</v>
      </c>
      <c r="C73">
        <f>COUNTIF(C5:AG66,"N")</f>
        <v>31</v>
      </c>
      <c r="AR73" s="283"/>
      <c r="AS73" s="283"/>
    </row>
    <row r="74" spans="1:56">
      <c r="A74" t="s">
        <v>1154</v>
      </c>
      <c r="C74">
        <f>COUNTIF(C5:AG66,"9")</f>
        <v>31</v>
      </c>
      <c r="AR74" s="283"/>
      <c r="AS74" s="283"/>
    </row>
    <row r="76" spans="1:56">
      <c r="AT76" cm="1">
        <f t="array" ref="AT76">SUM(AI6:AI66*AT6:AT66)</f>
        <v>96.58064516129032</v>
      </c>
    </row>
  </sheetData>
  <mergeCells count="42">
    <mergeCell ref="X27:AG27"/>
    <mergeCell ref="X31:AG31"/>
    <mergeCell ref="C43:E43"/>
    <mergeCell ref="F43:G43"/>
    <mergeCell ref="H43:R43"/>
    <mergeCell ref="C41:J41"/>
    <mergeCell ref="Y43:AB43"/>
    <mergeCell ref="V37:W37"/>
    <mergeCell ref="C39:D39"/>
    <mergeCell ref="G39:R39"/>
    <mergeCell ref="Y41:AB41"/>
    <mergeCell ref="A1:B1"/>
    <mergeCell ref="AJ1:BH1"/>
    <mergeCell ref="A2:B2"/>
    <mergeCell ref="A3:B3"/>
    <mergeCell ref="AJ3:AT3"/>
    <mergeCell ref="AV3:BB3"/>
    <mergeCell ref="C1:AG1"/>
    <mergeCell ref="A4:B4"/>
    <mergeCell ref="H5:R5"/>
    <mergeCell ref="H7:R7"/>
    <mergeCell ref="I9:J9"/>
    <mergeCell ref="Y13:AB13"/>
    <mergeCell ref="H15:R15"/>
    <mergeCell ref="D17:R17"/>
    <mergeCell ref="H19:R19"/>
    <mergeCell ref="Y23:AB23"/>
    <mergeCell ref="H13:R13"/>
    <mergeCell ref="C23:D23"/>
    <mergeCell ref="I63:M63"/>
    <mergeCell ref="C65:K65"/>
    <mergeCell ref="F63:G63"/>
    <mergeCell ref="Y45:AB45"/>
    <mergeCell ref="G47:R47"/>
    <mergeCell ref="G49:R49"/>
    <mergeCell ref="Y49:AB49"/>
    <mergeCell ref="I51:J51"/>
    <mergeCell ref="I61:J61"/>
    <mergeCell ref="C45:D45"/>
    <mergeCell ref="G45:R45"/>
    <mergeCell ref="D53:R53"/>
    <mergeCell ref="I57:J57"/>
  </mergeCells>
  <conditionalFormatting sqref="BD1:BD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7:BD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6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AG70">
    <cfRule type="cellIs" dxfId="123" priority="2" operator="equal">
      <formula>0</formula>
    </cfRule>
  </conditionalFormatting>
  <conditionalFormatting sqref="C67:AG70">
    <cfRule type="cellIs" dxfId="122" priority="1" operator="equal">
      <formula>1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E54A-0716-4785-883F-B892C16DABEA}">
  <dimension ref="A1:E31"/>
  <sheetViews>
    <sheetView workbookViewId="0">
      <selection activeCell="I36" sqref="I36"/>
    </sheetView>
  </sheetViews>
  <sheetFormatPr defaultRowHeight="15"/>
  <cols>
    <col min="1" max="1" width="29.28515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SUM(COUNTIF('MAY STWO Watchbill'!$D$4:$AH$4,"0"))</f>
        <v>15</v>
      </c>
      <c r="C2">
        <f>B2*'Spreadsheet Key'!A23</f>
        <v>330</v>
      </c>
    </row>
    <row r="3" spans="1:5">
      <c r="A3" t="s">
        <v>1159</v>
      </c>
      <c r="B3">
        <f>SUM(COUNTIF('MAY STWO Watchbill'!$D$4:$AH$4,"1"))</f>
        <v>5</v>
      </c>
      <c r="C3">
        <f>B3*'Spreadsheet Key'!A24</f>
        <v>270</v>
      </c>
    </row>
    <row r="4" spans="1:5">
      <c r="A4" t="s">
        <v>1160</v>
      </c>
      <c r="B4">
        <f>SUM(COUNTIF('MAY STWO Watchbill'!$D$4:$AH$4,"2"))</f>
        <v>7</v>
      </c>
      <c r="C4">
        <f>B4*'Spreadsheet Key'!A25</f>
        <v>504</v>
      </c>
    </row>
    <row r="5" spans="1:5">
      <c r="A5" t="s">
        <v>1161</v>
      </c>
      <c r="B5">
        <f>SUM(COUNTIF('MAY STWO Watchbill'!$D$4:$AH$4,"3"))</f>
        <v>4</v>
      </c>
      <c r="C5">
        <f>B5*'Spreadsheet Key'!A26</f>
        <v>224</v>
      </c>
    </row>
    <row r="6" spans="1:5">
      <c r="A6" t="s">
        <v>571</v>
      </c>
      <c r="B6">
        <f>SUM(B2:B5)</f>
        <v>31</v>
      </c>
      <c r="C6">
        <f>SUM(C2:C5)</f>
        <v>1328</v>
      </c>
    </row>
    <row r="7" spans="1:5">
      <c r="A7" t="s">
        <v>1162</v>
      </c>
      <c r="B7">
        <f>2*B6/$B$15</f>
        <v>2</v>
      </c>
      <c r="C7">
        <f>C6/$B$15</f>
        <v>42.838709677419352</v>
      </c>
    </row>
    <row r="9" spans="1:5">
      <c r="A9" t="s">
        <v>1214</v>
      </c>
      <c r="C9">
        <v>96.58</v>
      </c>
      <c r="D9">
        <f>_xlfn.XLOOKUP(A9,'MAY STWO Watchbill'!AR68,'MAY STWO Watchbill'!AS68)</f>
        <v>96.58064516129032</v>
      </c>
    </row>
    <row r="10" spans="1:5">
      <c r="A10" t="s">
        <v>1294</v>
      </c>
      <c r="C10">
        <v>0</v>
      </c>
    </row>
    <row r="11" spans="1:5">
      <c r="A11" s="3227" t="s">
        <v>1224</v>
      </c>
      <c r="C11">
        <f>C6-C9-C10</f>
        <v>1231.42</v>
      </c>
    </row>
    <row r="14" spans="1:5">
      <c r="A14" t="s">
        <v>1163</v>
      </c>
      <c r="B14" t="s">
        <v>1164</v>
      </c>
    </row>
    <row r="15" spans="1:5">
      <c r="A15" t="s">
        <v>1117</v>
      </c>
      <c r="B15">
        <f>COUNTA('MAY STWO Watchbill'!A5:A66)</f>
        <v>31</v>
      </c>
    </row>
    <row r="16" spans="1:5">
      <c r="A16" t="s">
        <v>1225</v>
      </c>
      <c r="B16">
        <f>SUM('MAY STWO Watchbill'!AI6:AI66)</f>
        <v>5</v>
      </c>
    </row>
    <row r="17" spans="1:4">
      <c r="A17" t="s">
        <v>1226</v>
      </c>
      <c r="B17">
        <f>B15-B16</f>
        <v>26</v>
      </c>
    </row>
    <row r="21" spans="1:4">
      <c r="A21" t="s">
        <v>1166</v>
      </c>
      <c r="B21" t="s">
        <v>1155</v>
      </c>
      <c r="C21" t="s">
        <v>1156</v>
      </c>
    </row>
    <row r="22" spans="1:4">
      <c r="A22" t="s">
        <v>1158</v>
      </c>
      <c r="B22">
        <f>SUM('MAY STWO Watchbill'!AK6:AK66)</f>
        <v>317</v>
      </c>
      <c r="C22">
        <f>B22*'Spreadsheet Key'!A23</f>
        <v>6974</v>
      </c>
    </row>
    <row r="23" spans="1:4">
      <c r="A23" t="s">
        <v>1159</v>
      </c>
      <c r="B23">
        <f>SUM('MAY STWO Watchbill'!AL6:AL66)</f>
        <v>110</v>
      </c>
      <c r="C23">
        <f>B23*'Spreadsheet Key'!A24</f>
        <v>5940</v>
      </c>
    </row>
    <row r="24" spans="1:4">
      <c r="A24" t="s">
        <v>1160</v>
      </c>
      <c r="B24">
        <f>SUM('MAY STWO Watchbill'!AM6:AM66)</f>
        <v>170</v>
      </c>
      <c r="C24">
        <f>B24*'Spreadsheet Key'!A25</f>
        <v>12240</v>
      </c>
    </row>
    <row r="25" spans="1:4">
      <c r="A25" t="s">
        <v>1161</v>
      </c>
      <c r="B25">
        <f>SUM('MAY STWO Watchbill'!AN6:AN66)</f>
        <v>97</v>
      </c>
      <c r="C25">
        <f>B25*'Spreadsheet Key'!A26</f>
        <v>5432</v>
      </c>
    </row>
    <row r="26" spans="1:4">
      <c r="A26" t="s">
        <v>571</v>
      </c>
      <c r="B26">
        <f>SUM(B22:B25)</f>
        <v>694</v>
      </c>
      <c r="C26">
        <f>SUM(C22:C25)</f>
        <v>30586</v>
      </c>
    </row>
    <row r="27" spans="1:4">
      <c r="A27" t="s">
        <v>1167</v>
      </c>
      <c r="B27">
        <f>B26/B15</f>
        <v>22.387096774193548</v>
      </c>
      <c r="C27">
        <f>C26/$B15</f>
        <v>986.64516129032256</v>
      </c>
    </row>
    <row r="29" spans="1:4">
      <c r="A29" t="s">
        <v>1227</v>
      </c>
      <c r="B29" cm="1">
        <f t="array" ref="B29">SUM('MAY STWO Watchbill'!AI6:AI66*'MAY STWO Watchbill'!AJ6:AJ66)</f>
        <v>118</v>
      </c>
    </row>
    <row r="30" spans="1:4">
      <c r="A30" t="s">
        <v>1228</v>
      </c>
      <c r="B30">
        <f>B26-B29</f>
        <v>576</v>
      </c>
    </row>
    <row r="31" spans="1:4">
      <c r="B31" cm="1">
        <f t="array" ref="B31">SUM(ABS('MAY STWO Watchbill'!AI6:AI66-1)*'MAY STWO Watchbill'!AJ6:AJ66)</f>
        <v>576</v>
      </c>
      <c r="D31" t="s">
        <v>1295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BA67-C53F-4D28-9692-267344E19F30}">
  <sheetPr>
    <pageSetUpPr fitToPage="1"/>
  </sheetPr>
  <dimension ref="A1:AD979"/>
  <sheetViews>
    <sheetView view="pageLayout" zoomScaleNormal="100" workbookViewId="0">
      <selection activeCell="B29" sqref="B29"/>
    </sheetView>
  </sheetViews>
  <sheetFormatPr defaultColWidth="14.42578125" defaultRowHeight="15" customHeight="1"/>
  <cols>
    <col min="1" max="1" width="8.7109375" customWidth="1"/>
    <col min="2" max="2" width="20.140625" customWidth="1"/>
    <col min="3" max="3" width="8.7109375" customWidth="1"/>
    <col min="4" max="4" width="20.140625" customWidth="1"/>
    <col min="5" max="5" width="8.7109375" customWidth="1"/>
    <col min="6" max="6" width="20.140625" customWidth="1"/>
    <col min="7" max="7" width="8.7109375" customWidth="1"/>
    <col min="8" max="8" width="20.140625" customWidth="1"/>
    <col min="9" max="9" width="8.7109375" customWidth="1"/>
    <col min="10" max="10" width="20.140625" customWidth="1"/>
    <col min="11" max="11" width="8.7109375" customWidth="1"/>
    <col min="12" max="12" width="20.140625" customWidth="1"/>
    <col min="13" max="13" width="8.7109375" customWidth="1"/>
    <col min="14" max="14" width="20.140625" customWidth="1"/>
    <col min="15" max="16" width="8.7109375" customWidth="1"/>
    <col min="17" max="17" width="17.28515625" customWidth="1"/>
    <col min="18" max="18" width="17.5703125" customWidth="1"/>
    <col min="19" max="19" width="14.140625" bestFit="1" customWidth="1"/>
    <col min="20" max="20" width="15.42578125" bestFit="1" customWidth="1"/>
    <col min="21" max="21" width="11.5703125" bestFit="1" customWidth="1"/>
    <col min="22" max="22" width="22.28515625" bestFit="1" customWidth="1"/>
    <col min="23" max="23" width="13.28515625" customWidth="1"/>
    <col min="24" max="24" width="12.5703125" customWidth="1"/>
    <col min="25" max="30" width="8.7109375" customWidth="1"/>
  </cols>
  <sheetData>
    <row r="1" spans="1:30" ht="26.25" customHeight="1">
      <c r="A1" s="6322" t="s">
        <v>1296</v>
      </c>
      <c r="B1" s="6322"/>
      <c r="C1" s="6322"/>
      <c r="D1" s="6322"/>
      <c r="E1" s="6322"/>
      <c r="F1" s="6322"/>
      <c r="G1" s="6322"/>
      <c r="H1" s="6322"/>
      <c r="I1" s="6322"/>
      <c r="J1" s="6322"/>
      <c r="K1" s="6322"/>
      <c r="L1" s="6322"/>
      <c r="M1" s="6322"/>
      <c r="N1" s="6322"/>
      <c r="R1" s="3583"/>
    </row>
    <row r="2" spans="1:30" ht="82.5" customHeight="1">
      <c r="A2" s="6323" t="s">
        <v>1297</v>
      </c>
      <c r="B2" s="6324"/>
      <c r="C2" s="6324"/>
      <c r="D2" s="6324"/>
      <c r="E2" s="6324"/>
      <c r="F2" s="6324"/>
      <c r="G2" s="6324"/>
      <c r="H2" s="6324"/>
      <c r="I2" s="6324"/>
      <c r="J2" s="6324"/>
      <c r="K2" s="6324"/>
      <c r="L2" s="6324"/>
      <c r="M2" s="6324"/>
      <c r="N2" s="6325"/>
      <c r="O2" s="10"/>
      <c r="P2" s="10"/>
      <c r="Q2" s="10"/>
      <c r="R2" s="3267"/>
      <c r="S2" s="10" t="str" cm="1">
        <f t="array" aca="1" ref="S2" ca="1">_xlfn.XLOOKUP(8,'MAY STWO Watchbill'!D5:'MAY STWO Watchbill'!D66,'MAY STWO Watchbill'!$C5:'MAY STWO Watchbill'!$C66)</f>
        <v>CTTC THOMPSON</v>
      </c>
      <c r="T2" s="10"/>
      <c r="U2" s="10"/>
      <c r="V2" s="10"/>
      <c r="W2" s="10"/>
      <c r="X2" s="10"/>
      <c r="Y2" s="10"/>
      <c r="Z2" s="10"/>
    </row>
    <row r="3" spans="1:30">
      <c r="A3" s="6326" t="s">
        <v>1298</v>
      </c>
      <c r="B3" s="6327"/>
      <c r="C3" s="6328" t="s">
        <v>1299</v>
      </c>
      <c r="D3" s="6328"/>
      <c r="E3" s="6326" t="s">
        <v>1300</v>
      </c>
      <c r="F3" s="6328"/>
      <c r="G3" s="6326" t="s">
        <v>1301</v>
      </c>
      <c r="H3" s="6328"/>
      <c r="I3" s="6329" t="s">
        <v>1302</v>
      </c>
      <c r="J3" s="6330"/>
      <c r="K3" s="6329" t="s">
        <v>1303</v>
      </c>
      <c r="L3" s="6331"/>
      <c r="M3" s="6330" t="s">
        <v>1304</v>
      </c>
      <c r="N3" s="6331"/>
      <c r="O3" s="10"/>
      <c r="P3" s="10"/>
      <c r="Q3" s="3268" t="s">
        <v>1305</v>
      </c>
      <c r="R3" s="3269" t="s">
        <v>1306</v>
      </c>
      <c r="S3" s="3270" t="s">
        <v>1128</v>
      </c>
      <c r="T3" s="3270" t="s">
        <v>1129</v>
      </c>
      <c r="U3" s="3270" t="s">
        <v>1130</v>
      </c>
      <c r="V3" s="3270" t="s">
        <v>1131</v>
      </c>
      <c r="W3" s="3270" t="s">
        <v>1132</v>
      </c>
      <c r="X3" s="3271" t="s">
        <v>575</v>
      </c>
      <c r="Y3" s="10"/>
      <c r="Z3" s="10"/>
      <c r="AA3" s="10"/>
      <c r="AB3" s="10"/>
      <c r="AC3" s="10"/>
      <c r="AD3" s="10"/>
    </row>
    <row r="4" spans="1:30">
      <c r="A4" s="6320"/>
      <c r="B4" s="6353"/>
      <c r="C4" s="6321"/>
      <c r="D4" s="6321"/>
      <c r="E4" s="6320"/>
      <c r="F4" s="6321"/>
      <c r="G4" s="6320"/>
      <c r="H4" s="6321"/>
      <c r="I4" s="6334">
        <v>1</v>
      </c>
      <c r="J4" s="6335"/>
      <c r="K4" s="6334">
        <v>2</v>
      </c>
      <c r="L4" s="6336"/>
      <c r="M4" s="6344">
        <v>3</v>
      </c>
      <c r="N4" s="6345"/>
      <c r="O4" s="10"/>
      <c r="P4" s="10"/>
      <c r="Q4" s="3272" t="s">
        <v>718</v>
      </c>
      <c r="R4" s="3273"/>
      <c r="S4" s="3370">
        <f>_xlfn.XLOOKUP($Q4,'MAY STWO Watchbill'!$B$5:$B$66,'MAY STWO Watchbill'!AV$5:AV$66)</f>
        <v>0</v>
      </c>
      <c r="T4" s="3370">
        <f>_xlfn.XLOOKUP($Q4,'MAY STWO Watchbill'!$B$5:$B$66,'MAY STWO Watchbill'!AW$5:AW$66)</f>
        <v>0</v>
      </c>
      <c r="U4" s="3370">
        <f>_xlfn.XLOOKUP($Q4,'MAY STWO Watchbill'!$B$5:$B$66,'MAY STWO Watchbill'!AX$5:AX$66)</f>
        <v>1</v>
      </c>
      <c r="V4" s="3370">
        <f>_xlfn.XLOOKUP($Q4,'MAY STWO Watchbill'!$B$5:$B$66,'MAY STWO Watchbill'!AY$5:AY$66)</f>
        <v>1</v>
      </c>
      <c r="W4" s="3370">
        <f>_xlfn.XLOOKUP($Q4,'MAY STWO Watchbill'!$B$5:$B$66,'MAY STWO Watchbill'!AZ$5:AZ$66)</f>
        <v>0</v>
      </c>
      <c r="X4" s="3371">
        <f>SUM(S4:W4)</f>
        <v>2</v>
      </c>
      <c r="Y4" s="10"/>
      <c r="Z4" s="10"/>
      <c r="AA4" s="10"/>
      <c r="AB4" s="10"/>
      <c r="AC4" s="10"/>
      <c r="AD4" s="10"/>
    </row>
    <row r="5" spans="1:30">
      <c r="A5" s="3274"/>
      <c r="B5" s="3275"/>
      <c r="C5" s="3276"/>
      <c r="D5" s="3276"/>
      <c r="E5" s="3274"/>
      <c r="F5" s="3276"/>
      <c r="G5" s="3274"/>
      <c r="H5" s="3276"/>
      <c r="I5" s="6346" t="s">
        <v>1307</v>
      </c>
      <c r="J5" s="3277" t="str" cm="1">
        <f t="array" aca="1" ref="J5" ca="1">_xlfn.XLOOKUP(8,'MAY STWO Watchbill'!D5:'MAY STWO Watchbill'!D66,'MAY STWO Watchbill'!$C5:'MAY STWO Watchbill'!$C66)</f>
        <v>CTTC THOMPSON</v>
      </c>
      <c r="K5" s="6340" t="s">
        <v>1307</v>
      </c>
      <c r="L5" s="3381" t="str" cm="1">
        <f t="array" aca="1" ref="L5" ca="1">_xlfn.XLOOKUP(8,'MAY STWO Watchbill'!E5:'MAY STWO Watchbill'!E66,'MAY STWO Watchbill'!$C5:'MAY STWO Watchbill'!$C66)</f>
        <v>FC1 FERNANDEZ</v>
      </c>
      <c r="M5" s="6342" t="s">
        <v>1307</v>
      </c>
      <c r="N5" s="3376" t="str" cm="1">
        <f t="array" aca="1" ref="N5" ca="1">_xlfn.XLOOKUP(8,'MAY STWO Watchbill'!F5:'MAY STWO Watchbill'!F66,'MAY STWO Watchbill'!$C$5:'MAY STWO Watchbill'!$C$66)</f>
        <v>GSMC MCKEOWN</v>
      </c>
      <c r="O5" s="10"/>
      <c r="P5" s="10"/>
      <c r="Q5" s="3272" t="s">
        <v>327</v>
      </c>
      <c r="R5" s="3279"/>
      <c r="S5" s="3370">
        <f>_xlfn.XLOOKUP($Q5,'MAY STWO Watchbill'!$B$5:$B$66,'MAY STWO Watchbill'!AV$5:AV$66)</f>
        <v>1</v>
      </c>
      <c r="T5" s="3370">
        <f>_xlfn.XLOOKUP($Q5,'MAY STWO Watchbill'!$B$5:$B$66,'MAY STWO Watchbill'!AW$5:AW$66)</f>
        <v>0</v>
      </c>
      <c r="U5" s="3370">
        <f>_xlfn.XLOOKUP($Q5,'MAY STWO Watchbill'!$B$5:$B$66,'MAY STWO Watchbill'!AX$5:AX$66)</f>
        <v>0</v>
      </c>
      <c r="V5" s="3370">
        <f>_xlfn.XLOOKUP($Q5,'MAY STWO Watchbill'!$B$5:$B$66,'MAY STWO Watchbill'!AY$5:AY$66)</f>
        <v>1</v>
      </c>
      <c r="W5" s="3370">
        <f>_xlfn.XLOOKUP($Q5,'MAY STWO Watchbill'!$B$5:$B$66,'MAY STWO Watchbill'!AZ$5:AZ$66)</f>
        <v>0</v>
      </c>
      <c r="X5" s="3371">
        <f t="shared" ref="X5:X46" si="0">SUM(S5:W5)</f>
        <v>2</v>
      </c>
      <c r="Y5" s="10"/>
      <c r="Z5" s="10"/>
      <c r="AA5" s="10"/>
      <c r="AB5" s="10"/>
      <c r="AC5" s="10"/>
      <c r="AD5" s="10"/>
    </row>
    <row r="6" spans="1:30">
      <c r="A6" s="3280"/>
      <c r="B6" s="3281"/>
      <c r="C6" s="3282"/>
      <c r="D6" s="3283"/>
      <c r="E6" s="3280"/>
      <c r="F6" s="3283"/>
      <c r="G6" s="3280"/>
      <c r="H6" s="3283"/>
      <c r="I6" s="6347"/>
      <c r="J6" s="3284" t="s">
        <v>1308</v>
      </c>
      <c r="K6" s="6341"/>
      <c r="L6" s="3285"/>
      <c r="M6" s="6343"/>
      <c r="N6" s="3372"/>
      <c r="O6" s="10"/>
      <c r="Q6" s="3272" t="s">
        <v>98</v>
      </c>
      <c r="R6" s="3287"/>
      <c r="S6" s="3370">
        <f>_xlfn.XLOOKUP($Q6,'MAY STWO Watchbill'!$B$5:$B$66,'MAY STWO Watchbill'!AV$5:AV$66)</f>
        <v>0</v>
      </c>
      <c r="T6" s="3370">
        <f>_xlfn.XLOOKUP($Q6,'MAY STWO Watchbill'!$B$5:$B$66,'MAY STWO Watchbill'!AW$5:AW$66)</f>
        <v>0</v>
      </c>
      <c r="U6" s="3370">
        <f>_xlfn.XLOOKUP($Q6,'MAY STWO Watchbill'!$B$5:$B$66,'MAY STWO Watchbill'!AX$5:AX$66)</f>
        <v>0</v>
      </c>
      <c r="V6" s="3370">
        <f>_xlfn.XLOOKUP($Q6,'MAY STWO Watchbill'!$B$5:$B$66,'MAY STWO Watchbill'!AY$5:AY$66)</f>
        <v>0</v>
      </c>
      <c r="W6" s="3370">
        <f>_xlfn.XLOOKUP($Q6,'MAY STWO Watchbill'!$B$5:$B$66,'MAY STWO Watchbill'!AZ$5:AZ$66)</f>
        <v>0</v>
      </c>
      <c r="X6" s="3371">
        <f t="shared" si="0"/>
        <v>0</v>
      </c>
      <c r="Y6" s="10"/>
      <c r="Z6" s="10"/>
      <c r="AA6" s="10"/>
      <c r="AB6" s="10"/>
      <c r="AC6" s="10"/>
      <c r="AD6" s="10"/>
    </row>
    <row r="7" spans="1:30">
      <c r="A7" s="3280"/>
      <c r="B7" s="3288"/>
      <c r="C7" s="3282"/>
      <c r="D7" s="3289"/>
      <c r="E7" s="3280"/>
      <c r="F7" s="3289"/>
      <c r="G7" s="3280"/>
      <c r="H7" s="3289"/>
      <c r="I7" s="3290" t="s">
        <v>1309</v>
      </c>
      <c r="J7" s="3166" t="str" cm="1">
        <f t="array" aca="1" ref="J7" ca="1">_xlfn.XLOOKUP(9,'MAY STWO Watchbill'!D5:'MAY STWO Watchbill'!D66,'MAY STWO Watchbill'!$C5:'MAY STWO Watchbill'!$C66)</f>
        <v>OS1 TILLMAN</v>
      </c>
      <c r="K7" s="3290" t="s">
        <v>1309</v>
      </c>
      <c r="L7" s="3291" t="str" cm="1">
        <f t="array" aca="1" ref="L7" ca="1">_xlfn.XLOOKUP(9,'MAY STWO Watchbill'!E5:'MAY STWO Watchbill'!E66,'MAY STWO Watchbill'!$C5:'MAY STWO Watchbill'!$C66)</f>
        <v>OS1 LARA</v>
      </c>
      <c r="M7" s="3292" t="s">
        <v>1309</v>
      </c>
      <c r="N7" s="3382" t="str" cm="1">
        <f t="array" aca="1" ref="N7" ca="1">_xlfn.XLOOKUP(9,'MAY STWO Watchbill'!F5:'MAY STWO Watchbill'!F66,'MAY STWO Watchbill'!$C$5:'MAY STWO Watchbill'!$C$66)</f>
        <v>BMC FUENTES</v>
      </c>
      <c r="O7" s="10"/>
      <c r="P7" s="10"/>
      <c r="Q7" s="3272" t="s">
        <v>1310</v>
      </c>
      <c r="R7" s="3293">
        <v>45748</v>
      </c>
      <c r="S7" s="3370"/>
      <c r="T7" s="3370"/>
      <c r="U7" s="3370"/>
      <c r="V7" s="3370"/>
      <c r="W7" s="3370"/>
      <c r="X7" s="3371"/>
      <c r="Y7" s="10"/>
      <c r="Z7" s="10"/>
      <c r="AA7" s="10"/>
      <c r="AB7" s="10"/>
      <c r="AC7" s="10"/>
      <c r="AD7" s="10"/>
    </row>
    <row r="8" spans="1:30">
      <c r="A8" s="3280"/>
      <c r="B8" s="3294"/>
      <c r="C8" s="3282"/>
      <c r="D8" s="3295"/>
      <c r="E8" s="3280"/>
      <c r="F8" s="3295"/>
      <c r="G8" s="3280"/>
      <c r="H8" s="3295"/>
      <c r="I8" s="3290" t="s">
        <v>1311</v>
      </c>
      <c r="J8" s="3385" t="s">
        <v>1312</v>
      </c>
      <c r="K8" s="3290" t="s">
        <v>1311</v>
      </c>
      <c r="L8" s="3291" t="s">
        <v>1313</v>
      </c>
      <c r="M8" s="3373" t="s">
        <v>1311</v>
      </c>
      <c r="N8" s="3385" t="s">
        <v>1312</v>
      </c>
      <c r="O8" s="10"/>
      <c r="P8" s="10"/>
      <c r="Q8" s="3296" t="s">
        <v>1239</v>
      </c>
      <c r="R8" s="3297">
        <v>45748</v>
      </c>
      <c r="S8" s="3370"/>
      <c r="T8" s="3370"/>
      <c r="U8" s="3370"/>
      <c r="V8" s="3370"/>
      <c r="W8" s="3370"/>
      <c r="X8" s="3371"/>
      <c r="Y8" s="10"/>
      <c r="Z8" s="10"/>
      <c r="AA8" s="10"/>
      <c r="AB8" s="10"/>
      <c r="AC8" s="10"/>
      <c r="AD8" s="10"/>
    </row>
    <row r="9" spans="1:30" ht="15.75" customHeight="1">
      <c r="A9" s="6348"/>
      <c r="B9" s="6349"/>
      <c r="C9" s="6350"/>
      <c r="D9" s="6350"/>
      <c r="E9" s="6348"/>
      <c r="F9" s="6350"/>
      <c r="G9" s="6348"/>
      <c r="H9" s="6350"/>
      <c r="I9" s="6351"/>
      <c r="J9" s="6352"/>
      <c r="K9" s="3713"/>
      <c r="L9" s="3714"/>
      <c r="M9" s="3715"/>
      <c r="N9" s="3714"/>
      <c r="O9" s="10"/>
      <c r="P9" s="10"/>
      <c r="Q9" s="3298" t="s">
        <v>725</v>
      </c>
      <c r="R9" s="3299" t="s">
        <v>1314</v>
      </c>
      <c r="S9" s="3370">
        <f>_xlfn.XLOOKUP($Q9,'MAY STWO Watchbill'!$B$5:$B$66,'MAY STWO Watchbill'!AV$5:AV$66)</f>
        <v>1</v>
      </c>
      <c r="T9" s="3370">
        <f>_xlfn.XLOOKUP($Q9,'MAY STWO Watchbill'!$B$5:$B$66,'MAY STWO Watchbill'!AW$5:AW$66)</f>
        <v>0</v>
      </c>
      <c r="U9" s="3370">
        <f>_xlfn.XLOOKUP($Q9,'MAY STWO Watchbill'!$B$5:$B$66,'MAY STWO Watchbill'!AX$5:AX$66)</f>
        <v>1</v>
      </c>
      <c r="V9" s="3370">
        <f>_xlfn.XLOOKUP($Q9,'MAY STWO Watchbill'!$B$5:$B$66,'MAY STWO Watchbill'!AY$5:AY$66)</f>
        <v>0</v>
      </c>
      <c r="W9" s="3370">
        <f>_xlfn.XLOOKUP($Q9,'MAY STWO Watchbill'!$B$5:$B$66,'MAY STWO Watchbill'!AZ$5:AZ$66)</f>
        <v>0</v>
      </c>
      <c r="X9" s="3371">
        <f t="shared" si="0"/>
        <v>2</v>
      </c>
      <c r="Y9" s="10"/>
      <c r="Z9" s="10"/>
      <c r="AA9" s="10"/>
      <c r="AB9" s="10"/>
      <c r="AC9" s="10"/>
      <c r="AD9" s="10"/>
    </row>
    <row r="10" spans="1:30">
      <c r="A10" s="6334">
        <v>4</v>
      </c>
      <c r="B10" s="6336"/>
      <c r="C10" s="6335">
        <v>5</v>
      </c>
      <c r="D10" s="6335"/>
      <c r="E10" s="6332">
        <v>6</v>
      </c>
      <c r="F10" s="6333"/>
      <c r="G10" s="6332">
        <v>7</v>
      </c>
      <c r="H10" s="6333"/>
      <c r="I10" s="6332">
        <v>8</v>
      </c>
      <c r="J10" s="6333"/>
      <c r="K10" s="6332">
        <v>9</v>
      </c>
      <c r="L10" s="6339"/>
      <c r="M10" s="6333">
        <v>10</v>
      </c>
      <c r="N10" s="6339"/>
      <c r="O10" s="3375"/>
      <c r="P10" s="10"/>
      <c r="Q10" s="3272" t="s">
        <v>726</v>
      </c>
      <c r="R10" s="3287"/>
      <c r="S10" s="3370">
        <f>_xlfn.XLOOKUP($Q10,'MAY STWO Watchbill'!$B$5:$B$66,'MAY STWO Watchbill'!AV$5:AV$66)</f>
        <v>0</v>
      </c>
      <c r="T10" s="3370">
        <f>_xlfn.XLOOKUP($Q10,'MAY STWO Watchbill'!$B$5:$B$66,'MAY STWO Watchbill'!AW$5:AW$66)</f>
        <v>0</v>
      </c>
      <c r="U10" s="3370">
        <f>_xlfn.XLOOKUP($Q10,'MAY STWO Watchbill'!$B$5:$B$66,'MAY STWO Watchbill'!AX$5:AX$66)</f>
        <v>0</v>
      </c>
      <c r="V10" s="3370">
        <f>_xlfn.XLOOKUP($Q10,'MAY STWO Watchbill'!$B$5:$B$66,'MAY STWO Watchbill'!AY$5:AY$66)</f>
        <v>0</v>
      </c>
      <c r="W10" s="3370">
        <f>_xlfn.XLOOKUP($Q10,'MAY STWO Watchbill'!$B$5:$B$66,'MAY STWO Watchbill'!AZ$5:AZ$66)</f>
        <v>0</v>
      </c>
      <c r="X10" s="3371">
        <f t="shared" si="0"/>
        <v>0</v>
      </c>
      <c r="Y10" s="10"/>
      <c r="Z10" s="10"/>
      <c r="AA10" s="10"/>
      <c r="AB10" s="10"/>
      <c r="AC10" s="10"/>
      <c r="AD10" s="10"/>
    </row>
    <row r="11" spans="1:30">
      <c r="A11" s="6346" t="s">
        <v>1307</v>
      </c>
      <c r="B11" s="3278" t="str" cm="1">
        <f t="array" aca="1" ref="B11" ca="1">_xlfn.XLOOKUP(8,'MAY STWO Watchbill'!G5:'MAY STWO Watchbill'!G66,'MAY STWO Watchbill'!$C$5:'MAY STWO Watchbill'!$C$66)</f>
        <v>IT1 LUCAS</v>
      </c>
      <c r="C11" s="6354" t="s">
        <v>1307</v>
      </c>
      <c r="D11" s="3277" t="str" cm="1">
        <f t="array" aca="1" ref="D11" ca="1">_xlfn.XLOOKUP(8,'MAY STWO Watchbill'!H5:'MAY STWO Watchbill'!H66,'MAY STWO Watchbill'!$C$5:'MAY STWO Watchbill'!$C$66)</f>
        <v>DCC ALLEN</v>
      </c>
      <c r="E11" s="6346" t="s">
        <v>1307</v>
      </c>
      <c r="F11" s="3277" t="str" cm="1">
        <f t="array" aca="1" ref="F11" ca="1">_xlfn.XLOOKUP(8,'MAY STWO Watchbill'!I5:'MAY STWO Watchbill'!I66,'MAY STWO Watchbill'!$C$5:'MAY STWO Watchbill'!$C$66)</f>
        <v>LCDR  DESPOTA</v>
      </c>
      <c r="G11" s="6346" t="s">
        <v>1307</v>
      </c>
      <c r="H11" s="3277" t="str" cm="1">
        <f t="array" aca="1" ref="H11" ca="1">_xlfn.XLOOKUP(8,'MAY STWO Watchbill'!J5:'MAY STWO Watchbill'!J66,'MAY STWO Watchbill'!$C$5:'MAY STWO Watchbill'!$C$66)</f>
        <v>CDR IVEY</v>
      </c>
      <c r="I11" s="6340" t="s">
        <v>1307</v>
      </c>
      <c r="J11" s="3277" t="str" cm="1">
        <f t="array" aca="1" ref="J11" ca="1">_xlfn.XLOOKUP(8,'MAY STWO Watchbill'!K5:'MAY STWO Watchbill'!K66,'MAY STWO Watchbill'!$C$5:'MAY STWO Watchbill'!$C$66)</f>
        <v>LCDR HUNTLEY</v>
      </c>
      <c r="K11" s="6342" t="s">
        <v>1307</v>
      </c>
      <c r="L11" s="3376" t="str" cm="1">
        <f t="array" aca="1" ref="L11" ca="1">_xlfn.XLOOKUP(8,'MAY STWO Watchbill'!L5:'MAY STWO Watchbill'!L66,'MAY STWO Watchbill'!$C$5:'MAY STWO Watchbill'!$C$66)</f>
        <v>IT1 LUCAS</v>
      </c>
      <c r="M11" s="6337" t="s">
        <v>1307</v>
      </c>
      <c r="N11" s="3278" t="str" cm="1">
        <f t="array" aca="1" ref="N11" ca="1">_xlfn.XLOOKUP(8,'MAY STWO Watchbill'!M5:'MAY STWO Watchbill'!M66,'MAY STWO Watchbill'!$C$5:'MAY STWO Watchbill'!$C$66)</f>
        <v>EMC DAVES</v>
      </c>
      <c r="O11" s="3374"/>
      <c r="P11" s="10"/>
      <c r="Q11" s="3272" t="s">
        <v>738</v>
      </c>
      <c r="R11" s="3287"/>
      <c r="S11" s="3370">
        <f>_xlfn.XLOOKUP($Q11,'MAY STWO Watchbill'!$B$5:$B$66,'MAY STWO Watchbill'!AV$5:AV$66)</f>
        <v>2</v>
      </c>
      <c r="T11" s="3370">
        <f>_xlfn.XLOOKUP($Q11,'MAY STWO Watchbill'!$B$5:$B$66,'MAY STWO Watchbill'!AW$5:AW$66)</f>
        <v>0</v>
      </c>
      <c r="U11" s="3370">
        <f>_xlfn.XLOOKUP($Q11,'MAY STWO Watchbill'!$B$5:$B$66,'MAY STWO Watchbill'!AX$5:AX$66)</f>
        <v>0</v>
      </c>
      <c r="V11" s="3370">
        <f>_xlfn.XLOOKUP($Q11,'MAY STWO Watchbill'!$B$5:$B$66,'MAY STWO Watchbill'!AY$5:AY$66)</f>
        <v>0</v>
      </c>
      <c r="W11" s="3370">
        <f>_xlfn.XLOOKUP($Q11,'MAY STWO Watchbill'!$B$5:$B$66,'MAY STWO Watchbill'!AZ$5:AZ$66)</f>
        <v>0</v>
      </c>
      <c r="X11" s="3371">
        <f t="shared" si="0"/>
        <v>2</v>
      </c>
      <c r="Y11" s="10"/>
      <c r="Z11" s="10"/>
      <c r="AA11" s="10"/>
      <c r="AB11" s="10"/>
      <c r="AC11" s="10"/>
      <c r="AD11" s="10"/>
    </row>
    <row r="12" spans="1:30">
      <c r="A12" s="6347"/>
      <c r="B12" s="3286"/>
      <c r="C12" s="6355"/>
      <c r="D12" s="3166" t="s">
        <v>1315</v>
      </c>
      <c r="E12" s="6347"/>
      <c r="F12" s="3166" t="s">
        <v>1316</v>
      </c>
      <c r="G12" s="6347"/>
      <c r="H12" s="3291" t="s">
        <v>1317</v>
      </c>
      <c r="I12" s="6341"/>
      <c r="J12" s="3166"/>
      <c r="K12" s="6343"/>
      <c r="L12" s="3352" t="s">
        <v>1318</v>
      </c>
      <c r="M12" s="6338"/>
      <c r="N12" s="3385" t="s">
        <v>1319</v>
      </c>
      <c r="O12" s="3375"/>
      <c r="P12" s="10"/>
      <c r="Q12" s="3272" t="s">
        <v>1191</v>
      </c>
      <c r="R12" s="3273">
        <v>45658</v>
      </c>
      <c r="S12" s="3370">
        <f>_xlfn.XLOOKUP($Q12,'MAY STWO Watchbill'!$B$5:$B$66,'MAY STWO Watchbill'!AV$5:AV$66)</f>
        <v>1</v>
      </c>
      <c r="T12" s="3370">
        <f>_xlfn.XLOOKUP($Q12,'MAY STWO Watchbill'!$B$5:$B$66,'MAY STWO Watchbill'!AW$5:AW$66)</f>
        <v>0</v>
      </c>
      <c r="U12" s="3370">
        <f>_xlfn.XLOOKUP($Q12,'MAY STWO Watchbill'!$B$5:$B$66,'MAY STWO Watchbill'!AX$5:AX$66)</f>
        <v>0</v>
      </c>
      <c r="V12" s="3370">
        <f>_xlfn.XLOOKUP($Q12,'MAY STWO Watchbill'!$B$5:$B$66,'MAY STWO Watchbill'!AY$5:AY$66)</f>
        <v>0</v>
      </c>
      <c r="W12" s="3370">
        <f>_xlfn.XLOOKUP($Q12,'MAY STWO Watchbill'!$B$5:$B$66,'MAY STWO Watchbill'!AZ$5:AZ$66)</f>
        <v>1</v>
      </c>
      <c r="X12" s="3371">
        <f t="shared" si="0"/>
        <v>2</v>
      </c>
      <c r="Y12" s="10"/>
      <c r="Z12" s="10"/>
      <c r="AA12" s="10"/>
      <c r="AB12" s="10"/>
      <c r="AC12" s="10"/>
      <c r="AD12" s="10"/>
    </row>
    <row r="13" spans="1:30">
      <c r="A13" s="3290" t="s">
        <v>1309</v>
      </c>
      <c r="B13" s="3285" t="str" cm="1">
        <f t="array" aca="1" ref="B13" ca="1">_xlfn.XLOOKUP(9,'MAY STWO Watchbill'!G5:'MAY STWO Watchbill'!G66,'MAY STWO Watchbill'!$C$5:'MAY STWO Watchbill'!$C$66)</f>
        <v>LTJG MOORE</v>
      </c>
      <c r="C13" s="3292" t="s">
        <v>1309</v>
      </c>
      <c r="D13" s="3166" t="str" cm="1">
        <f t="array" aca="1" ref="D13" ca="1">_xlfn.XLOOKUP(9,'MAY STWO Watchbill'!H5:'MAY STWO Watchbill'!H66,'MAY STWO Watchbill'!$C$5:'MAY STWO Watchbill'!$C$66)</f>
        <v>ETC PEARSON</v>
      </c>
      <c r="E13" s="3290" t="s">
        <v>1309</v>
      </c>
      <c r="F13" s="3166" t="str" cm="1">
        <f t="array" aca="1" ref="F13" ca="1">_xlfn.XLOOKUP(9,'MAY STWO Watchbill'!I5:'MAY STWO Watchbill'!I66,'MAY STWO Watchbill'!$C$5:'MAY STWO Watchbill'!$C$66)</f>
        <v>EMC DAVES</v>
      </c>
      <c r="G13" s="3290" t="s">
        <v>1309</v>
      </c>
      <c r="H13" s="3166" t="str" cm="1">
        <f t="array" aca="1" ref="H13" ca="1">_xlfn.XLOOKUP(9,'MAY STWO Watchbill'!J5:'MAY STWO Watchbill'!J66,'MAY STWO Watchbill'!$C$5:'MAY STWO Watchbill'!$C$66)</f>
        <v>GMC OGLE</v>
      </c>
      <c r="I13" s="3290" t="s">
        <v>1309</v>
      </c>
      <c r="J13" s="3284" t="str" cm="1">
        <f t="array" aca="1" ref="J13" ca="1">_xlfn.XLOOKUP(9,'MAY STWO Watchbill'!K5:'MAY STWO Watchbill'!K66,'MAY STWO Watchbill'!$C$5:'MAY STWO Watchbill'!$C$66)</f>
        <v>ENC TRAN</v>
      </c>
      <c r="K13" s="3290" t="s">
        <v>1309</v>
      </c>
      <c r="L13" s="3383" t="str" cm="1">
        <f t="array" aca="1" ref="L13" ca="1">_xlfn.XLOOKUP(9,'MAY STWO Watchbill'!L5:'MAY STWO Watchbill'!L66,'MAY STWO Watchbill'!$C$5:'MAY STWO Watchbill'!$C$66)</f>
        <v>GSMC MCKEOWN</v>
      </c>
      <c r="M13" s="3292" t="s">
        <v>1309</v>
      </c>
      <c r="N13" s="3384" t="str" cm="1">
        <f t="array" aca="1" ref="N13" ca="1">_xlfn.XLOOKUP(9,'MAY STWO Watchbill'!M5:'MAY STWO Watchbill'!M66,'MAY STWO Watchbill'!$C$5:'MAY STWO Watchbill'!$C$66)</f>
        <v>FC1 FERNANDEZ</v>
      </c>
      <c r="O13" s="3375"/>
      <c r="P13" s="10"/>
      <c r="Q13" s="3272" t="s">
        <v>109</v>
      </c>
      <c r="R13" s="3287"/>
      <c r="S13" s="3370">
        <f>_xlfn.XLOOKUP($Q13,'MAY STWO Watchbill'!$B$5:$B$66,'MAY STWO Watchbill'!AV$5:AV$66)</f>
        <v>0</v>
      </c>
      <c r="T13" s="3370">
        <f>_xlfn.XLOOKUP($Q13,'MAY STWO Watchbill'!$B$5:$B$66,'MAY STWO Watchbill'!AW$5:AW$66)</f>
        <v>2</v>
      </c>
      <c r="U13" s="3370">
        <f>_xlfn.XLOOKUP($Q13,'MAY STWO Watchbill'!$B$5:$B$66,'MAY STWO Watchbill'!AX$5:AX$66)</f>
        <v>0</v>
      </c>
      <c r="V13" s="3370">
        <f>_xlfn.XLOOKUP($Q13,'MAY STWO Watchbill'!$B$5:$B$66,'MAY STWO Watchbill'!AY$5:AY$66)</f>
        <v>1</v>
      </c>
      <c r="W13" s="3370">
        <f>_xlfn.XLOOKUP($Q13,'MAY STWO Watchbill'!$B$5:$B$66,'MAY STWO Watchbill'!AZ$5:AZ$66)</f>
        <v>0</v>
      </c>
      <c r="X13" s="3371">
        <f t="shared" si="0"/>
        <v>3</v>
      </c>
      <c r="Y13" s="10"/>
      <c r="Z13" s="10"/>
      <c r="AA13" s="10"/>
      <c r="AB13" s="10"/>
      <c r="AC13" s="10"/>
      <c r="AD13" s="10"/>
    </row>
    <row r="14" spans="1:30">
      <c r="A14" s="3290" t="s">
        <v>1311</v>
      </c>
      <c r="B14" s="3291" t="s">
        <v>1320</v>
      </c>
      <c r="C14" s="3292" t="s">
        <v>1311</v>
      </c>
      <c r="D14" s="3385" t="s">
        <v>1312</v>
      </c>
      <c r="E14" s="3290" t="s">
        <v>1311</v>
      </c>
      <c r="F14" s="3166" t="s">
        <v>1312</v>
      </c>
      <c r="G14" s="3290" t="s">
        <v>1311</v>
      </c>
      <c r="H14" s="3166" t="s">
        <v>1312</v>
      </c>
      <c r="I14" s="3290" t="s">
        <v>1311</v>
      </c>
      <c r="J14" s="3166" t="s">
        <v>1312</v>
      </c>
      <c r="K14" s="3290" t="s">
        <v>1311</v>
      </c>
      <c r="L14" s="3291" t="s">
        <v>1312</v>
      </c>
      <c r="M14" s="3292" t="s">
        <v>1311</v>
      </c>
      <c r="N14" s="3291" t="s">
        <v>1313</v>
      </c>
      <c r="O14" s="10"/>
      <c r="P14" s="10"/>
      <c r="Q14" s="3272" t="s">
        <v>1321</v>
      </c>
      <c r="R14" s="3301">
        <v>45778</v>
      </c>
      <c r="S14" s="3370"/>
      <c r="T14" s="3370"/>
      <c r="U14" s="3370"/>
      <c r="V14" s="3370"/>
      <c r="W14" s="3370"/>
      <c r="X14" s="3371"/>
      <c r="Y14" s="10"/>
      <c r="Z14" s="10"/>
      <c r="AA14" s="10"/>
      <c r="AB14" s="10"/>
      <c r="AC14" s="10"/>
      <c r="AD14" s="10"/>
    </row>
    <row r="15" spans="1:30">
      <c r="A15" s="6351"/>
      <c r="B15" s="6356"/>
      <c r="C15" s="6352"/>
      <c r="D15" s="6352"/>
      <c r="E15" s="6351"/>
      <c r="F15" s="6352"/>
      <c r="G15" s="6357"/>
      <c r="H15" s="6358"/>
      <c r="I15" s="3713"/>
      <c r="J15" s="3715"/>
      <c r="K15" s="3713"/>
      <c r="L15" s="3714"/>
      <c r="M15" s="3715"/>
      <c r="N15" s="3714"/>
      <c r="O15" s="10"/>
      <c r="P15" s="10"/>
      <c r="Q15" s="3296" t="s">
        <v>1322</v>
      </c>
      <c r="R15" s="3302">
        <v>45778</v>
      </c>
      <c r="S15" s="3370"/>
      <c r="T15" s="3370"/>
      <c r="U15" s="3370"/>
      <c r="V15" s="3370"/>
      <c r="W15" s="3370"/>
      <c r="X15" s="3371"/>
      <c r="Y15" s="10"/>
      <c r="Z15" s="10"/>
      <c r="AA15" s="10"/>
      <c r="AB15" s="10"/>
      <c r="AC15" s="10"/>
      <c r="AD15" s="10"/>
    </row>
    <row r="16" spans="1:30">
      <c r="A16" s="6332">
        <v>11</v>
      </c>
      <c r="B16" s="6339"/>
      <c r="C16" s="6333">
        <v>12</v>
      </c>
      <c r="D16" s="6333"/>
      <c r="E16" s="6332">
        <v>13</v>
      </c>
      <c r="F16" s="6333"/>
      <c r="G16" s="6332">
        <v>14</v>
      </c>
      <c r="H16" s="6333"/>
      <c r="I16" s="6332">
        <v>15</v>
      </c>
      <c r="J16" s="6333"/>
      <c r="K16" s="6332">
        <v>16</v>
      </c>
      <c r="L16" s="6339"/>
      <c r="M16" s="6333">
        <v>17</v>
      </c>
      <c r="N16" s="6339"/>
      <c r="O16" s="10"/>
      <c r="P16" s="10"/>
      <c r="Q16" s="3303" t="s">
        <v>201</v>
      </c>
      <c r="R16" s="3304"/>
      <c r="S16" s="3370">
        <f>_xlfn.XLOOKUP($Q16,'MAY STWO Watchbill'!$B$5:$B$66,'MAY STWO Watchbill'!AV$5:AV$66)</f>
        <v>2</v>
      </c>
      <c r="T16" s="3370">
        <f>_xlfn.XLOOKUP($Q16,'MAY STWO Watchbill'!$B$5:$B$66,'MAY STWO Watchbill'!AW$5:AW$66)</f>
        <v>0</v>
      </c>
      <c r="U16" s="3370">
        <f>_xlfn.XLOOKUP($Q16,'MAY STWO Watchbill'!$B$5:$B$66,'MAY STWO Watchbill'!AX$5:AX$66)</f>
        <v>0</v>
      </c>
      <c r="V16" s="3370">
        <f>_xlfn.XLOOKUP($Q16,'MAY STWO Watchbill'!$B$5:$B$66,'MAY STWO Watchbill'!AY$5:AY$66)</f>
        <v>0</v>
      </c>
      <c r="W16" s="3370">
        <f>_xlfn.XLOOKUP($Q16,'MAY STWO Watchbill'!$B$5:$B$66,'MAY STWO Watchbill'!AZ$5:AZ$66)</f>
        <v>0</v>
      </c>
      <c r="X16" s="3371">
        <f t="shared" si="0"/>
        <v>2</v>
      </c>
      <c r="Y16" s="10"/>
      <c r="Z16" s="10"/>
      <c r="AA16" s="10"/>
      <c r="AB16" s="10"/>
      <c r="AC16" s="10"/>
      <c r="AD16" s="10"/>
    </row>
    <row r="17" spans="1:30">
      <c r="A17" s="6346" t="s">
        <v>1307</v>
      </c>
      <c r="B17" s="3278" t="str" cm="1">
        <f t="array" aca="1" ref="B17" ca="1">_xlfn.XLOOKUP(8,'MAY STWO Watchbill'!N5:'MAY STWO Watchbill'!N66,'MAY STWO Watchbill'!$C$5:'MAY STWO Watchbill'!$C$66)</f>
        <v>ETC PEARSON</v>
      </c>
      <c r="C17" s="6354" t="s">
        <v>1307</v>
      </c>
      <c r="D17" s="3277" t="str" cm="1">
        <f t="array" aca="1" ref="D17" ca="1">_xlfn.XLOOKUP(8,'MAY STWO Watchbill'!O5:'MAY STWO Watchbill'!O66,'MAY STWO Watchbill'!$C$5:'MAY STWO Watchbill'!$C$66)</f>
        <v>ITC ANTERO</v>
      </c>
      <c r="E17" s="6346" t="s">
        <v>1307</v>
      </c>
      <c r="F17" s="3277" t="str" cm="1">
        <f t="array" aca="1" ref="F17" ca="1">_xlfn.XLOOKUP(8,'MAY STWO Watchbill'!P5:'MAY STWO Watchbill'!P66,'MAY STWO Watchbill'!$C$5:'MAY STWO Watchbill'!$C$66)</f>
        <v>LCDR DESORMIER</v>
      </c>
      <c r="G17" s="6346" t="s">
        <v>1307</v>
      </c>
      <c r="H17" s="3305" t="str" cm="1">
        <f t="array" aca="1" ref="H17" ca="1">_xlfn.XLOOKUP(8,'MAY STWO Watchbill'!Q5:'MAY STWO Watchbill'!Q66,'MAY STWO Watchbill'!$C$5:'MAY STWO Watchbill'!$C$66)</f>
        <v>LT PARRA</v>
      </c>
      <c r="I17" s="6346" t="s">
        <v>1307</v>
      </c>
      <c r="J17" s="3306" t="str" cm="1">
        <f t="array" aca="1" ref="J17" ca="1">_xlfn.XLOOKUP(8,'MAY STWO Watchbill'!R5:'MAY STWO Watchbill'!R66,'MAY STWO Watchbill'!$C$5:'MAY STWO Watchbill'!$C$66)</f>
        <v>LCDR HUNTLEY</v>
      </c>
      <c r="K17" s="6340" t="s">
        <v>1307</v>
      </c>
      <c r="L17" s="3278" t="str" cm="1">
        <f t="array" aca="1" ref="L17" ca="1">_xlfn.XLOOKUP(8,'MAY STWO Watchbill'!S5:'MAY STWO Watchbill'!S66,'MAY STWO Watchbill'!$C$5:'MAY STWO Watchbill'!$C$66)</f>
        <v>LTJG MOORE</v>
      </c>
      <c r="M17" s="6337" t="s">
        <v>1307</v>
      </c>
      <c r="N17" s="3278" t="str" cm="1">
        <f t="array" aca="1" ref="N17" ca="1">_xlfn.XLOOKUP(8,'MAY STWO Watchbill'!T5:'MAY STWO Watchbill'!T66,'MAY STWO Watchbill'!$C$5:'MAY STWO Watchbill'!$C$66)</f>
        <v>DCC ALLEN</v>
      </c>
      <c r="O17" s="10"/>
      <c r="P17" s="10" t="s">
        <v>30</v>
      </c>
      <c r="Q17" s="3307" t="s">
        <v>610</v>
      </c>
      <c r="R17" s="3308" t="s">
        <v>1323</v>
      </c>
      <c r="S17" s="3370">
        <f>_xlfn.XLOOKUP($Q17,'MAY STWO Watchbill'!$B$5:$B$66,'MAY STWO Watchbill'!AV$5:AV$66)</f>
        <v>1</v>
      </c>
      <c r="T17" s="3370">
        <f>_xlfn.XLOOKUP($Q17,'MAY STWO Watchbill'!$B$5:$B$66,'MAY STWO Watchbill'!AW$5:AW$66)</f>
        <v>0</v>
      </c>
      <c r="U17" s="3370">
        <f>_xlfn.XLOOKUP($Q17,'MAY STWO Watchbill'!$B$5:$B$66,'MAY STWO Watchbill'!AX$5:AX$66)</f>
        <v>0</v>
      </c>
      <c r="V17" s="3370">
        <f>_xlfn.XLOOKUP($Q17,'MAY STWO Watchbill'!$B$5:$B$66,'MAY STWO Watchbill'!AY$5:AY$66)</f>
        <v>0</v>
      </c>
      <c r="W17" s="3370">
        <f>_xlfn.XLOOKUP($Q17,'MAY STWO Watchbill'!$B$5:$B$66,'MAY STWO Watchbill'!AZ$5:AZ$66)</f>
        <v>0</v>
      </c>
      <c r="X17" s="3371">
        <f t="shared" si="0"/>
        <v>1</v>
      </c>
      <c r="Y17" s="10"/>
      <c r="Z17" s="10"/>
      <c r="AA17" s="10"/>
      <c r="AB17" s="10"/>
      <c r="AC17" s="10"/>
      <c r="AD17" s="10"/>
    </row>
    <row r="18" spans="1:30">
      <c r="A18" s="6347"/>
      <c r="B18" s="3291"/>
      <c r="C18" s="6355"/>
      <c r="D18" s="3166" t="s">
        <v>1315</v>
      </c>
      <c r="E18" s="6347"/>
      <c r="F18" s="3166" t="s">
        <v>1320</v>
      </c>
      <c r="G18" s="6347"/>
      <c r="H18" s="3309" t="s">
        <v>1318</v>
      </c>
      <c r="I18" s="6347"/>
      <c r="J18" s="3163" t="s">
        <v>1324</v>
      </c>
      <c r="K18" s="6341"/>
      <c r="L18" s="3291" t="s">
        <v>1315</v>
      </c>
      <c r="M18" s="6338"/>
      <c r="N18" s="3286"/>
      <c r="O18" s="10"/>
      <c r="P18" s="10"/>
      <c r="Q18" s="3307" t="s">
        <v>1325</v>
      </c>
      <c r="R18" s="3301">
        <v>45778</v>
      </c>
      <c r="S18" s="3370"/>
      <c r="T18" s="3370"/>
      <c r="U18" s="3370"/>
      <c r="V18" s="3370"/>
      <c r="W18" s="3370"/>
      <c r="X18" s="3371"/>
      <c r="Y18" s="10"/>
      <c r="Z18" s="10"/>
      <c r="AA18" s="10"/>
      <c r="AB18" s="10"/>
      <c r="AC18" s="10"/>
      <c r="AD18" s="10"/>
    </row>
    <row r="19" spans="1:30">
      <c r="A19" s="3290" t="s">
        <v>1309</v>
      </c>
      <c r="B19" s="3291" t="str" cm="1">
        <f t="array" aca="1" ref="B19" ca="1">_xlfn.XLOOKUP(9,'MAY STWO Watchbill'!N5:'MAY STWO Watchbill'!N66,'MAY STWO Watchbill'!$C$5:'MAY STWO Watchbill'!$C$66)</f>
        <v>GMC OGLE</v>
      </c>
      <c r="C19" s="3292" t="s">
        <v>1309</v>
      </c>
      <c r="D19" s="3166" t="str" cm="1">
        <f t="array" aca="1" ref="D19" ca="1">_xlfn.XLOOKUP(9,'MAY STWO Watchbill'!O5:'MAY STWO Watchbill'!O66,'MAY STWO Watchbill'!$C$5:'MAY STWO Watchbill'!$C$66)</f>
        <v>BMC FUENTES</v>
      </c>
      <c r="E19" s="3290" t="s">
        <v>1309</v>
      </c>
      <c r="F19" s="3166" t="str" cm="1">
        <f t="array" aca="1" ref="F19" ca="1">_xlfn.XLOOKUP(9,'MAY STWO Watchbill'!P5:'MAY STWO Watchbill'!P66,'MAY STWO Watchbill'!$C$5:'MAY STWO Watchbill'!$C$66)</f>
        <v>GMC BARTELMEY</v>
      </c>
      <c r="G19" s="3290" t="s">
        <v>1309</v>
      </c>
      <c r="H19" s="3284" t="str" cm="1">
        <f t="array" aca="1" ref="H19" ca="1">_xlfn.XLOOKUP(9,'MAY STWO Watchbill'!Q5:'MAY STWO Watchbill'!Q66,'MAY STWO Watchbill'!$C$5:'MAY STWO Watchbill'!$C$66)</f>
        <v>IT1 LUCAS</v>
      </c>
      <c r="I19" s="3290" t="s">
        <v>1309</v>
      </c>
      <c r="J19" s="3166" t="str" cm="1">
        <f t="array" aca="1" ref="J19" ca="1">_xlfn.XLOOKUP(9,'MAY STWO Watchbill'!R5:'MAY STWO Watchbill'!R66,'MAY STWO Watchbill'!$C$5:'MAY STWO Watchbill'!$C$66)</f>
        <v>ETC PEARSON</v>
      </c>
      <c r="K19" s="3290" t="s">
        <v>1309</v>
      </c>
      <c r="L19" s="3291" t="str" cm="1">
        <f t="array" aca="1" ref="L19" ca="1">_xlfn.XLOOKUP(9,'MAY STWO Watchbill'!S5:'MAY STWO Watchbill'!S66,'MAY STWO Watchbill'!$C$5:'MAY STWO Watchbill'!$C$66)</f>
        <v>GSMC MCKEOWN</v>
      </c>
      <c r="M19" s="3292" t="s">
        <v>1309</v>
      </c>
      <c r="N19" s="3291" t="str" cm="1">
        <f t="array" aca="1" ref="N19" ca="1">_xlfn.XLOOKUP(9,'MAY STWO Watchbill'!T5:'MAY STWO Watchbill'!T66,'MAY STWO Watchbill'!$C$5:'MAY STWO Watchbill'!$C$66)</f>
        <v>ENC TRAN</v>
      </c>
      <c r="O19" s="10"/>
      <c r="P19" s="10"/>
      <c r="Q19" s="3307" t="s">
        <v>1326</v>
      </c>
      <c r="R19" s="3310">
        <v>45658</v>
      </c>
      <c r="S19" s="3370"/>
      <c r="T19" s="3370"/>
      <c r="U19" s="3370"/>
      <c r="V19" s="3370"/>
      <c r="W19" s="3370"/>
      <c r="X19" s="3371"/>
      <c r="Y19" s="10"/>
      <c r="Z19" s="10"/>
      <c r="AA19" s="10"/>
      <c r="AB19" s="10"/>
      <c r="AC19" s="10"/>
      <c r="AD19" s="10"/>
    </row>
    <row r="20" spans="1:30">
      <c r="A20" s="3290" t="s">
        <v>1311</v>
      </c>
      <c r="B20" s="3291" t="s">
        <v>1320</v>
      </c>
      <c r="C20" s="3292" t="s">
        <v>1311</v>
      </c>
      <c r="D20" s="3166" t="s">
        <v>1327</v>
      </c>
      <c r="E20" s="3290" t="s">
        <v>1311</v>
      </c>
      <c r="F20" s="3166" t="s">
        <v>1312</v>
      </c>
      <c r="G20" s="3290" t="s">
        <v>1311</v>
      </c>
      <c r="H20" s="3166" t="s">
        <v>1320</v>
      </c>
      <c r="I20" s="3290" t="s">
        <v>1311</v>
      </c>
      <c r="J20" s="3166" t="s">
        <v>1327</v>
      </c>
      <c r="K20" s="3290" t="s">
        <v>1311</v>
      </c>
      <c r="L20" s="3291" t="s">
        <v>1320</v>
      </c>
      <c r="M20" s="3292" t="s">
        <v>1311</v>
      </c>
      <c r="N20" s="3291" t="s">
        <v>1312</v>
      </c>
      <c r="O20" s="10"/>
      <c r="P20" s="10"/>
      <c r="Q20" s="3307" t="s">
        <v>1201</v>
      </c>
      <c r="R20" s="3310">
        <v>45658</v>
      </c>
      <c r="S20" s="3370"/>
      <c r="T20" s="3370"/>
      <c r="U20" s="3370"/>
      <c r="V20" s="3370"/>
      <c r="W20" s="3370"/>
      <c r="X20" s="3371"/>
      <c r="Y20" s="10"/>
      <c r="Z20" s="10"/>
      <c r="AA20" s="10"/>
      <c r="AB20" s="10"/>
      <c r="AC20" s="10"/>
      <c r="AD20" s="10"/>
    </row>
    <row r="21" spans="1:30">
      <c r="A21" s="6351"/>
      <c r="B21" s="6356"/>
      <c r="C21" s="6352"/>
      <c r="D21" s="6352"/>
      <c r="E21" s="6351"/>
      <c r="F21" s="6352"/>
      <c r="G21" s="6351"/>
      <c r="H21" s="6352"/>
      <c r="I21" s="3713"/>
      <c r="J21" s="3715"/>
      <c r="K21" s="3713"/>
      <c r="L21" s="3714"/>
      <c r="M21" s="3715"/>
      <c r="N21" s="3714"/>
      <c r="O21" s="10"/>
      <c r="P21" s="10"/>
      <c r="Q21" s="3307" t="s">
        <v>1079</v>
      </c>
      <c r="R21" s="3311">
        <v>45597</v>
      </c>
      <c r="S21" s="3370"/>
      <c r="T21" s="3370"/>
      <c r="U21" s="3370"/>
      <c r="V21" s="3370"/>
      <c r="W21" s="3370"/>
      <c r="X21" s="3371"/>
      <c r="Y21" s="10"/>
      <c r="Z21" s="10"/>
      <c r="AA21" s="10"/>
      <c r="AB21" s="10"/>
      <c r="AC21" s="10"/>
      <c r="AD21" s="10"/>
    </row>
    <row r="22" spans="1:30">
      <c r="A22" s="6332">
        <v>18</v>
      </c>
      <c r="B22" s="6339"/>
      <c r="C22" s="6333">
        <v>19</v>
      </c>
      <c r="D22" s="6333"/>
      <c r="E22" s="6332">
        <v>20</v>
      </c>
      <c r="F22" s="6333"/>
      <c r="G22" s="6332">
        <v>21</v>
      </c>
      <c r="H22" s="6333"/>
      <c r="I22" s="6332">
        <v>22</v>
      </c>
      <c r="J22" s="6333"/>
      <c r="K22" s="6332">
        <v>23</v>
      </c>
      <c r="L22" s="6339"/>
      <c r="M22" s="6333">
        <v>24</v>
      </c>
      <c r="N22" s="6339"/>
      <c r="O22" s="10"/>
      <c r="P22" s="10"/>
      <c r="Q22" s="3307" t="s">
        <v>553</v>
      </c>
      <c r="R22" s="3312"/>
      <c r="S22" s="3370">
        <f>_xlfn.XLOOKUP($Q22,'MAY STWO Watchbill'!$B$5:$B$66,'MAY STWO Watchbill'!AV$5:AV$66)</f>
        <v>1</v>
      </c>
      <c r="T22" s="3370">
        <f>_xlfn.XLOOKUP($Q22,'MAY STWO Watchbill'!$B$5:$B$66,'MAY STWO Watchbill'!AW$5:AW$66)</f>
        <v>1</v>
      </c>
      <c r="U22" s="3370">
        <f>_xlfn.XLOOKUP($Q22,'MAY STWO Watchbill'!$B$5:$B$66,'MAY STWO Watchbill'!AX$5:AX$66)</f>
        <v>0</v>
      </c>
      <c r="V22" s="3370">
        <f>_xlfn.XLOOKUP($Q22,'MAY STWO Watchbill'!$B$5:$B$66,'MAY STWO Watchbill'!AY$5:AY$66)</f>
        <v>1</v>
      </c>
      <c r="W22" s="3370">
        <f>_xlfn.XLOOKUP($Q22,'MAY STWO Watchbill'!$B$5:$B$66,'MAY STWO Watchbill'!AZ$5:AZ$66)</f>
        <v>0</v>
      </c>
      <c r="X22" s="3371">
        <f t="shared" si="0"/>
        <v>3</v>
      </c>
      <c r="Y22" s="10"/>
      <c r="Z22" s="10"/>
      <c r="AA22" s="10"/>
      <c r="AB22" s="10"/>
      <c r="AC22" s="10"/>
      <c r="AD22" s="10"/>
    </row>
    <row r="23" spans="1:30" ht="15.75" customHeight="1">
      <c r="A23" s="6346" t="s">
        <v>1307</v>
      </c>
      <c r="B23" s="3377" t="str" cm="1">
        <f t="array" aca="1" ref="B23" ca="1">_xlfn.XLOOKUP(8,'MAY STWO Watchbill'!U5:'MAY STWO Watchbill'!U66,'MAY STWO Watchbill'!$C$5:'MAY STWO Watchbill'!$C$66)</f>
        <v>FC1 FERNANDEZ</v>
      </c>
      <c r="C23" s="6354" t="s">
        <v>1307</v>
      </c>
      <c r="D23" s="3277" t="str" cm="1">
        <f t="array" aca="1" ref="D23" ca="1">_xlfn.XLOOKUP(8,'MAY STWO Watchbill'!V5:'MAY STWO Watchbill'!V66,'MAY STWO Watchbill'!$C$5:'MAY STWO Watchbill'!$C$66)</f>
        <v>OSC WILLIAMS</v>
      </c>
      <c r="E23" s="6346" t="s">
        <v>1307</v>
      </c>
      <c r="F23" s="3277" t="str" cm="1">
        <f t="array" aca="1" ref="F23" ca="1">_xlfn.XLOOKUP(8,'MAY STWO Watchbill'!W5:'MAY STWO Watchbill'!W66,'MAY STWO Watchbill'!$C$5:'MAY STWO Watchbill'!$C$66)</f>
        <v>LT HESPEN</v>
      </c>
      <c r="G23" s="6346" t="s">
        <v>1307</v>
      </c>
      <c r="H23" s="3277" t="str" cm="1">
        <f t="array" aca="1" ref="H23" ca="1">_xlfn.XLOOKUP(8,'MAY STWO Watchbill'!X5:'MAY STWO Watchbill'!X66,'MAY STWO Watchbill'!$C$5:'MAY STWO Watchbill'!$C$66)</f>
        <v>LCDR DESORMIER</v>
      </c>
      <c r="I23" s="6340" t="s">
        <v>1307</v>
      </c>
      <c r="J23" s="3277" t="str" cm="1">
        <f t="array" aca="1" ref="J23" ca="1">_xlfn.XLOOKUP(8,'MAY STWO Watchbill'!Y5:'MAY STWO Watchbill'!Y66,'MAY STWO Watchbill'!$C$5:'MAY STWO Watchbill'!$C$66)</f>
        <v>CDR IVEY</v>
      </c>
      <c r="K23" s="6359" t="s">
        <v>1307</v>
      </c>
      <c r="L23" s="3300" t="str" cm="1">
        <f t="array" aca="1" ref="L23" ca="1">_xlfn.XLOOKUP(8,'MAY STWO Watchbill'!Z5:'MAY STWO Watchbill'!Z66,'MAY STWO Watchbill'!$C$5:'MAY STWO Watchbill'!$C$66)</f>
        <v>STGC PLACENCIA</v>
      </c>
      <c r="M23" s="6361" t="s">
        <v>1307</v>
      </c>
      <c r="N23" s="3313" t="str" cm="1">
        <f t="array" aca="1" ref="N23" ca="1">_xlfn.XLOOKUP(8,'MAY STWO Watchbill'!AA5:'MAY STWO Watchbill'!AA66,'MAY STWO Watchbill'!$C$5:'MAY STWO Watchbill'!$C$66)</f>
        <v>BMC FUENTES</v>
      </c>
      <c r="O23" s="10"/>
      <c r="P23" s="10"/>
      <c r="Q23" s="3307" t="s">
        <v>733</v>
      </c>
      <c r="R23" s="3279"/>
      <c r="S23" s="3370">
        <f>_xlfn.XLOOKUP($Q23,'MAY STWO Watchbill'!$B$5:$B$66,'MAY STWO Watchbill'!AV$5:AV$66)</f>
        <v>0</v>
      </c>
      <c r="T23" s="3370">
        <f>_xlfn.XLOOKUP($Q23,'MAY STWO Watchbill'!$B$5:$B$66,'MAY STWO Watchbill'!AW$5:AW$66)</f>
        <v>1</v>
      </c>
      <c r="U23" s="3370">
        <f>_xlfn.XLOOKUP($Q23,'MAY STWO Watchbill'!$B$5:$B$66,'MAY STWO Watchbill'!AX$5:AX$66)</f>
        <v>0</v>
      </c>
      <c r="V23" s="3370">
        <f>_xlfn.XLOOKUP($Q23,'MAY STWO Watchbill'!$B$5:$B$66,'MAY STWO Watchbill'!AY$5:AY$66)</f>
        <v>1</v>
      </c>
      <c r="W23" s="3370">
        <f>_xlfn.XLOOKUP($Q23,'MAY STWO Watchbill'!$B$5:$B$66,'MAY STWO Watchbill'!AZ$5:AZ$66)</f>
        <v>0</v>
      </c>
      <c r="X23" s="3371">
        <f t="shared" si="0"/>
        <v>2</v>
      </c>
      <c r="Y23" s="10"/>
      <c r="Z23" s="10"/>
      <c r="AA23" s="10"/>
      <c r="AB23" s="10"/>
      <c r="AC23" s="10"/>
      <c r="AD23" s="10"/>
    </row>
    <row r="24" spans="1:30">
      <c r="A24" s="6347"/>
      <c r="B24" s="3286"/>
      <c r="C24" s="6355"/>
      <c r="D24" s="3284" t="s">
        <v>1328</v>
      </c>
      <c r="E24" s="6347"/>
      <c r="F24" s="3166" t="s">
        <v>1329</v>
      </c>
      <c r="G24" s="6347"/>
      <c r="H24" s="3309" t="s">
        <v>1318</v>
      </c>
      <c r="I24" s="6341"/>
      <c r="J24" s="3166" t="s">
        <v>1330</v>
      </c>
      <c r="K24" s="6360"/>
      <c r="L24" s="3291" t="s">
        <v>1320</v>
      </c>
      <c r="M24" s="6362"/>
      <c r="N24" s="3291"/>
      <c r="O24" s="10"/>
      <c r="P24" s="10"/>
      <c r="Q24" s="3307" t="s">
        <v>693</v>
      </c>
      <c r="R24" s="3273"/>
      <c r="S24" s="3370">
        <f>_xlfn.XLOOKUP($Q24,'MAY STWO Watchbill'!$B$5:$B$66,'MAY STWO Watchbill'!AV$5:AV$66)</f>
        <v>0</v>
      </c>
      <c r="T24" s="3370">
        <f>_xlfn.XLOOKUP($Q24,'MAY STWO Watchbill'!$B$5:$B$66,'MAY STWO Watchbill'!AW$5:AW$66)</f>
        <v>0</v>
      </c>
      <c r="U24" s="3370">
        <f>_xlfn.XLOOKUP($Q24,'MAY STWO Watchbill'!$B$5:$B$66,'MAY STWO Watchbill'!AX$5:AX$66)</f>
        <v>0</v>
      </c>
      <c r="V24" s="3370">
        <f>_xlfn.XLOOKUP($Q24,'MAY STWO Watchbill'!$B$5:$B$66,'MAY STWO Watchbill'!AY$5:AY$66)</f>
        <v>3</v>
      </c>
      <c r="W24" s="3370">
        <f>_xlfn.XLOOKUP($Q24,'MAY STWO Watchbill'!$B$5:$B$66,'MAY STWO Watchbill'!AZ$5:AZ$66)</f>
        <v>0</v>
      </c>
      <c r="X24" s="3371">
        <f t="shared" si="0"/>
        <v>3</v>
      </c>
      <c r="Y24" s="10"/>
      <c r="Z24" s="10"/>
      <c r="AA24" s="10"/>
      <c r="AB24" s="10"/>
      <c r="AC24" s="10"/>
      <c r="AD24" s="10"/>
    </row>
    <row r="25" spans="1:30">
      <c r="A25" s="3290" t="s">
        <v>1309</v>
      </c>
      <c r="B25" s="3291" t="str" cm="1">
        <f t="array" aca="1" ref="B25" ca="1">_xlfn.XLOOKUP(9,'MAY STWO Watchbill'!U5:'MAY STWO Watchbill'!U66,'MAY STWO Watchbill'!$C$5:'MAY STWO Watchbill'!$C$66)</f>
        <v>BMC FUENTES</v>
      </c>
      <c r="C25" s="3292" t="s">
        <v>1309</v>
      </c>
      <c r="D25" s="3166" t="str" cm="1">
        <f t="array" aca="1" ref="D25" ca="1">_xlfn.XLOOKUP(9,'MAY STWO Watchbill'!V5:'MAY STWO Watchbill'!V66,'MAY STWO Watchbill'!$C$5:'MAY STWO Watchbill'!$C$66)</f>
        <v>LT GARCIA</v>
      </c>
      <c r="E25" s="3290" t="s">
        <v>1309</v>
      </c>
      <c r="F25" s="3166" t="str" cm="1">
        <f t="array" aca="1" ref="F25" ca="1">_xlfn.XLOOKUP(9,'MAY STWO Watchbill'!W5:'MAY STWO Watchbill'!W66,'MAY STWO Watchbill'!$C$5:'MAY STWO Watchbill'!$C$66)</f>
        <v>LT DECKER</v>
      </c>
      <c r="G25" s="3290" t="s">
        <v>1309</v>
      </c>
      <c r="H25" s="3166" t="str" cm="1">
        <f t="array" aca="1" ref="H25" ca="1">_xlfn.XLOOKUP(9,'MAY STWO Watchbill'!X5:'MAY STWO Watchbill'!X66,'MAY STWO Watchbill'!$C$5:'MAY STWO Watchbill'!$C$66)</f>
        <v>LT GRAHAM</v>
      </c>
      <c r="I25" s="3290" t="s">
        <v>1309</v>
      </c>
      <c r="J25" s="3166" t="str" cm="1">
        <f t="array" aca="1" ref="J25" ca="1">_xlfn.XLOOKUP(9,'MAY STWO Watchbill'!Y5:'MAY STWO Watchbill'!Y66,'MAY STWO Watchbill'!$C$5:'MAY STWO Watchbill'!$C$66)</f>
        <v>LTJG BAILEY</v>
      </c>
      <c r="K25" s="3314" t="s">
        <v>1309</v>
      </c>
      <c r="L25" s="3285" t="str" cm="1">
        <f t="array" aca="1" ref="L25" ca="1">_xlfn.XLOOKUP(9,'MAY STWO Watchbill'!Z5:'MAY STWO Watchbill'!Z66,'MAY STWO Watchbill'!$C$5:'MAY STWO Watchbill'!$C$66)</f>
        <v>OS1 TILLMAN</v>
      </c>
      <c r="M25" s="3292" t="s">
        <v>1309</v>
      </c>
      <c r="N25" s="3291" t="str" cm="1">
        <f t="array" aca="1" ref="N25" ca="1">_xlfn.XLOOKUP(9,'MAY STWO Watchbill'!AA5:'MAY STWO Watchbill'!AA66,'MAY STWO Watchbill'!$C$5:'MAY STWO Watchbill'!$C$66)</f>
        <v>LTJG MOORE</v>
      </c>
      <c r="O25" s="10"/>
      <c r="P25" s="10"/>
      <c r="Q25" s="3315" t="s">
        <v>657</v>
      </c>
      <c r="R25" s="3287"/>
      <c r="S25" s="3370">
        <f>_xlfn.XLOOKUP($Q25,'MAY STWO Watchbill'!$B$5:$B$66,'MAY STWO Watchbill'!AV$5:AV$66)</f>
        <v>0</v>
      </c>
      <c r="T25" s="3370">
        <f>_xlfn.XLOOKUP($Q25,'MAY STWO Watchbill'!$B$5:$B$66,'MAY STWO Watchbill'!AW$5:AW$66)</f>
        <v>2</v>
      </c>
      <c r="U25" s="3370">
        <f>_xlfn.XLOOKUP($Q25,'MAY STWO Watchbill'!$B$5:$B$66,'MAY STWO Watchbill'!AX$5:AX$66)</f>
        <v>0</v>
      </c>
      <c r="V25" s="3370">
        <f>_xlfn.XLOOKUP($Q25,'MAY STWO Watchbill'!$B$5:$B$66,'MAY STWO Watchbill'!AY$5:AY$66)</f>
        <v>1</v>
      </c>
      <c r="W25" s="3370">
        <f>_xlfn.XLOOKUP($Q25,'MAY STWO Watchbill'!$B$5:$B$66,'MAY STWO Watchbill'!AZ$5:AZ$66)</f>
        <v>0</v>
      </c>
      <c r="X25" s="3371">
        <f t="shared" si="0"/>
        <v>3</v>
      </c>
      <c r="Y25" s="10"/>
      <c r="Z25" s="10"/>
      <c r="AA25" s="10"/>
      <c r="AB25" s="10"/>
      <c r="AC25" s="10"/>
      <c r="AD25" s="10"/>
    </row>
    <row r="26" spans="1:30">
      <c r="A26" s="3290" t="s">
        <v>1311</v>
      </c>
      <c r="B26" s="3291" t="s">
        <v>1320</v>
      </c>
      <c r="C26" s="3292" t="s">
        <v>1311</v>
      </c>
      <c r="D26" s="3166" t="s">
        <v>1327</v>
      </c>
      <c r="E26" s="3290" t="s">
        <v>1311</v>
      </c>
      <c r="F26" s="3166" t="s">
        <v>1312</v>
      </c>
      <c r="G26" s="3290" t="s">
        <v>1311</v>
      </c>
      <c r="H26" s="3166" t="s">
        <v>1331</v>
      </c>
      <c r="I26" s="3290" t="s">
        <v>1311</v>
      </c>
      <c r="J26" s="3166" t="s">
        <v>1320</v>
      </c>
      <c r="K26" s="3316" t="s">
        <v>1311</v>
      </c>
      <c r="L26" s="3317" t="s">
        <v>1331</v>
      </c>
      <c r="M26" s="3318" t="s">
        <v>1311</v>
      </c>
      <c r="N26" s="3319" t="s">
        <v>1320</v>
      </c>
      <c r="O26" s="10"/>
      <c r="P26" s="10"/>
      <c r="Q26" s="3307" t="s">
        <v>474</v>
      </c>
      <c r="R26" s="3287" t="s">
        <v>1332</v>
      </c>
      <c r="S26" s="3370">
        <f>_xlfn.XLOOKUP($Q26,'MAY STWO Watchbill'!$B$5:$B$66,'MAY STWO Watchbill'!AV$5:AV$66)</f>
        <v>0</v>
      </c>
      <c r="T26" s="3370">
        <f>_xlfn.XLOOKUP($Q26,'MAY STWO Watchbill'!$B$5:$B$66,'MAY STWO Watchbill'!AW$5:AW$66)</f>
        <v>0</v>
      </c>
      <c r="U26" s="3370">
        <f>_xlfn.XLOOKUP($Q26,'MAY STWO Watchbill'!$B$5:$B$66,'MAY STWO Watchbill'!AX$5:AX$66)</f>
        <v>1</v>
      </c>
      <c r="V26" s="3370">
        <f>_xlfn.XLOOKUP($Q26,'MAY STWO Watchbill'!$B$5:$B$66,'MAY STWO Watchbill'!AY$5:AY$66)</f>
        <v>2</v>
      </c>
      <c r="W26" s="3370">
        <f>_xlfn.XLOOKUP($Q26,'MAY STWO Watchbill'!$B$5:$B$66,'MAY STWO Watchbill'!AZ$5:AZ$66)</f>
        <v>0</v>
      </c>
      <c r="X26" s="3371">
        <f t="shared" si="0"/>
        <v>3</v>
      </c>
      <c r="Y26" s="10"/>
      <c r="Z26" s="10"/>
      <c r="AA26" s="10"/>
      <c r="AB26" s="10"/>
      <c r="AC26" s="10"/>
      <c r="AD26" s="10"/>
    </row>
    <row r="27" spans="1:30">
      <c r="A27" s="6351"/>
      <c r="B27" s="6356"/>
      <c r="C27" s="6352"/>
      <c r="D27" s="6352"/>
      <c r="E27" s="6351"/>
      <c r="F27" s="6352"/>
      <c r="G27" s="6351"/>
      <c r="H27" s="6352"/>
      <c r="I27" s="3713"/>
      <c r="J27" s="3715"/>
      <c r="K27" s="6363" t="s">
        <v>1333</v>
      </c>
      <c r="L27" s="6364"/>
      <c r="M27" s="6365"/>
      <c r="N27" s="6366"/>
      <c r="O27" s="10"/>
      <c r="P27" s="10"/>
      <c r="Q27" s="3307" t="s">
        <v>135</v>
      </c>
      <c r="R27" s="3287"/>
      <c r="S27" s="3370">
        <f>_xlfn.XLOOKUP($Q27,'MAY STWO Watchbill'!$B$5:$B$66,'MAY STWO Watchbill'!AV$5:AV$66)</f>
        <v>0</v>
      </c>
      <c r="T27" s="3370">
        <f>_xlfn.XLOOKUP($Q27,'MAY STWO Watchbill'!$B$5:$B$66,'MAY STWO Watchbill'!AW$5:AW$66)</f>
        <v>1</v>
      </c>
      <c r="U27" s="3370">
        <f>_xlfn.XLOOKUP($Q27,'MAY STWO Watchbill'!$B$5:$B$66,'MAY STWO Watchbill'!AX$5:AX$66)</f>
        <v>0</v>
      </c>
      <c r="V27" s="3370">
        <f>_xlfn.XLOOKUP($Q27,'MAY STWO Watchbill'!$B$5:$B$66,'MAY STWO Watchbill'!AY$5:AY$66)</f>
        <v>1</v>
      </c>
      <c r="W27" s="3370">
        <f>_xlfn.XLOOKUP($Q27,'MAY STWO Watchbill'!$B$5:$B$66,'MAY STWO Watchbill'!AZ$5:AZ$66)</f>
        <v>1</v>
      </c>
      <c r="X27" s="3371">
        <f t="shared" si="0"/>
        <v>3</v>
      </c>
      <c r="Y27" s="10"/>
      <c r="Z27" s="10"/>
      <c r="AA27" s="10"/>
      <c r="AB27" s="10"/>
      <c r="AC27" s="10"/>
      <c r="AD27" s="10"/>
    </row>
    <row r="28" spans="1:30" ht="15.75" customHeight="1">
      <c r="A28" s="6367">
        <v>25</v>
      </c>
      <c r="B28" s="6368"/>
      <c r="C28" s="6369">
        <v>26</v>
      </c>
      <c r="D28" s="6370"/>
      <c r="E28" s="6367">
        <v>27</v>
      </c>
      <c r="F28" s="6370"/>
      <c r="G28" s="6367">
        <v>28</v>
      </c>
      <c r="H28" s="6370"/>
      <c r="I28" s="6367">
        <v>29</v>
      </c>
      <c r="J28" s="6370"/>
      <c r="K28" s="6367">
        <v>30</v>
      </c>
      <c r="L28" s="6370"/>
      <c r="M28" s="6367">
        <v>31</v>
      </c>
      <c r="N28" s="6368"/>
      <c r="O28" s="10"/>
      <c r="P28" s="10"/>
      <c r="Q28" s="3320" t="s">
        <v>334</v>
      </c>
      <c r="R28" s="3321"/>
      <c r="S28" s="3370">
        <f>_xlfn.XLOOKUP($Q28,'MAY STWO Watchbill'!$B$5:$B$66,'MAY STWO Watchbill'!AV$5:AV$66)</f>
        <v>1</v>
      </c>
      <c r="T28" s="3370">
        <f>_xlfn.XLOOKUP($Q28,'MAY STWO Watchbill'!$B$5:$B$66,'MAY STWO Watchbill'!AW$5:AW$66)</f>
        <v>0</v>
      </c>
      <c r="U28" s="3370">
        <f>_xlfn.XLOOKUP($Q28,'MAY STWO Watchbill'!$B$5:$B$66,'MAY STWO Watchbill'!AX$5:AX$66)</f>
        <v>0</v>
      </c>
      <c r="V28" s="3370">
        <f>_xlfn.XLOOKUP($Q28,'MAY STWO Watchbill'!$B$5:$B$66,'MAY STWO Watchbill'!AY$5:AY$66)</f>
        <v>2</v>
      </c>
      <c r="W28" s="3370">
        <f>_xlfn.XLOOKUP($Q28,'MAY STWO Watchbill'!$B$5:$B$66,'MAY STWO Watchbill'!AZ$5:AZ$66)</f>
        <v>0</v>
      </c>
      <c r="X28" s="3371">
        <f t="shared" si="0"/>
        <v>3</v>
      </c>
      <c r="Y28" s="10"/>
      <c r="Z28" s="10"/>
      <c r="AA28" s="10"/>
      <c r="AB28" s="10"/>
      <c r="AC28" s="10"/>
      <c r="AD28" s="10"/>
    </row>
    <row r="29" spans="1:30" ht="15.75" customHeight="1">
      <c r="A29" s="6346" t="s">
        <v>1307</v>
      </c>
      <c r="B29" s="3313" t="str" cm="1">
        <f t="array" aca="1" ref="B29" ca="1">_xlfn.XLOOKUP(8,'MAY STWO Watchbill'!AB5:'MAY STWO Watchbill'!AB66,'MAY STWO Watchbill'!$C$5:'MAY STWO Watchbill'!$C$66)</f>
        <v>CTTC THOMPSON</v>
      </c>
      <c r="C29" s="6354" t="s">
        <v>1307</v>
      </c>
      <c r="D29" s="3277" t="str" cm="1">
        <f t="array" aca="1" ref="D29" ca="1">_xlfn.XLOOKUP(8,'MAY STWO Watchbill'!AC5:'MAY STWO Watchbill'!AC66,'MAY STWO Watchbill'!$C$5:'MAY STWO Watchbill'!$C$66)</f>
        <v>LT PARRA</v>
      </c>
      <c r="E29" s="6380" t="s">
        <v>1307</v>
      </c>
      <c r="F29" s="3277" t="str" cm="1">
        <f t="array" aca="1" ref="F29" ca="1">_xlfn.XLOOKUP(8,'MAY STWO Watchbill'!AD5:'MAY STWO Watchbill'!AD66,'MAY STWO Watchbill'!$C$5:'MAY STWO Watchbill'!$C$66)</f>
        <v>LT HESPEN</v>
      </c>
      <c r="G29" s="6346" t="s">
        <v>1307</v>
      </c>
      <c r="H29" s="3277" t="str" cm="1">
        <f t="array" aca="1" ref="H29" ca="1">_xlfn.XLOOKUP(8,'MAY STWO Watchbill'!AE5:'MAY STWO Watchbill'!AE66,'MAY STWO Watchbill'!$C$5:'MAY STWO Watchbill'!$C$66)</f>
        <v>ENC TRAN</v>
      </c>
      <c r="I29" s="6346" t="s">
        <v>1307</v>
      </c>
      <c r="J29" s="3322" t="str" cm="1">
        <f t="array" aca="1" ref="J29" ca="1">_xlfn.XLOOKUP(8,'MAY STWO Watchbill'!AF5:'MAY STWO Watchbill'!AF66,'MAY STWO Watchbill'!$C$5:'MAY STWO Watchbill'!$C$66)</f>
        <v>LCDR  KIM</v>
      </c>
      <c r="K29" s="6340" t="s">
        <v>1307</v>
      </c>
      <c r="L29" s="3277" t="str" cm="1">
        <f t="array" aca="1" ref="L29" ca="1">_xlfn.XLOOKUP(8,'MAY STWO Watchbill'!AG5:'MAY STWO Watchbill'!AG66,'MAY STWO Watchbill'!$C$5:'MAY STWO Watchbill'!$C$66)</f>
        <v>LTJG BAILEY</v>
      </c>
      <c r="M29" s="6340" t="s">
        <v>1307</v>
      </c>
      <c r="N29" s="3278" t="str" cm="1">
        <f t="array" aca="1" ref="N29" ca="1">_xlfn.XLOOKUP(8,'MAY STWO Watchbill'!AH5:'MAY STWO Watchbill'!AH66,'MAY STWO Watchbill'!$C$5:'MAY STWO Watchbill'!$C$66)</f>
        <v>LT GARCIA</v>
      </c>
      <c r="O29" s="10"/>
      <c r="P29" s="10"/>
      <c r="Q29" s="3298" t="s">
        <v>1036</v>
      </c>
      <c r="R29" s="3323"/>
      <c r="S29" s="3370">
        <f>_xlfn.XLOOKUP($Q29,'MAY STWO Watchbill'!$B$5:$B$66,'MAY STWO Watchbill'!AV$5:AV$66)</f>
        <v>1</v>
      </c>
      <c r="T29" s="3370">
        <f>_xlfn.XLOOKUP($Q29,'MAY STWO Watchbill'!$B$5:$B$66,'MAY STWO Watchbill'!AW$5:AW$66)</f>
        <v>0</v>
      </c>
      <c r="U29" s="3370">
        <f>_xlfn.XLOOKUP($Q29,'MAY STWO Watchbill'!$B$5:$B$66,'MAY STWO Watchbill'!AX$5:AX$66)</f>
        <v>0</v>
      </c>
      <c r="V29" s="3370">
        <f>_xlfn.XLOOKUP($Q29,'MAY STWO Watchbill'!$B$5:$B$66,'MAY STWO Watchbill'!AY$5:AY$66)</f>
        <v>0</v>
      </c>
      <c r="W29" s="3370">
        <f>_xlfn.XLOOKUP($Q29,'MAY STWO Watchbill'!$B$5:$B$66,'MAY STWO Watchbill'!AZ$5:AZ$66)</f>
        <v>0</v>
      </c>
      <c r="X29" s="3371">
        <f t="shared" si="0"/>
        <v>1</v>
      </c>
      <c r="Y29" s="10"/>
      <c r="Z29" s="10"/>
      <c r="AA29" s="10"/>
      <c r="AB29" s="10"/>
      <c r="AC29" s="10"/>
      <c r="AD29" s="10"/>
    </row>
    <row r="30" spans="1:30" ht="15.75" customHeight="1">
      <c r="A30" s="6347"/>
      <c r="B30" s="3286"/>
      <c r="C30" s="6355"/>
      <c r="D30" s="3166" t="s">
        <v>1316</v>
      </c>
      <c r="E30" s="6381"/>
      <c r="F30" s="3163" t="s">
        <v>1324</v>
      </c>
      <c r="G30" s="6347"/>
      <c r="H30" s="3284" t="s">
        <v>1308</v>
      </c>
      <c r="I30" s="6347"/>
      <c r="J30" s="3284" t="s">
        <v>1328</v>
      </c>
      <c r="K30" s="6341"/>
      <c r="L30" s="3166" t="s">
        <v>1329</v>
      </c>
      <c r="M30" s="6341"/>
      <c r="N30" s="3291"/>
      <c r="O30" s="10"/>
      <c r="P30" s="10"/>
      <c r="Q30" s="3272" t="s">
        <v>1058</v>
      </c>
      <c r="R30" s="3287"/>
      <c r="S30" s="3370">
        <f>_xlfn.XLOOKUP($Q30,'MAY STWO Watchbill'!$B$5:$B$66,'MAY STWO Watchbill'!AV$5:AV$66)</f>
        <v>0</v>
      </c>
      <c r="T30" s="3370">
        <f>_xlfn.XLOOKUP($Q30,'MAY STWO Watchbill'!$B$5:$B$66,'MAY STWO Watchbill'!AW$5:AW$66)</f>
        <v>1</v>
      </c>
      <c r="U30" s="3370">
        <f>_xlfn.XLOOKUP($Q30,'MAY STWO Watchbill'!$B$5:$B$66,'MAY STWO Watchbill'!AX$5:AX$66)</f>
        <v>0</v>
      </c>
      <c r="V30" s="3370">
        <f>_xlfn.XLOOKUP($Q30,'MAY STWO Watchbill'!$B$5:$B$66,'MAY STWO Watchbill'!AY$5:AY$66)</f>
        <v>1</v>
      </c>
      <c r="W30" s="3370">
        <f>_xlfn.XLOOKUP($Q30,'MAY STWO Watchbill'!$B$5:$B$66,'MAY STWO Watchbill'!AZ$5:AZ$66)</f>
        <v>0</v>
      </c>
      <c r="X30" s="3371">
        <f t="shared" si="0"/>
        <v>2</v>
      </c>
      <c r="Y30" s="10"/>
      <c r="Z30" s="10"/>
      <c r="AA30" s="10"/>
      <c r="AB30" s="10"/>
      <c r="AC30" s="10"/>
      <c r="AD30" s="10"/>
    </row>
    <row r="31" spans="1:30" ht="15.75" customHeight="1">
      <c r="A31" s="3290" t="s">
        <v>1309</v>
      </c>
      <c r="B31" s="3291" t="str" cm="1">
        <f t="array" aca="1" ref="B31" ca="1">_xlfn.XLOOKUP(9,'MAY STWO Watchbill'!AB5:'MAY STWO Watchbill'!AB66,'MAY STWO Watchbill'!$C$5:'MAY STWO Watchbill'!$C$66)</f>
        <v>IT1 LUCAS</v>
      </c>
      <c r="C31" s="3292" t="s">
        <v>1309</v>
      </c>
      <c r="D31" s="3166" t="str" cm="1">
        <f t="array" aca="1" ref="D31" ca="1">_xlfn.XLOOKUP(9,'MAY STWO Watchbill'!AC5:'MAY STWO Watchbill'!AC66,'MAY STWO Watchbill'!$C$5:'MAY STWO Watchbill'!$C$66)</f>
        <v>OSC WILLIAMS</v>
      </c>
      <c r="E31" s="3324" t="s">
        <v>1309</v>
      </c>
      <c r="F31" s="3166" t="str" cm="1">
        <f t="array" aca="1" ref="F31" ca="1">_xlfn.XLOOKUP(9,'MAY STWO Watchbill'!AD5:'MAY STWO Watchbill'!AD66,'MAY STWO Watchbill'!$C$5:'MAY STWO Watchbill'!$C$66)</f>
        <v>ITC ANTERO</v>
      </c>
      <c r="G31" s="3290" t="s">
        <v>1309</v>
      </c>
      <c r="H31" s="3325" t="str" cm="1">
        <f t="array" aca="1" ref="H31" ca="1">_xlfn.XLOOKUP(9,'MAY STWO Watchbill'!AE5:'MAY STWO Watchbill'!AE66,'MAY STWO Watchbill'!$C$5:'MAY STWO Watchbill'!$C$66)</f>
        <v>LT GRAHAM</v>
      </c>
      <c r="I31" s="3290" t="s">
        <v>1309</v>
      </c>
      <c r="J31" s="3166" t="str" cm="1">
        <f t="array" aca="1" ref="J31" ca="1">_xlfn.XLOOKUP(9,'MAY STWO Watchbill'!AF5:'MAY STWO Watchbill'!AF66,'MAY STWO Watchbill'!$C$5:'MAY STWO Watchbill'!$C$66)</f>
        <v>OS1 TILLMAN</v>
      </c>
      <c r="K31" s="3290" t="s">
        <v>1309</v>
      </c>
      <c r="L31" s="3291" t="str" cm="1">
        <f t="array" aca="1" ref="L31" ca="1">_xlfn.XLOOKUP(9,'MAY STWO Watchbill'!AG5:'MAY STWO Watchbill'!AG66,'MAY STWO Watchbill'!$C$5:'MAY STWO Watchbill'!$C$66)</f>
        <v>DCC ALLEN</v>
      </c>
      <c r="M31" s="3290" t="s">
        <v>1309</v>
      </c>
      <c r="N31" s="3291" t="str" cm="1">
        <f t="array" aca="1" ref="N31" ca="1">_xlfn.XLOOKUP(9,'MAY STWO Watchbill'!AH5:'MAY STWO Watchbill'!AH66,'MAY STWO Watchbill'!$C$5:'MAY STWO Watchbill'!$C$66)</f>
        <v>GMC OGLE</v>
      </c>
      <c r="O31" s="10"/>
      <c r="P31" s="10"/>
      <c r="Q31" s="3272" t="s">
        <v>1037</v>
      </c>
      <c r="R31" s="3287"/>
      <c r="S31" s="3370">
        <f>_xlfn.XLOOKUP($Q31,'MAY STWO Watchbill'!$B$5:$B$66,'MAY STWO Watchbill'!AV$5:AV$66)</f>
        <v>0</v>
      </c>
      <c r="T31" s="3370">
        <f>_xlfn.XLOOKUP($Q31,'MAY STWO Watchbill'!$B$5:$B$66,'MAY STWO Watchbill'!AW$5:AW$66)</f>
        <v>1</v>
      </c>
      <c r="U31" s="3370">
        <f>_xlfn.XLOOKUP($Q31,'MAY STWO Watchbill'!$B$5:$B$66,'MAY STWO Watchbill'!AX$5:AX$66)</f>
        <v>0</v>
      </c>
      <c r="V31" s="3370">
        <f>_xlfn.XLOOKUP($Q31,'MAY STWO Watchbill'!$B$5:$B$66,'MAY STWO Watchbill'!AY$5:AY$66)</f>
        <v>0</v>
      </c>
      <c r="W31" s="3370">
        <f>_xlfn.XLOOKUP($Q31,'MAY STWO Watchbill'!$B$5:$B$66,'MAY STWO Watchbill'!AZ$5:AZ$66)</f>
        <v>0</v>
      </c>
      <c r="X31" s="3371">
        <f t="shared" si="0"/>
        <v>1</v>
      </c>
      <c r="Y31" s="10"/>
      <c r="Z31" s="10"/>
      <c r="AA31" s="10"/>
      <c r="AB31" s="10"/>
      <c r="AC31" s="10"/>
      <c r="AD31" s="10"/>
    </row>
    <row r="32" spans="1:30">
      <c r="A32" s="3326" t="s">
        <v>1311</v>
      </c>
      <c r="B32" s="3327" t="s">
        <v>1312</v>
      </c>
      <c r="C32" s="3318" t="s">
        <v>1311</v>
      </c>
      <c r="D32" s="3325" t="s">
        <v>1331</v>
      </c>
      <c r="E32" s="3324" t="s">
        <v>1311</v>
      </c>
      <c r="F32" s="3166" t="s">
        <v>1320</v>
      </c>
      <c r="G32" s="3328" t="s">
        <v>1311</v>
      </c>
      <c r="H32" s="3166" t="s">
        <v>1312</v>
      </c>
      <c r="I32" s="3329" t="s">
        <v>1311</v>
      </c>
      <c r="J32" s="3166" t="s">
        <v>1320</v>
      </c>
      <c r="K32" s="3329" t="s">
        <v>1311</v>
      </c>
      <c r="L32" s="3221" t="s">
        <v>1327</v>
      </c>
      <c r="M32" s="3329" t="s">
        <v>1311</v>
      </c>
      <c r="N32" s="3291" t="s">
        <v>1320</v>
      </c>
      <c r="O32" s="10"/>
      <c r="P32" s="10"/>
      <c r="Q32" s="3272" t="s">
        <v>620</v>
      </c>
      <c r="R32" s="3287"/>
      <c r="S32" s="3370">
        <f>_xlfn.XLOOKUP($Q32,'MAY STWO Watchbill'!$B$5:$B$66,'MAY STWO Watchbill'!AV$5:AV$66)</f>
        <v>0</v>
      </c>
      <c r="T32" s="3370">
        <f>_xlfn.XLOOKUP($Q32,'MAY STWO Watchbill'!$B$5:$B$66,'MAY STWO Watchbill'!AW$5:AW$66)</f>
        <v>2</v>
      </c>
      <c r="U32" s="3370">
        <f>_xlfn.XLOOKUP($Q32,'MAY STWO Watchbill'!$B$5:$B$66,'MAY STWO Watchbill'!AX$5:AX$66)</f>
        <v>0</v>
      </c>
      <c r="V32" s="3370">
        <f>_xlfn.XLOOKUP($Q32,'MAY STWO Watchbill'!$B$5:$B$66,'MAY STWO Watchbill'!AY$5:AY$66)</f>
        <v>0</v>
      </c>
      <c r="W32" s="3370">
        <f>_xlfn.XLOOKUP($Q32,'MAY STWO Watchbill'!$B$5:$B$66,'MAY STWO Watchbill'!AZ$5:AZ$66)</f>
        <v>0</v>
      </c>
      <c r="X32" s="3371">
        <f t="shared" si="0"/>
        <v>2</v>
      </c>
      <c r="Y32" s="10"/>
      <c r="Z32" s="10"/>
      <c r="AA32" s="10"/>
      <c r="AB32" s="10"/>
      <c r="AC32" s="10"/>
      <c r="AD32" s="10"/>
    </row>
    <row r="33" spans="1:30">
      <c r="A33" s="6371" t="s">
        <v>1333</v>
      </c>
      <c r="B33" s="6372"/>
      <c r="C33" s="6373"/>
      <c r="D33" s="6373"/>
      <c r="E33" s="6374"/>
      <c r="F33" s="6375"/>
      <c r="G33" s="6374"/>
      <c r="H33" s="6375"/>
      <c r="I33" s="6376"/>
      <c r="J33" s="6377"/>
      <c r="K33" s="3330"/>
      <c r="L33" s="3710"/>
      <c r="M33" s="3330"/>
      <c r="N33" s="3724"/>
      <c r="O33" s="10"/>
      <c r="P33" s="10"/>
      <c r="Q33" s="3272" t="s">
        <v>740</v>
      </c>
      <c r="R33" s="3279"/>
      <c r="S33" s="3370">
        <f>_xlfn.XLOOKUP($Q33,'MAY STWO Watchbill'!$B$5:$B$66,'MAY STWO Watchbill'!AV$5:AV$66)</f>
        <v>0</v>
      </c>
      <c r="T33" s="3370">
        <f>_xlfn.XLOOKUP($Q33,'MAY STWO Watchbill'!$B$5:$B$66,'MAY STWO Watchbill'!AW$5:AW$66)</f>
        <v>0</v>
      </c>
      <c r="U33" s="3370">
        <f>_xlfn.XLOOKUP($Q33,'MAY STWO Watchbill'!$B$5:$B$66,'MAY STWO Watchbill'!AX$5:AX$66)</f>
        <v>0</v>
      </c>
      <c r="V33" s="3370">
        <f>_xlfn.XLOOKUP($Q33,'MAY STWO Watchbill'!$B$5:$B$66,'MAY STWO Watchbill'!AY$5:AY$66)</f>
        <v>1</v>
      </c>
      <c r="W33" s="3370">
        <f>_xlfn.XLOOKUP($Q33,'MAY STWO Watchbill'!$B$5:$B$66,'MAY STWO Watchbill'!AZ$5:AZ$66)</f>
        <v>0</v>
      </c>
      <c r="X33" s="3371">
        <f t="shared" si="0"/>
        <v>1</v>
      </c>
      <c r="Y33" s="10"/>
      <c r="Z33" s="10"/>
      <c r="AA33" s="10"/>
      <c r="AB33" s="10"/>
      <c r="AC33" s="10"/>
      <c r="AD33" s="10"/>
    </row>
    <row r="34" spans="1:30" ht="15.75" customHeight="1">
      <c r="A34" s="3708"/>
      <c r="B34" s="3708"/>
      <c r="C34" s="3708"/>
      <c r="D34" s="3708"/>
      <c r="E34" s="3708"/>
      <c r="F34" s="3708"/>
      <c r="G34" s="3708"/>
      <c r="H34" s="3708"/>
      <c r="I34" s="3708"/>
      <c r="J34" s="10"/>
      <c r="K34" s="10"/>
      <c r="L34" s="3331"/>
      <c r="M34" s="10"/>
      <c r="N34" s="10"/>
      <c r="O34" s="10"/>
      <c r="P34" s="10"/>
      <c r="Q34" s="3272" t="s">
        <v>1334</v>
      </c>
      <c r="R34" s="3301">
        <v>45778</v>
      </c>
      <c r="S34" s="3370"/>
      <c r="T34" s="3370"/>
      <c r="U34" s="3370"/>
      <c r="V34" s="3370"/>
      <c r="W34" s="3370"/>
      <c r="X34" s="3371"/>
      <c r="Y34" s="10"/>
      <c r="Z34" s="10"/>
      <c r="AA34" s="10"/>
      <c r="AB34" s="10"/>
      <c r="AC34" s="10"/>
      <c r="AD34" s="10"/>
    </row>
    <row r="35" spans="1:30" ht="15.75" customHeight="1">
      <c r="A35" s="3708"/>
      <c r="B35" s="3708"/>
      <c r="C35" s="3708"/>
      <c r="D35" s="3708"/>
      <c r="E35" s="3708"/>
      <c r="F35" s="3708"/>
      <c r="G35" s="3708"/>
      <c r="H35" s="3708"/>
      <c r="I35" s="3708"/>
      <c r="J35" s="10" t="s">
        <v>1335</v>
      </c>
      <c r="K35" s="3332"/>
      <c r="L35" s="3333"/>
      <c r="M35" s="10"/>
      <c r="N35" s="10"/>
      <c r="O35" s="10"/>
      <c r="P35" s="10"/>
      <c r="Q35" s="3272" t="s">
        <v>88</v>
      </c>
      <c r="R35" s="3301">
        <v>45778</v>
      </c>
      <c r="S35" s="3370"/>
      <c r="T35" s="3370"/>
      <c r="U35" s="3370"/>
      <c r="V35" s="3370"/>
      <c r="W35" s="3370"/>
      <c r="X35" s="3371"/>
      <c r="Y35" s="10"/>
      <c r="Z35" s="10"/>
      <c r="AA35" s="10"/>
      <c r="AB35" s="10"/>
      <c r="AC35" s="10"/>
      <c r="AD35" s="10"/>
    </row>
    <row r="36" spans="1:30" ht="15.75" customHeight="1">
      <c r="A36" s="6378" t="s">
        <v>1336</v>
      </c>
      <c r="B36" s="6378"/>
      <c r="C36" s="6378"/>
      <c r="D36" s="6378"/>
      <c r="E36" s="6378"/>
      <c r="F36" s="6378"/>
      <c r="G36" s="6378"/>
      <c r="H36" s="6378"/>
      <c r="I36" s="6378"/>
      <c r="J36" s="10"/>
      <c r="K36" s="10"/>
      <c r="L36" s="3331"/>
      <c r="M36" s="10"/>
      <c r="N36" s="10"/>
      <c r="O36" s="10"/>
      <c r="P36" s="10"/>
      <c r="Q36" s="3334" t="s">
        <v>1106</v>
      </c>
      <c r="R36" s="3335">
        <v>45658</v>
      </c>
      <c r="S36" s="3370">
        <f>_xlfn.XLOOKUP($Q36,'MAY STWO Watchbill'!$B$5:$B$66,'MAY STWO Watchbill'!AV$5:AV$66)</f>
        <v>0</v>
      </c>
      <c r="T36" s="3370">
        <f>_xlfn.XLOOKUP($Q36,'MAY STWO Watchbill'!$B$5:$B$66,'MAY STWO Watchbill'!AW$5:AW$66)</f>
        <v>0</v>
      </c>
      <c r="U36" s="3370">
        <f>_xlfn.XLOOKUP($Q36,'MAY STWO Watchbill'!$B$5:$B$66,'MAY STWO Watchbill'!AX$5:AX$66)</f>
        <v>0</v>
      </c>
      <c r="V36" s="3370">
        <f>_xlfn.XLOOKUP($Q36,'MAY STWO Watchbill'!$B$5:$B$66,'MAY STWO Watchbill'!AY$5:AY$66)</f>
        <v>1</v>
      </c>
      <c r="W36" s="3370">
        <f>_xlfn.XLOOKUP($Q36,'MAY STWO Watchbill'!$B$5:$B$66,'MAY STWO Watchbill'!AZ$5:AZ$66)</f>
        <v>0</v>
      </c>
      <c r="X36" s="3371">
        <f t="shared" si="0"/>
        <v>1</v>
      </c>
      <c r="Y36" s="10"/>
      <c r="Z36" s="10"/>
      <c r="AA36" s="10"/>
      <c r="AB36" s="10"/>
      <c r="AC36" s="10"/>
      <c r="AD36" s="10"/>
    </row>
    <row r="37" spans="1:30" ht="15.75" customHeight="1">
      <c r="A37" s="6379" t="s">
        <v>1337</v>
      </c>
      <c r="B37" s="6379"/>
      <c r="C37" s="6379"/>
      <c r="D37" s="6379"/>
      <c r="E37" s="6379"/>
      <c r="F37" s="6379"/>
      <c r="G37" s="6379"/>
      <c r="H37" s="6379"/>
      <c r="I37" s="6379"/>
      <c r="J37" s="10" t="s">
        <v>1338</v>
      </c>
      <c r="K37" s="3332"/>
      <c r="L37" s="3333"/>
      <c r="M37" s="10"/>
      <c r="N37" s="10"/>
      <c r="O37" s="10"/>
      <c r="P37" s="10"/>
      <c r="Q37" s="3336" t="s">
        <v>148</v>
      </c>
      <c r="R37" s="3337"/>
      <c r="S37" s="3370">
        <f>_xlfn.XLOOKUP($Q37,'MAY STWO Watchbill'!$B$5:$B$66,'MAY STWO Watchbill'!AV$5:AV$66)</f>
        <v>1</v>
      </c>
      <c r="T37" s="3370">
        <f>_xlfn.XLOOKUP($Q37,'MAY STWO Watchbill'!$B$5:$B$66,'MAY STWO Watchbill'!AW$5:AW$66)</f>
        <v>1</v>
      </c>
      <c r="U37" s="3370">
        <f>_xlfn.XLOOKUP($Q37,'MAY STWO Watchbill'!$B$5:$B$66,'MAY STWO Watchbill'!AX$5:AX$66)</f>
        <v>0</v>
      </c>
      <c r="V37" s="3370">
        <f>_xlfn.XLOOKUP($Q37,'MAY STWO Watchbill'!$B$5:$B$66,'MAY STWO Watchbill'!AY$5:AY$66)</f>
        <v>0</v>
      </c>
      <c r="W37" s="3370">
        <f>_xlfn.XLOOKUP($Q37,'MAY STWO Watchbill'!$B$5:$B$66,'MAY STWO Watchbill'!AZ$5:AZ$66)</f>
        <v>0</v>
      </c>
      <c r="X37" s="3371">
        <f t="shared" si="0"/>
        <v>2</v>
      </c>
      <c r="Y37" s="10"/>
      <c r="Z37" s="10"/>
      <c r="AA37" s="10"/>
      <c r="AB37" s="10"/>
      <c r="AC37" s="10"/>
      <c r="AD37" s="10"/>
    </row>
    <row r="38" spans="1:30" ht="15.75" customHeight="1">
      <c r="A38" s="6378" t="s">
        <v>1339</v>
      </c>
      <c r="B38" s="6378"/>
      <c r="C38" s="6378"/>
      <c r="D38" s="6378"/>
      <c r="E38" s="6378"/>
      <c r="F38" s="6378"/>
      <c r="G38" s="6378"/>
      <c r="H38" s="6378"/>
      <c r="I38" s="6378"/>
      <c r="J38" s="10"/>
      <c r="K38" s="10"/>
      <c r="L38" s="10"/>
      <c r="M38" s="10"/>
      <c r="N38" s="10"/>
      <c r="O38" s="10"/>
      <c r="P38" s="10"/>
      <c r="Q38" s="3338" t="s">
        <v>618</v>
      </c>
      <c r="R38" s="3287"/>
      <c r="S38" s="3370">
        <f>_xlfn.XLOOKUP($Q38,'MAY STWO Watchbill'!$B$5:$B$66,'MAY STWO Watchbill'!AV$5:AV$66)</f>
        <v>0</v>
      </c>
      <c r="T38" s="3370">
        <f>_xlfn.XLOOKUP($Q38,'MAY STWO Watchbill'!$B$5:$B$66,'MAY STWO Watchbill'!AW$5:AW$66)</f>
        <v>0</v>
      </c>
      <c r="U38" s="3370">
        <f>_xlfn.XLOOKUP($Q38,'MAY STWO Watchbill'!$B$5:$B$66,'MAY STWO Watchbill'!AX$5:AX$66)</f>
        <v>0</v>
      </c>
      <c r="V38" s="3370">
        <f>_xlfn.XLOOKUP($Q38,'MAY STWO Watchbill'!$B$5:$B$66,'MAY STWO Watchbill'!AY$5:AY$66)</f>
        <v>0</v>
      </c>
      <c r="W38" s="3370">
        <f>_xlfn.XLOOKUP($Q38,'MAY STWO Watchbill'!$B$5:$B$66,'MAY STWO Watchbill'!AZ$5:AZ$66)</f>
        <v>0</v>
      </c>
      <c r="X38" s="3371">
        <f t="shared" si="0"/>
        <v>0</v>
      </c>
      <c r="Y38" s="10"/>
      <c r="Z38" s="10"/>
      <c r="AA38" s="10"/>
      <c r="AB38" s="10"/>
      <c r="AC38" s="10"/>
      <c r="AD38" s="10"/>
    </row>
    <row r="39" spans="1:30" ht="15.75" customHeight="1">
      <c r="A39" s="6379" t="s">
        <v>1340</v>
      </c>
      <c r="B39" s="6379"/>
      <c r="C39" s="6379"/>
      <c r="D39" s="6379"/>
      <c r="E39" s="6379"/>
      <c r="F39" s="6379"/>
      <c r="G39" s="6379"/>
      <c r="H39" s="6379"/>
      <c r="I39" s="6379"/>
      <c r="J39" s="10" t="s">
        <v>1341</v>
      </c>
      <c r="K39" s="3332"/>
      <c r="L39" s="3333"/>
      <c r="M39" s="10"/>
      <c r="N39" s="10"/>
      <c r="O39" s="10"/>
      <c r="P39" s="10"/>
      <c r="Q39" s="3338" t="s">
        <v>1251</v>
      </c>
      <c r="R39" s="3293">
        <v>45717</v>
      </c>
      <c r="S39" s="3370"/>
      <c r="T39" s="3370"/>
      <c r="U39" s="3370"/>
      <c r="V39" s="3370"/>
      <c r="W39" s="3370"/>
      <c r="X39" s="3371"/>
      <c r="Y39" s="10"/>
      <c r="Z39" s="10"/>
      <c r="AA39" s="10"/>
      <c r="AB39" s="10"/>
      <c r="AC39" s="10"/>
      <c r="AD39" s="10"/>
    </row>
    <row r="40" spans="1:30" ht="15.75" customHeight="1">
      <c r="A40" s="6387" t="s">
        <v>1342</v>
      </c>
      <c r="B40" s="6387"/>
      <c r="C40" s="6387"/>
      <c r="D40" s="6387"/>
      <c r="E40" s="6387"/>
      <c r="F40" s="6387"/>
      <c r="G40" s="6387"/>
      <c r="H40" s="6387"/>
      <c r="I40" s="6387"/>
      <c r="J40" s="10"/>
      <c r="K40" s="10"/>
      <c r="L40" s="10"/>
      <c r="M40" s="10"/>
      <c r="N40" s="10"/>
      <c r="O40" s="10"/>
      <c r="P40" s="10"/>
      <c r="Q40" s="3272" t="s">
        <v>1207</v>
      </c>
      <c r="R40" s="3339">
        <v>45689</v>
      </c>
      <c r="S40" s="3370"/>
      <c r="T40" s="3370"/>
      <c r="U40" s="3370"/>
      <c r="V40" s="3370"/>
      <c r="W40" s="3370"/>
      <c r="X40" s="3371"/>
      <c r="Y40" s="10"/>
      <c r="Z40" s="10"/>
      <c r="AA40" s="10"/>
      <c r="AB40" s="10"/>
      <c r="AC40" s="10"/>
      <c r="AD40" s="10"/>
    </row>
    <row r="41" spans="1:30" ht="15.75" customHeight="1">
      <c r="A41" s="6387" t="s">
        <v>1343</v>
      </c>
      <c r="B41" s="6387"/>
      <c r="C41" s="6387"/>
      <c r="D41" s="6387"/>
      <c r="E41" s="6387"/>
      <c r="F41" s="6387"/>
      <c r="G41" s="6387"/>
      <c r="H41" s="6387"/>
      <c r="I41" s="6387"/>
      <c r="J41" s="10"/>
      <c r="K41" s="10"/>
      <c r="L41" s="10"/>
      <c r="M41" s="10"/>
      <c r="N41" s="10"/>
      <c r="O41" s="10"/>
      <c r="P41" s="10"/>
      <c r="Q41" s="3272" t="s">
        <v>151</v>
      </c>
      <c r="R41" s="3287"/>
      <c r="S41" s="3370">
        <f>_xlfn.XLOOKUP($Q41,'MAY STWO Watchbill'!$B$5:$B$66,'MAY STWO Watchbill'!AV$5:AV$66)</f>
        <v>0</v>
      </c>
      <c r="T41" s="3370">
        <f>_xlfn.XLOOKUP($Q41,'MAY STWO Watchbill'!$B$5:$B$66,'MAY STWO Watchbill'!AW$5:AW$66)</f>
        <v>1</v>
      </c>
      <c r="U41" s="3370">
        <f>_xlfn.XLOOKUP($Q41,'MAY STWO Watchbill'!$B$5:$B$66,'MAY STWO Watchbill'!AX$5:AX$66)</f>
        <v>1</v>
      </c>
      <c r="V41" s="3370">
        <f>_xlfn.XLOOKUP($Q41,'MAY STWO Watchbill'!$B$5:$B$66,'MAY STWO Watchbill'!AY$5:AY$66)</f>
        <v>2</v>
      </c>
      <c r="W41" s="3370">
        <f>_xlfn.XLOOKUP($Q41,'MAY STWO Watchbill'!$B$5:$B$66,'MAY STWO Watchbill'!AZ$5:AZ$66)</f>
        <v>0</v>
      </c>
      <c r="X41" s="3371">
        <f t="shared" si="0"/>
        <v>4</v>
      </c>
      <c r="Y41" s="10"/>
      <c r="Z41" s="10"/>
      <c r="AA41" s="10"/>
      <c r="AB41" s="10"/>
      <c r="AC41" s="10"/>
      <c r="AD41" s="10"/>
    </row>
    <row r="42" spans="1:30" ht="15.75" customHeight="1">
      <c r="A42" s="6388" t="s">
        <v>1344</v>
      </c>
      <c r="B42" s="6389"/>
      <c r="C42" s="6389"/>
      <c r="D42" s="6389"/>
      <c r="E42" s="6389"/>
      <c r="F42" s="6389"/>
      <c r="G42" s="6389"/>
      <c r="H42" s="6389"/>
      <c r="I42" s="6389"/>
      <c r="J42" s="10" t="s">
        <v>1345</v>
      </c>
      <c r="K42" s="3332"/>
      <c r="L42" s="3332"/>
      <c r="M42" s="10"/>
      <c r="N42" s="10"/>
      <c r="O42" s="10"/>
      <c r="P42" s="10"/>
      <c r="Q42" s="3272" t="s">
        <v>1005</v>
      </c>
      <c r="R42" s="3273"/>
      <c r="S42" s="3370">
        <f>_xlfn.XLOOKUP($Q42,'MAY STWO Watchbill'!$B$5:$B$66,'MAY STWO Watchbill'!AV$5:AV$66)</f>
        <v>2</v>
      </c>
      <c r="T42" s="3370">
        <f>_xlfn.XLOOKUP($Q42,'MAY STWO Watchbill'!$B$5:$B$66,'MAY STWO Watchbill'!AW$5:AW$66)</f>
        <v>0</v>
      </c>
      <c r="U42" s="3370">
        <f>_xlfn.XLOOKUP($Q42,'MAY STWO Watchbill'!$B$5:$B$66,'MAY STWO Watchbill'!AX$5:AX$66)</f>
        <v>0</v>
      </c>
      <c r="V42" s="3370">
        <f>_xlfn.XLOOKUP($Q42,'MAY STWO Watchbill'!$B$5:$B$66,'MAY STWO Watchbill'!AY$5:AY$66)</f>
        <v>0</v>
      </c>
      <c r="W42" s="3370">
        <f>_xlfn.XLOOKUP($Q42,'MAY STWO Watchbill'!$B$5:$B$66,'MAY STWO Watchbill'!AZ$5:AZ$66)</f>
        <v>0</v>
      </c>
      <c r="X42" s="3371">
        <f t="shared" si="0"/>
        <v>2</v>
      </c>
      <c r="Y42" s="10"/>
      <c r="Z42" s="10"/>
      <c r="AA42" s="10"/>
      <c r="AB42" s="10"/>
      <c r="AC42" s="10"/>
      <c r="AD42" s="10"/>
    </row>
    <row r="43" spans="1:30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 t="s">
        <v>1346</v>
      </c>
      <c r="N43" s="3340">
        <f ca="1">TODAY()</f>
        <v>45818</v>
      </c>
      <c r="O43" s="10"/>
      <c r="P43" s="10"/>
      <c r="Q43" s="3341" t="s">
        <v>660</v>
      </c>
      <c r="R43" s="3287" t="s">
        <v>1347</v>
      </c>
      <c r="S43" s="3370">
        <f>_xlfn.XLOOKUP($Q43,'MAY STWO Watchbill'!$B$5:$B$66,'MAY STWO Watchbill'!AV$5:AV$66)</f>
        <v>0</v>
      </c>
      <c r="T43" s="3370">
        <f>_xlfn.XLOOKUP($Q43,'MAY STWO Watchbill'!$B$5:$B$66,'MAY STWO Watchbill'!AW$5:AW$66)</f>
        <v>1</v>
      </c>
      <c r="U43" s="3370">
        <f>_xlfn.XLOOKUP($Q43,'MAY STWO Watchbill'!$B$5:$B$66,'MAY STWO Watchbill'!AX$5:AX$66)</f>
        <v>0</v>
      </c>
      <c r="V43" s="3370">
        <f>_xlfn.XLOOKUP($Q43,'MAY STWO Watchbill'!$B$5:$B$66,'MAY STWO Watchbill'!AY$5:AY$66)</f>
        <v>2</v>
      </c>
      <c r="W43" s="3370">
        <f>_xlfn.XLOOKUP($Q43,'MAY STWO Watchbill'!$B$5:$B$66,'MAY STWO Watchbill'!AZ$5:AZ$66)</f>
        <v>1</v>
      </c>
      <c r="X43" s="3371">
        <f t="shared" si="0"/>
        <v>4</v>
      </c>
      <c r="Y43" s="10"/>
      <c r="Z43" s="10"/>
      <c r="AA43" s="10"/>
      <c r="AB43" s="10"/>
      <c r="AC43" s="10"/>
      <c r="AD43" s="10"/>
    </row>
    <row r="44" spans="1:30" ht="18.75" customHeight="1">
      <c r="A44" s="6322" t="s">
        <v>1296</v>
      </c>
      <c r="B44" s="6322"/>
      <c r="C44" s="6322"/>
      <c r="D44" s="6322"/>
      <c r="E44" s="6322"/>
      <c r="F44" s="6322"/>
      <c r="G44" s="6322"/>
      <c r="H44" s="6322"/>
      <c r="I44" s="6322"/>
      <c r="J44" s="6322"/>
      <c r="K44" s="6322"/>
      <c r="L44" s="6322"/>
      <c r="M44" s="6322"/>
      <c r="N44" s="6322"/>
      <c r="O44" s="10"/>
      <c r="P44" s="10"/>
      <c r="Q44" s="3334" t="s">
        <v>396</v>
      </c>
      <c r="R44" s="3342" t="s">
        <v>1348</v>
      </c>
      <c r="S44" s="3370">
        <f>_xlfn.XLOOKUP($Q44,'MAY STWO Watchbill'!$B$5:$B$66,'MAY STWO Watchbill'!AV$5:AV$66)</f>
        <v>0</v>
      </c>
      <c r="T44" s="3370">
        <f>_xlfn.XLOOKUP($Q44,'MAY STWO Watchbill'!$B$5:$B$66,'MAY STWO Watchbill'!AW$5:AW$66)</f>
        <v>0</v>
      </c>
      <c r="U44" s="3370">
        <f>_xlfn.XLOOKUP($Q44,'MAY STWO Watchbill'!$B$5:$B$66,'MAY STWO Watchbill'!AX$5:AX$66)</f>
        <v>1</v>
      </c>
      <c r="V44" s="3370">
        <f>_xlfn.XLOOKUP($Q44,'MAY STWO Watchbill'!$B$5:$B$66,'MAY STWO Watchbill'!AY$5:AY$66)</f>
        <v>1</v>
      </c>
      <c r="W44" s="3370">
        <f>_xlfn.XLOOKUP($Q44,'MAY STWO Watchbill'!$B$5:$B$66,'MAY STWO Watchbill'!AZ$5:AZ$66)</f>
        <v>1</v>
      </c>
      <c r="X44" s="3371">
        <f t="shared" si="0"/>
        <v>3</v>
      </c>
      <c r="Y44" s="10"/>
      <c r="Z44" s="10"/>
      <c r="AA44" s="10"/>
      <c r="AB44" s="10"/>
      <c r="AC44" s="10"/>
      <c r="AD44" s="10"/>
    </row>
    <row r="45" spans="1:30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3336" t="s">
        <v>303</v>
      </c>
      <c r="R45" s="3337"/>
      <c r="S45" s="3370">
        <f>_xlfn.XLOOKUP($Q45,'MAY STWO Watchbill'!$B$5:$B$66,'MAY STWO Watchbill'!AV$5:AV$66)</f>
        <v>1</v>
      </c>
      <c r="T45" s="3370">
        <f>_xlfn.XLOOKUP($Q45,'MAY STWO Watchbill'!$B$5:$B$66,'MAY STWO Watchbill'!AW$5:AW$66)</f>
        <v>0</v>
      </c>
      <c r="U45" s="3370">
        <f>_xlfn.XLOOKUP($Q45,'MAY STWO Watchbill'!$B$5:$B$66,'MAY STWO Watchbill'!AX$5:AX$66)</f>
        <v>0</v>
      </c>
      <c r="V45" s="3370">
        <f>_xlfn.XLOOKUP($Q45,'MAY STWO Watchbill'!$B$5:$B$66,'MAY STWO Watchbill'!AY$5:AY$66)</f>
        <v>1</v>
      </c>
      <c r="W45" s="3370">
        <f>_xlfn.XLOOKUP($Q45,'MAY STWO Watchbill'!$B$5:$B$66,'MAY STWO Watchbill'!AZ$5:AZ$66)</f>
        <v>0</v>
      </c>
      <c r="X45" s="3371">
        <f t="shared" si="0"/>
        <v>2</v>
      </c>
      <c r="Y45" s="10"/>
      <c r="Z45" s="10"/>
      <c r="AA45" s="10"/>
      <c r="AB45" s="10"/>
      <c r="AC45" s="10"/>
      <c r="AD45" s="10"/>
    </row>
    <row r="46" spans="1:30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3307" t="s">
        <v>532</v>
      </c>
      <c r="R46" s="3287"/>
      <c r="S46" s="3370">
        <f>_xlfn.XLOOKUP($Q46,'MAY STWO Watchbill'!$B$5:$B$66,'MAY STWO Watchbill'!AV$5:AV$66)</f>
        <v>0</v>
      </c>
      <c r="T46" s="3370">
        <f>_xlfn.XLOOKUP($Q46,'MAY STWO Watchbill'!$B$5:$B$66,'MAY STWO Watchbill'!AW$5:AW$66)</f>
        <v>1</v>
      </c>
      <c r="U46" s="3370">
        <f>_xlfn.XLOOKUP($Q46,'MAY STWO Watchbill'!$B$5:$B$66,'MAY STWO Watchbill'!AX$5:AX$66)</f>
        <v>0</v>
      </c>
      <c r="V46" s="3370">
        <f>_xlfn.XLOOKUP($Q46,'MAY STWO Watchbill'!$B$5:$B$66,'MAY STWO Watchbill'!AY$5:AY$66)</f>
        <v>0</v>
      </c>
      <c r="W46" s="3370">
        <f>_xlfn.XLOOKUP($Q46,'MAY STWO Watchbill'!$B$5:$B$66,'MAY STWO Watchbill'!AZ$5:AZ$66)</f>
        <v>0</v>
      </c>
      <c r="X46" s="3371">
        <f t="shared" si="0"/>
        <v>1</v>
      </c>
      <c r="Y46" s="10"/>
      <c r="Z46" s="10"/>
      <c r="AA46" s="10"/>
      <c r="AB46" s="10"/>
      <c r="AC46" s="10"/>
      <c r="AD46" s="10"/>
    </row>
    <row r="47" spans="1:30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3343"/>
      <c r="O47" s="10"/>
      <c r="P47" s="10"/>
      <c r="Q47" s="3344" t="s">
        <v>1256</v>
      </c>
      <c r="R47" s="3345">
        <v>45748</v>
      </c>
      <c r="S47" s="3370"/>
      <c r="T47" s="3370"/>
      <c r="U47" s="3370"/>
      <c r="V47" s="3370"/>
      <c r="W47" s="3370"/>
      <c r="X47" s="3371"/>
      <c r="Y47" s="10"/>
      <c r="Z47" s="10"/>
      <c r="AA47" s="10"/>
      <c r="AB47" s="10"/>
      <c r="AC47" s="10"/>
      <c r="AD47" s="10"/>
    </row>
    <row r="48" spans="1:30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3343"/>
      <c r="O48" s="10"/>
      <c r="P48" s="10"/>
      <c r="Q48" s="10"/>
      <c r="R48" s="3267"/>
      <c r="S48" s="3346"/>
      <c r="T48" s="3346"/>
      <c r="U48" s="3346"/>
      <c r="V48" s="3346"/>
      <c r="W48" s="3346"/>
      <c r="X48" s="3346">
        <f>SUM(X4:X47)</f>
        <v>62</v>
      </c>
      <c r="Y48" s="10"/>
      <c r="Z48" s="10"/>
      <c r="AA48" s="10"/>
      <c r="AB48" s="10"/>
      <c r="AC48" s="10"/>
      <c r="AD48" s="10"/>
    </row>
    <row r="49" spans="1:30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3343"/>
      <c r="O49" s="10"/>
      <c r="P49" s="10"/>
      <c r="Q49" s="10"/>
      <c r="R49" s="3267"/>
      <c r="S49" s="3346"/>
      <c r="T49" s="3346"/>
      <c r="U49" s="3346"/>
      <c r="V49" s="3346"/>
      <c r="W49" s="3346"/>
      <c r="X49" s="3346"/>
      <c r="Y49" s="10"/>
      <c r="Z49" s="10"/>
      <c r="AA49" s="10"/>
      <c r="AB49" s="10"/>
      <c r="AC49" s="10"/>
      <c r="AD49" s="10"/>
    </row>
    <row r="50" spans="1:3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3343"/>
      <c r="O50" s="10"/>
      <c r="P50" s="10"/>
      <c r="Q50" s="3347"/>
      <c r="R50" s="3267"/>
      <c r="S50" s="3267"/>
      <c r="T50" s="3267"/>
      <c r="U50" s="3267"/>
      <c r="V50" s="3267"/>
      <c r="W50" s="3267"/>
      <c r="X50" s="3346"/>
      <c r="Y50" s="10"/>
      <c r="Z50" s="10"/>
      <c r="AA50" s="10"/>
      <c r="AB50" s="10"/>
      <c r="AC50" s="10"/>
      <c r="AD50" s="10"/>
    </row>
    <row r="51" spans="1:30" ht="15.75" customHeight="1">
      <c r="A51" s="10"/>
      <c r="B51" s="10"/>
      <c r="C51" s="10"/>
      <c r="D51" s="3221" t="s">
        <v>1349</v>
      </c>
      <c r="E51" s="6382" t="s">
        <v>1307</v>
      </c>
      <c r="F51" s="3221" t="s">
        <v>1350</v>
      </c>
      <c r="G51" s="6382" t="s">
        <v>1307</v>
      </c>
      <c r="H51" s="3166" t="s">
        <v>1351</v>
      </c>
      <c r="I51" s="6384" t="s">
        <v>1307</v>
      </c>
      <c r="J51" s="3221" t="s">
        <v>1352</v>
      </c>
      <c r="K51" s="10"/>
      <c r="L51" s="10"/>
      <c r="M51" s="10"/>
      <c r="N51" s="3348"/>
      <c r="O51" s="10"/>
      <c r="P51" s="10"/>
      <c r="Q51" s="3349" t="s">
        <v>1353</v>
      </c>
      <c r="R51" s="3350"/>
      <c r="S51" s="3267"/>
      <c r="T51" s="3267"/>
      <c r="U51" s="3267"/>
      <c r="V51" s="3267"/>
      <c r="W51" s="3267"/>
      <c r="X51" s="3346"/>
      <c r="Y51" s="10"/>
      <c r="Z51" s="10"/>
      <c r="AA51" s="10"/>
      <c r="AB51" s="10"/>
      <c r="AC51" s="10"/>
      <c r="AD51" s="10"/>
    </row>
    <row r="52" spans="1:30" ht="15.75" customHeight="1">
      <c r="A52" s="10"/>
      <c r="B52" s="10"/>
      <c r="C52" s="10"/>
      <c r="D52" s="3166"/>
      <c r="E52" s="6383"/>
      <c r="F52" s="3351" t="s">
        <v>1354</v>
      </c>
      <c r="G52" s="6383"/>
      <c r="H52" s="3166" t="s">
        <v>1320</v>
      </c>
      <c r="I52" s="6384"/>
      <c r="J52" s="3352" t="s">
        <v>1318</v>
      </c>
      <c r="K52" s="10"/>
      <c r="L52" s="3221" t="s">
        <v>1355</v>
      </c>
      <c r="M52" s="10"/>
      <c r="N52" s="3343"/>
      <c r="O52" s="10"/>
      <c r="P52" s="10"/>
      <c r="Q52" s="3353" t="s">
        <v>1356</v>
      </c>
      <c r="R52" s="3354"/>
      <c r="S52" s="3267"/>
      <c r="T52" s="3267"/>
      <c r="U52" s="3267"/>
      <c r="V52" s="3267"/>
      <c r="W52" s="3267"/>
      <c r="X52" s="3346"/>
      <c r="Y52" s="10"/>
      <c r="Z52" s="10"/>
      <c r="AA52" s="10"/>
      <c r="AB52" s="10"/>
      <c r="AC52" s="10"/>
      <c r="AD52" s="10"/>
    </row>
    <row r="53" spans="1:30" ht="15.75" customHeight="1">
      <c r="A53" s="10"/>
      <c r="B53" s="10"/>
      <c r="C53" s="10"/>
      <c r="D53" s="3166" t="s">
        <v>1357</v>
      </c>
      <c r="E53" s="3355" t="s">
        <v>1309</v>
      </c>
      <c r="F53" s="3356" t="s">
        <v>1358</v>
      </c>
      <c r="G53" s="3355" t="s">
        <v>1309</v>
      </c>
      <c r="H53" s="3166" t="s">
        <v>1359</v>
      </c>
      <c r="I53" s="3357" t="s">
        <v>1309</v>
      </c>
      <c r="J53" s="3291" t="s">
        <v>1360</v>
      </c>
      <c r="K53" s="10"/>
      <c r="L53" s="3221" t="s">
        <v>1352</v>
      </c>
      <c r="M53" s="10"/>
      <c r="N53" s="3343"/>
      <c r="O53" s="10"/>
      <c r="P53" s="10"/>
      <c r="Q53" s="3353" t="s">
        <v>1361</v>
      </c>
      <c r="R53" s="3358"/>
      <c r="S53" s="10"/>
      <c r="T53" s="10"/>
      <c r="U53" s="10"/>
      <c r="V53" s="10"/>
      <c r="W53" s="10"/>
      <c r="X53" s="3347"/>
      <c r="Y53" s="10"/>
      <c r="Z53" s="10"/>
      <c r="AA53" s="10"/>
      <c r="AB53" s="10"/>
      <c r="AC53" s="10"/>
      <c r="AD53" s="10"/>
    </row>
    <row r="54" spans="1:30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3221" t="s">
        <v>1362</v>
      </c>
      <c r="M54" s="10"/>
      <c r="N54" s="3359"/>
      <c r="O54" s="10"/>
      <c r="P54" s="10"/>
      <c r="Q54" s="6385" t="s">
        <v>1363</v>
      </c>
      <c r="R54" s="6386"/>
      <c r="S54" s="10"/>
      <c r="T54" s="10"/>
      <c r="U54" s="10"/>
      <c r="V54" s="10"/>
      <c r="W54" s="10"/>
      <c r="X54" s="3347"/>
      <c r="Y54" s="10"/>
      <c r="Z54" s="10"/>
      <c r="AA54" s="10"/>
      <c r="AB54" s="10"/>
      <c r="AC54" s="10"/>
      <c r="AD54" s="10"/>
    </row>
    <row r="55" spans="1:30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3221" t="s">
        <v>1364</v>
      </c>
      <c r="M55" s="10"/>
      <c r="N55" s="3221"/>
      <c r="O55" s="10"/>
      <c r="P55" s="10"/>
      <c r="Q55" s="10"/>
      <c r="R55" s="3267"/>
      <c r="S55" s="3347"/>
      <c r="T55" s="3347"/>
      <c r="U55" s="3347"/>
      <c r="V55" s="3347"/>
      <c r="W55" s="3347"/>
      <c r="X55" s="3347"/>
      <c r="Y55" s="10"/>
      <c r="Z55" s="10"/>
      <c r="AA55" s="10"/>
      <c r="AB55" s="10"/>
      <c r="AC55" s="10"/>
      <c r="AD55" s="10"/>
    </row>
    <row r="56" spans="1:30" ht="15.75" customHeight="1">
      <c r="A56" s="10"/>
      <c r="B56" s="10"/>
      <c r="C56" s="10"/>
      <c r="D56" s="10"/>
      <c r="E56" s="10"/>
      <c r="F56" s="10"/>
      <c r="G56" s="10"/>
      <c r="H56" s="3360"/>
      <c r="I56" s="10"/>
      <c r="J56" s="10"/>
      <c r="K56" s="10"/>
      <c r="L56" s="3356" t="s">
        <v>1358</v>
      </c>
      <c r="M56" s="10"/>
      <c r="N56" s="3221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1:30" ht="15.75" customHeight="1">
      <c r="A57" s="10"/>
      <c r="B57" s="10"/>
      <c r="C57" s="10"/>
      <c r="D57" s="3361" t="s">
        <v>1320</v>
      </c>
      <c r="E57" s="10"/>
      <c r="F57" s="10"/>
      <c r="G57" s="10"/>
      <c r="H57" s="3166" t="s">
        <v>1320</v>
      </c>
      <c r="I57" s="1857"/>
      <c r="J57" s="10"/>
      <c r="K57" s="10"/>
      <c r="L57" s="3221" t="s">
        <v>1328</v>
      </c>
      <c r="M57" s="10"/>
      <c r="N57" s="3221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1:30" ht="15.75" customHeight="1">
      <c r="A58" s="10"/>
      <c r="B58" s="10"/>
      <c r="C58" s="10"/>
      <c r="D58" s="3362" t="s">
        <v>1318</v>
      </c>
      <c r="E58" s="10"/>
      <c r="F58" s="10"/>
      <c r="G58" s="10"/>
      <c r="H58" s="3309" t="s">
        <v>1318</v>
      </c>
      <c r="I58" s="3363"/>
      <c r="J58" s="10"/>
      <c r="K58" s="10"/>
      <c r="L58" s="3221" t="s">
        <v>1317</v>
      </c>
      <c r="M58" s="10"/>
      <c r="N58" s="3221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5.75" customHeight="1">
      <c r="A59" s="10"/>
      <c r="B59" s="10"/>
      <c r="C59" s="10"/>
      <c r="D59" s="3364" t="s">
        <v>1308</v>
      </c>
      <c r="E59" s="10"/>
      <c r="F59" s="10"/>
      <c r="G59" s="10"/>
      <c r="H59" s="3284" t="s">
        <v>1308</v>
      </c>
      <c r="I59" s="3363"/>
      <c r="J59" s="10"/>
      <c r="K59" s="10"/>
      <c r="L59" s="3221" t="s">
        <v>1357</v>
      </c>
      <c r="M59" s="10"/>
      <c r="N59" s="3221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5.75" customHeight="1">
      <c r="A60" s="10"/>
      <c r="B60" s="10"/>
      <c r="C60" s="10"/>
      <c r="D60" s="3364" t="s">
        <v>1328</v>
      </c>
      <c r="E60" s="10"/>
      <c r="F60" s="10"/>
      <c r="G60" s="10"/>
      <c r="H60" s="3284" t="s">
        <v>1328</v>
      </c>
      <c r="I60" s="3363"/>
      <c r="J60" s="10"/>
      <c r="K60" s="10"/>
      <c r="L60" s="3221" t="s">
        <v>1365</v>
      </c>
      <c r="M60" s="10"/>
      <c r="N60" s="3221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5.75" customHeight="1">
      <c r="A61" s="10"/>
      <c r="B61" s="10"/>
      <c r="C61" s="10"/>
      <c r="D61" s="3221" t="s">
        <v>1317</v>
      </c>
      <c r="E61" s="10"/>
      <c r="F61" s="10"/>
      <c r="G61" s="10"/>
      <c r="H61" s="3166" t="s">
        <v>1317</v>
      </c>
      <c r="I61" s="3363"/>
      <c r="J61" s="10"/>
      <c r="K61" s="10"/>
      <c r="L61" s="3221" t="s">
        <v>1366</v>
      </c>
      <c r="M61" s="10"/>
      <c r="N61" s="3221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5.75" customHeight="1">
      <c r="A62" s="10"/>
      <c r="B62" s="10"/>
      <c r="C62" s="10"/>
      <c r="D62" s="3291" t="s">
        <v>1319</v>
      </c>
      <c r="E62" s="10"/>
      <c r="F62" s="10"/>
      <c r="G62" s="10"/>
      <c r="H62" s="3166" t="s">
        <v>1319</v>
      </c>
      <c r="I62" s="3363"/>
      <c r="J62" s="10"/>
      <c r="K62" s="10"/>
      <c r="L62" s="3221" t="s">
        <v>1367</v>
      </c>
      <c r="M62" s="10"/>
      <c r="N62" s="3221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5.75" customHeight="1">
      <c r="A63" s="10"/>
      <c r="B63" s="10"/>
      <c r="C63" s="10"/>
      <c r="D63" s="3221" t="s">
        <v>1368</v>
      </c>
      <c r="E63" s="10"/>
      <c r="F63" s="10"/>
      <c r="G63" s="10"/>
      <c r="H63" s="3166" t="s">
        <v>1368</v>
      </c>
      <c r="I63" s="3363"/>
      <c r="J63" s="10"/>
      <c r="K63" s="10"/>
      <c r="L63" s="3221" t="s">
        <v>1359</v>
      </c>
      <c r="M63" s="10"/>
      <c r="N63" s="3221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5.75" customHeight="1">
      <c r="A64" s="10"/>
      <c r="B64" s="10"/>
      <c r="C64" s="10"/>
      <c r="D64" s="3221" t="s">
        <v>1330</v>
      </c>
      <c r="E64" s="10"/>
      <c r="F64" s="10"/>
      <c r="G64" s="10"/>
      <c r="H64" s="3166" t="s">
        <v>1330</v>
      </c>
      <c r="I64" s="3363"/>
      <c r="J64" s="10"/>
      <c r="K64" s="10"/>
      <c r="L64" s="3221" t="s">
        <v>1369</v>
      </c>
      <c r="M64" s="10"/>
      <c r="N64" s="3221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5.75" customHeight="1">
      <c r="A65" s="10"/>
      <c r="B65" s="10"/>
      <c r="C65" s="10"/>
      <c r="D65" s="3343"/>
      <c r="E65" s="10"/>
      <c r="F65" s="10"/>
      <c r="G65" s="10"/>
      <c r="H65" s="3166" t="s">
        <v>1315</v>
      </c>
      <c r="I65" s="3363"/>
      <c r="J65" s="10"/>
      <c r="K65" s="10"/>
      <c r="L65" s="3221" t="s">
        <v>1312</v>
      </c>
      <c r="M65" s="10"/>
      <c r="N65" s="3221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5.75" customHeight="1">
      <c r="A66" s="10"/>
      <c r="B66" s="10"/>
      <c r="C66" s="10"/>
      <c r="D66" s="3365"/>
      <c r="E66" s="10"/>
      <c r="F66" s="10"/>
      <c r="G66" s="10"/>
      <c r="H66" s="3163" t="s">
        <v>1324</v>
      </c>
      <c r="I66" s="3363"/>
      <c r="J66" s="10"/>
      <c r="K66" s="10"/>
      <c r="L66" s="3221" t="s">
        <v>1327</v>
      </c>
      <c r="M66" s="10"/>
      <c r="N66" s="3221" t="s">
        <v>1038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5.75" customHeight="1">
      <c r="A67" s="10"/>
      <c r="B67" s="10"/>
      <c r="C67" s="10"/>
      <c r="D67" s="3343" t="s">
        <v>1329</v>
      </c>
      <c r="E67" s="10"/>
      <c r="F67" s="10"/>
      <c r="G67" s="10"/>
      <c r="H67" s="3166" t="s">
        <v>1329</v>
      </c>
      <c r="I67" s="3363"/>
      <c r="J67" s="10"/>
      <c r="K67" s="10"/>
      <c r="L67" s="3221" t="s">
        <v>1331</v>
      </c>
      <c r="M67" s="10"/>
      <c r="N67" s="3221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5.75" customHeight="1">
      <c r="A68" s="10"/>
      <c r="B68" s="10"/>
      <c r="C68" s="10"/>
      <c r="D68" s="3343" t="s">
        <v>1316</v>
      </c>
      <c r="E68" s="10"/>
      <c r="F68" s="10"/>
      <c r="G68" s="10"/>
      <c r="H68" s="3166" t="s">
        <v>1316</v>
      </c>
      <c r="I68" s="3366"/>
      <c r="J68" s="10"/>
      <c r="K68" s="10"/>
      <c r="L68" s="3221" t="s">
        <v>1370</v>
      </c>
      <c r="M68" s="10"/>
      <c r="N68" s="3221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3221" t="s">
        <v>1371</v>
      </c>
      <c r="M69" s="10"/>
      <c r="N69" s="3221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3221" t="s">
        <v>1372</v>
      </c>
      <c r="M70" s="10"/>
      <c r="N70" s="3221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3221" t="s">
        <v>1373</v>
      </c>
      <c r="M71" s="10"/>
      <c r="N71" s="3221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3221" t="s">
        <v>1374</v>
      </c>
      <c r="M72" s="10"/>
      <c r="N72" s="3221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3221" t="s">
        <v>1349</v>
      </c>
      <c r="M73" s="10"/>
      <c r="N73" s="322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3221" t="s">
        <v>1375</v>
      </c>
      <c r="M74" s="10"/>
      <c r="N74" s="322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3221" t="s">
        <v>1376</v>
      </c>
      <c r="M75" s="10"/>
      <c r="N75" s="322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3221" t="s">
        <v>1377</v>
      </c>
      <c r="M76" s="10"/>
      <c r="N76" s="322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3221" t="s">
        <v>1378</v>
      </c>
      <c r="M77" s="10"/>
      <c r="N77" s="322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3221" t="s">
        <v>1379</v>
      </c>
      <c r="M78" s="10"/>
      <c r="N78" s="3367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3221" t="s">
        <v>1351</v>
      </c>
      <c r="M79" s="10"/>
      <c r="N79" s="3364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3221" t="s">
        <v>1380</v>
      </c>
      <c r="M80" s="10"/>
      <c r="N80" s="3359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3221" t="s">
        <v>1350</v>
      </c>
      <c r="M81" s="10"/>
      <c r="N81" s="3368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3221" t="s">
        <v>1354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3367" t="s">
        <v>1360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3364" t="s">
        <v>1381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3359" t="s">
        <v>1382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3368" t="s">
        <v>1383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 ht="15.7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 ht="15.75" customHeight="1"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 ht="15.75" customHeight="1">
      <c r="J974" s="567"/>
      <c r="K974" s="567"/>
      <c r="L974" s="567"/>
      <c r="M974" s="567"/>
      <c r="N974" s="567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5.75" customHeight="1"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O976" s="567"/>
      <c r="P976" s="567"/>
      <c r="Q976" s="10"/>
      <c r="R976" s="567"/>
      <c r="S976" s="10"/>
      <c r="T976" s="10"/>
      <c r="U976" s="10"/>
      <c r="V976" s="10"/>
      <c r="W976" s="10"/>
      <c r="X976" s="10"/>
      <c r="Y976" s="567"/>
      <c r="Z976" s="567"/>
      <c r="AA976" s="567"/>
      <c r="AB976" s="567"/>
      <c r="AC976" s="567"/>
      <c r="AD976" s="567"/>
    </row>
    <row r="977" spans="17:24" ht="15" customHeight="1">
      <c r="Q977" s="10"/>
      <c r="S977" s="10"/>
      <c r="T977" s="10"/>
      <c r="U977" s="10"/>
      <c r="V977" s="10"/>
      <c r="W977" s="10"/>
      <c r="X977" s="10"/>
    </row>
    <row r="978" spans="17:24" ht="15" customHeight="1">
      <c r="Q978" s="567"/>
      <c r="S978" s="10"/>
      <c r="T978" s="10"/>
      <c r="U978" s="10"/>
      <c r="V978" s="10"/>
      <c r="W978" s="10"/>
      <c r="X978" s="10"/>
    </row>
    <row r="979" spans="17:24" ht="15" customHeight="1">
      <c r="S979" s="567"/>
      <c r="T979" s="567"/>
      <c r="U979" s="567"/>
      <c r="V979" s="567"/>
      <c r="W979" s="567"/>
      <c r="X979" s="567"/>
    </row>
  </sheetData>
  <mergeCells count="109">
    <mergeCell ref="E51:E52"/>
    <mergeCell ref="G51:G52"/>
    <mergeCell ref="I51:I52"/>
    <mergeCell ref="Q54:R54"/>
    <mergeCell ref="A38:I38"/>
    <mergeCell ref="A39:I39"/>
    <mergeCell ref="A40:I40"/>
    <mergeCell ref="A41:I41"/>
    <mergeCell ref="A42:I42"/>
    <mergeCell ref="A44:N44"/>
    <mergeCell ref="A33:D33"/>
    <mergeCell ref="E33:F33"/>
    <mergeCell ref="G33:H33"/>
    <mergeCell ref="I33:J33"/>
    <mergeCell ref="A36:I36"/>
    <mergeCell ref="A37:I37"/>
    <mergeCell ref="K28:L28"/>
    <mergeCell ref="M28:N28"/>
    <mergeCell ref="A29:A30"/>
    <mergeCell ref="C29:C30"/>
    <mergeCell ref="E29:E30"/>
    <mergeCell ref="G29:G30"/>
    <mergeCell ref="I29:I30"/>
    <mergeCell ref="K29:K30"/>
    <mergeCell ref="M29:M30"/>
    <mergeCell ref="A27:B27"/>
    <mergeCell ref="C27:D27"/>
    <mergeCell ref="E27:F27"/>
    <mergeCell ref="G27:H27"/>
    <mergeCell ref="K27:N27"/>
    <mergeCell ref="A28:B28"/>
    <mergeCell ref="C28:D28"/>
    <mergeCell ref="E28:F28"/>
    <mergeCell ref="G28:H28"/>
    <mergeCell ref="I28:J28"/>
    <mergeCell ref="A23:A24"/>
    <mergeCell ref="C23:C24"/>
    <mergeCell ref="E23:E24"/>
    <mergeCell ref="G23:G24"/>
    <mergeCell ref="I23:I24"/>
    <mergeCell ref="K23:K24"/>
    <mergeCell ref="M23:M24"/>
    <mergeCell ref="A17:A18"/>
    <mergeCell ref="C17:C18"/>
    <mergeCell ref="E17:E18"/>
    <mergeCell ref="G17:G18"/>
    <mergeCell ref="I17:I18"/>
    <mergeCell ref="K17:K18"/>
    <mergeCell ref="M17:M18"/>
    <mergeCell ref="A21:B21"/>
    <mergeCell ref="C21:D21"/>
    <mergeCell ref="K16:L16"/>
    <mergeCell ref="M16:N16"/>
    <mergeCell ref="M10:N10"/>
    <mergeCell ref="A11:A12"/>
    <mergeCell ref="C11:C12"/>
    <mergeCell ref="E11:E12"/>
    <mergeCell ref="G11:G12"/>
    <mergeCell ref="A22:B22"/>
    <mergeCell ref="C22:D22"/>
    <mergeCell ref="E22:F22"/>
    <mergeCell ref="G22:H22"/>
    <mergeCell ref="I16:J16"/>
    <mergeCell ref="I22:J22"/>
    <mergeCell ref="K22:L22"/>
    <mergeCell ref="M22:N22"/>
    <mergeCell ref="E21:F21"/>
    <mergeCell ref="G21:H21"/>
    <mergeCell ref="A15:B15"/>
    <mergeCell ref="C15:D15"/>
    <mergeCell ref="E15:F15"/>
    <mergeCell ref="G15:H15"/>
    <mergeCell ref="A16:B16"/>
    <mergeCell ref="C16:D16"/>
    <mergeCell ref="E16:F16"/>
    <mergeCell ref="G16:H16"/>
    <mergeCell ref="I4:J4"/>
    <mergeCell ref="K4:L4"/>
    <mergeCell ref="M11:M12"/>
    <mergeCell ref="A10:B10"/>
    <mergeCell ref="C10:D10"/>
    <mergeCell ref="E10:F10"/>
    <mergeCell ref="G10:H10"/>
    <mergeCell ref="I10:J10"/>
    <mergeCell ref="K10:L10"/>
    <mergeCell ref="I11:I12"/>
    <mergeCell ref="K11:K12"/>
    <mergeCell ref="M4:N4"/>
    <mergeCell ref="I5:I6"/>
    <mergeCell ref="K5:K6"/>
    <mergeCell ref="M5:M6"/>
    <mergeCell ref="A9:B9"/>
    <mergeCell ref="C9:D9"/>
    <mergeCell ref="E9:F9"/>
    <mergeCell ref="G9:H9"/>
    <mergeCell ref="I9:J9"/>
    <mergeCell ref="A4:B4"/>
    <mergeCell ref="C4:D4"/>
    <mergeCell ref="E4:F4"/>
    <mergeCell ref="G4:H4"/>
    <mergeCell ref="A1:N1"/>
    <mergeCell ref="A2:N2"/>
    <mergeCell ref="A3:B3"/>
    <mergeCell ref="C3:D3"/>
    <mergeCell ref="E3:F3"/>
    <mergeCell ref="G3:H3"/>
    <mergeCell ref="I3:J3"/>
    <mergeCell ref="K3:L3"/>
    <mergeCell ref="M3:N3"/>
  </mergeCells>
  <pageMargins left="0.25" right="0.25" top="0.75" bottom="0.75" header="0.3" footer="0.3"/>
  <pageSetup scale="61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CC15-B664-41AA-8088-8B4B1E8B2D93}">
  <dimension ref="A1:BH76"/>
  <sheetViews>
    <sheetView zoomScale="80" zoomScaleNormal="80" workbookViewId="0">
      <pane xSplit="2" topLeftCell="D55" activePane="topRight" state="frozen"/>
      <selection pane="topRight" activeCell="O30" sqref="O30"/>
    </sheetView>
  </sheetViews>
  <sheetFormatPr defaultColWidth="9.140625" defaultRowHeight="15"/>
  <cols>
    <col min="1" max="1" width="11.140625" customWidth="1"/>
    <col min="2" max="2" width="11.42578125" bestFit="1" customWidth="1"/>
    <col min="3" max="3" width="27" hidden="1" customWidth="1"/>
    <col min="4" max="33" width="9.140625" bestFit="1" customWidth="1"/>
    <col min="35" max="35" width="13.5703125" customWidth="1"/>
    <col min="36" max="36" width="14.85546875" customWidth="1"/>
    <col min="37" max="37" width="10" customWidth="1"/>
    <col min="38" max="38" width="9.85546875" customWidth="1"/>
    <col min="39" max="39" width="14.28515625" customWidth="1"/>
    <col min="40" max="40" width="15.5703125" customWidth="1"/>
    <col min="41" max="41" width="14.85546875" customWidth="1"/>
    <col min="42" max="42" width="11.7109375" customWidth="1"/>
    <col min="43" max="43" width="12.28515625" bestFit="1" customWidth="1"/>
    <col min="44" max="44" width="14.7109375" customWidth="1"/>
    <col min="45" max="45" width="7.28515625" customWidth="1"/>
    <col min="46" max="46" width="15.425781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</cols>
  <sheetData>
    <row r="1" spans="1:60">
      <c r="A1" s="6281"/>
      <c r="B1" s="6281"/>
      <c r="C1" s="3369"/>
      <c r="D1" s="6441">
        <v>45809</v>
      </c>
      <c r="E1" s="6442"/>
      <c r="F1" s="6442"/>
      <c r="G1" s="6442"/>
      <c r="H1" s="6442"/>
      <c r="I1" s="6442"/>
      <c r="J1" s="6442"/>
      <c r="K1" s="6442"/>
      <c r="L1" s="6442"/>
      <c r="M1" s="6442"/>
      <c r="N1" s="6442"/>
      <c r="O1" s="6442"/>
      <c r="P1" s="6442"/>
      <c r="Q1" s="6442"/>
      <c r="R1" s="6442"/>
      <c r="S1" s="6442"/>
      <c r="T1" s="6442"/>
      <c r="U1" s="6442"/>
      <c r="V1" s="6442"/>
      <c r="W1" s="6442"/>
      <c r="X1" s="6442"/>
      <c r="Y1" s="6442"/>
      <c r="Z1" s="6442"/>
      <c r="AA1" s="6442"/>
      <c r="AB1" s="6442"/>
      <c r="AC1" s="6442"/>
      <c r="AD1" s="6442"/>
      <c r="AE1" s="6442"/>
      <c r="AF1" s="6442"/>
      <c r="AG1" s="6443"/>
      <c r="AH1" s="3233" t="s">
        <v>1384</v>
      </c>
      <c r="AJ1" s="6221" t="s">
        <v>1113</v>
      </c>
      <c r="AK1" s="6221"/>
      <c r="AL1" s="6221"/>
      <c r="AM1" s="6221"/>
      <c r="AN1" s="6221"/>
      <c r="AO1" s="6221"/>
      <c r="AP1" s="6221"/>
      <c r="AQ1" s="6221"/>
      <c r="AR1" s="6221"/>
      <c r="AS1" s="6221"/>
      <c r="AT1" s="6221"/>
      <c r="AU1" s="6221"/>
      <c r="AV1" s="6221"/>
      <c r="AW1" s="6221"/>
      <c r="AX1" s="6221"/>
      <c r="AY1" s="6221"/>
      <c r="AZ1" s="6221"/>
      <c r="BA1" s="6221"/>
      <c r="BB1" s="6221"/>
      <c r="BC1" s="6221"/>
      <c r="BD1" s="6221"/>
      <c r="BE1" s="6221"/>
      <c r="BF1" s="6221"/>
      <c r="BG1" s="6221"/>
      <c r="BH1" s="6221"/>
    </row>
    <row r="2" spans="1:60">
      <c r="A2" s="6284"/>
      <c r="B2" s="6284"/>
      <c r="C2" s="3705"/>
      <c r="D2" s="3407">
        <v>1</v>
      </c>
      <c r="E2" s="3407">
        <v>2</v>
      </c>
      <c r="F2" s="3407">
        <v>3</v>
      </c>
      <c r="G2" s="3407">
        <v>4</v>
      </c>
      <c r="H2" s="3407">
        <v>5</v>
      </c>
      <c r="I2" s="3407">
        <v>6</v>
      </c>
      <c r="J2" s="3407">
        <v>7</v>
      </c>
      <c r="K2" s="3407">
        <v>8</v>
      </c>
      <c r="L2" s="3407">
        <v>9</v>
      </c>
      <c r="M2" s="3407">
        <v>10</v>
      </c>
      <c r="N2" s="3407">
        <v>11</v>
      </c>
      <c r="O2" s="3407">
        <v>12</v>
      </c>
      <c r="P2" s="3407">
        <v>13</v>
      </c>
      <c r="Q2" s="3407">
        <v>14</v>
      </c>
      <c r="R2" s="3407">
        <v>15</v>
      </c>
      <c r="S2" s="3407">
        <v>16</v>
      </c>
      <c r="T2" s="3407">
        <v>17</v>
      </c>
      <c r="U2" s="3407">
        <v>18</v>
      </c>
      <c r="V2" s="3407">
        <v>19</v>
      </c>
      <c r="W2" s="3407">
        <v>20</v>
      </c>
      <c r="X2" s="3407">
        <v>21</v>
      </c>
      <c r="Y2" s="3407">
        <v>22</v>
      </c>
      <c r="Z2" s="3407">
        <v>23</v>
      </c>
      <c r="AA2" s="3407">
        <v>24</v>
      </c>
      <c r="AB2" s="3407">
        <v>25</v>
      </c>
      <c r="AC2" s="3407">
        <v>26</v>
      </c>
      <c r="AD2" s="3407">
        <v>27</v>
      </c>
      <c r="AE2" s="3407">
        <v>28</v>
      </c>
      <c r="AF2" s="3407">
        <v>29</v>
      </c>
      <c r="AG2" s="3408">
        <v>30</v>
      </c>
      <c r="AH2" s="3233"/>
    </row>
    <row r="3" spans="1:60">
      <c r="A3" s="6285"/>
      <c r="B3" s="6285"/>
      <c r="C3" s="3706"/>
      <c r="D3" s="3409" t="s">
        <v>36</v>
      </c>
      <c r="E3" s="3410" t="s">
        <v>37</v>
      </c>
      <c r="F3" s="3411" t="s">
        <v>33</v>
      </c>
      <c r="G3" s="3411" t="s">
        <v>34</v>
      </c>
      <c r="H3" s="3410" t="s">
        <v>33</v>
      </c>
      <c r="I3" s="3410" t="s">
        <v>35</v>
      </c>
      <c r="J3" s="3409" t="s">
        <v>36</v>
      </c>
      <c r="K3" s="3409" t="s">
        <v>36</v>
      </c>
      <c r="L3" s="3410" t="s">
        <v>37</v>
      </c>
      <c r="M3" s="3411" t="s">
        <v>33</v>
      </c>
      <c r="N3" s="3411" t="s">
        <v>34</v>
      </c>
      <c r="O3" s="3410" t="s">
        <v>33</v>
      </c>
      <c r="P3" s="3410" t="s">
        <v>35</v>
      </c>
      <c r="Q3" s="3409" t="s">
        <v>36</v>
      </c>
      <c r="R3" s="3409" t="s">
        <v>36</v>
      </c>
      <c r="S3" s="3410" t="s">
        <v>37</v>
      </c>
      <c r="T3" s="3411" t="s">
        <v>33</v>
      </c>
      <c r="U3" s="3411" t="s">
        <v>34</v>
      </c>
      <c r="V3" s="3409" t="s">
        <v>33</v>
      </c>
      <c r="W3" s="3409" t="s">
        <v>35</v>
      </c>
      <c r="X3" s="3409" t="s">
        <v>36</v>
      </c>
      <c r="Y3" s="3409" t="s">
        <v>36</v>
      </c>
      <c r="Z3" s="3410" t="s">
        <v>37</v>
      </c>
      <c r="AA3" s="3411" t="s">
        <v>33</v>
      </c>
      <c r="AB3" s="3411" t="s">
        <v>34</v>
      </c>
      <c r="AC3" s="3410" t="s">
        <v>33</v>
      </c>
      <c r="AD3" s="3410" t="s">
        <v>35</v>
      </c>
      <c r="AE3" s="3409" t="s">
        <v>36</v>
      </c>
      <c r="AF3" s="3409" t="s">
        <v>36</v>
      </c>
      <c r="AG3" s="3412" t="s">
        <v>37</v>
      </c>
      <c r="AH3" s="3233"/>
      <c r="AJ3" s="4289" t="s">
        <v>1115</v>
      </c>
      <c r="AK3" s="4289"/>
      <c r="AL3" s="4289"/>
      <c r="AM3" s="4289"/>
      <c r="AN3" s="4289"/>
      <c r="AO3" s="4289"/>
      <c r="AP3" s="4289"/>
      <c r="AQ3" s="4289"/>
      <c r="AR3" s="4289"/>
      <c r="AS3" s="4289"/>
      <c r="AT3" s="4289"/>
      <c r="AV3" s="4289" t="s">
        <v>1116</v>
      </c>
      <c r="AW3" s="4289"/>
      <c r="AX3" s="4289"/>
      <c r="AY3" s="4289"/>
      <c r="AZ3" s="4289"/>
      <c r="BA3" s="4289"/>
      <c r="BB3" s="4289"/>
      <c r="BD3" t="s">
        <v>1135</v>
      </c>
    </row>
    <row r="4" spans="1:60">
      <c r="A4" s="6220" t="s">
        <v>1117</v>
      </c>
      <c r="B4" s="6220"/>
      <c r="C4" s="3702"/>
      <c r="D4" s="3155">
        <v>3</v>
      </c>
      <c r="E4" s="3155">
        <v>0</v>
      </c>
      <c r="F4" s="3155">
        <v>0</v>
      </c>
      <c r="G4" s="3155">
        <v>0</v>
      </c>
      <c r="H4" s="3155">
        <v>0</v>
      </c>
      <c r="I4" s="3155">
        <v>1</v>
      </c>
      <c r="J4" s="3155">
        <v>2</v>
      </c>
      <c r="K4" s="3155">
        <v>3</v>
      </c>
      <c r="L4" s="3155">
        <v>0</v>
      </c>
      <c r="M4" s="3155">
        <v>0</v>
      </c>
      <c r="N4" s="3155">
        <v>0</v>
      </c>
      <c r="O4" s="3155">
        <v>0</v>
      </c>
      <c r="P4" s="3155">
        <v>1</v>
      </c>
      <c r="Q4" s="3386">
        <v>2</v>
      </c>
      <c r="R4" s="3386">
        <v>3</v>
      </c>
      <c r="S4" s="3386">
        <v>0</v>
      </c>
      <c r="T4" s="3386">
        <v>0</v>
      </c>
      <c r="U4" s="3386">
        <v>1</v>
      </c>
      <c r="V4" s="3386">
        <v>2</v>
      </c>
      <c r="W4" s="3386">
        <v>2</v>
      </c>
      <c r="X4" s="3386">
        <v>2</v>
      </c>
      <c r="Y4" s="3386">
        <v>3</v>
      </c>
      <c r="Z4" s="3386">
        <v>0</v>
      </c>
      <c r="AA4" s="3386">
        <v>0</v>
      </c>
      <c r="AB4" s="3386">
        <v>0</v>
      </c>
      <c r="AC4" s="3386">
        <v>0</v>
      </c>
      <c r="AD4" s="3386">
        <v>1</v>
      </c>
      <c r="AE4" s="3386">
        <v>2</v>
      </c>
      <c r="AF4" s="3386">
        <v>3</v>
      </c>
      <c r="AG4" s="3386">
        <v>0</v>
      </c>
      <c r="AH4" s="3233"/>
      <c r="AI4" t="s">
        <v>1213</v>
      </c>
      <c r="AJ4" t="s">
        <v>1118</v>
      </c>
      <c r="AK4" t="s">
        <v>1119</v>
      </c>
      <c r="AL4" t="s">
        <v>1120</v>
      </c>
      <c r="AM4" t="s">
        <v>1121</v>
      </c>
      <c r="AN4" t="s">
        <v>1122</v>
      </c>
      <c r="AO4" t="s">
        <v>1123</v>
      </c>
      <c r="AP4" t="s">
        <v>1124</v>
      </c>
      <c r="AQ4" t="s">
        <v>1125</v>
      </c>
      <c r="AR4" t="s">
        <v>1126</v>
      </c>
      <c r="AS4" t="s">
        <v>1214</v>
      </c>
      <c r="AT4" t="s">
        <v>1127</v>
      </c>
      <c r="AV4" t="s">
        <v>1128</v>
      </c>
      <c r="AW4" t="s">
        <v>1129</v>
      </c>
      <c r="AX4" t="s">
        <v>1130</v>
      </c>
      <c r="AY4" t="s">
        <v>1131</v>
      </c>
      <c r="AZ4" t="s">
        <v>1132</v>
      </c>
      <c r="BA4" t="s">
        <v>1133</v>
      </c>
      <c r="BB4" t="s">
        <v>1134</v>
      </c>
    </row>
    <row r="5" spans="1:60" ht="15.75" customHeight="1">
      <c r="A5" s="266"/>
      <c r="B5" s="266"/>
      <c r="C5" s="266"/>
      <c r="D5" s="776"/>
      <c r="E5" s="776"/>
      <c r="F5" s="776" t="s">
        <v>722</v>
      </c>
      <c r="G5" s="776"/>
      <c r="H5" s="776"/>
      <c r="I5" s="776"/>
      <c r="J5" s="776" t="s">
        <v>720</v>
      </c>
      <c r="K5" s="776"/>
      <c r="N5" t="s">
        <v>720</v>
      </c>
      <c r="P5" s="776"/>
      <c r="Q5" s="776"/>
      <c r="R5" s="776"/>
      <c r="S5" s="776"/>
      <c r="T5" s="776"/>
      <c r="U5" s="6420" t="s">
        <v>1385</v>
      </c>
      <c r="V5" s="6421"/>
      <c r="W5" s="6421"/>
      <c r="X5" s="6421"/>
      <c r="Y5" s="6421"/>
      <c r="Z5" s="6421"/>
      <c r="AA5" s="6421"/>
      <c r="AB5" s="6421"/>
      <c r="AC5" s="6421"/>
      <c r="AD5" s="6421"/>
      <c r="AE5" s="6421"/>
      <c r="AF5" s="6421"/>
      <c r="AG5" s="6422"/>
      <c r="AH5" s="3233"/>
    </row>
    <row r="6" spans="1:60" s="3202" customFormat="1">
      <c r="A6" s="3180" t="s">
        <v>81</v>
      </c>
      <c r="B6" s="3180" t="s">
        <v>718</v>
      </c>
      <c r="C6" s="3180" t="str">
        <f>CONCATENATE(A6," ",UPPER(B6))</f>
        <v>LTJG BAILEY</v>
      </c>
      <c r="D6" s="3386">
        <v>0</v>
      </c>
      <c r="E6" s="3386">
        <v>0</v>
      </c>
      <c r="F6" s="3386">
        <v>9</v>
      </c>
      <c r="G6" s="3386">
        <v>0</v>
      </c>
      <c r="H6" s="3386">
        <v>0</v>
      </c>
      <c r="I6" s="3386">
        <v>0</v>
      </c>
      <c r="J6" s="3386">
        <v>8</v>
      </c>
      <c r="K6" s="3386">
        <v>0</v>
      </c>
      <c r="L6" s="3386">
        <v>0</v>
      </c>
      <c r="M6" s="3386">
        <v>0</v>
      </c>
      <c r="N6" s="3386">
        <v>8</v>
      </c>
      <c r="O6" s="3386">
        <v>0</v>
      </c>
      <c r="P6" s="3386">
        <v>0</v>
      </c>
      <c r="Q6" s="3386">
        <v>0</v>
      </c>
      <c r="R6" s="3386">
        <v>0</v>
      </c>
      <c r="S6" s="3386">
        <v>0</v>
      </c>
      <c r="T6" s="3386">
        <v>0</v>
      </c>
      <c r="U6" s="3386">
        <v>1</v>
      </c>
      <c r="V6" s="3386">
        <v>2</v>
      </c>
      <c r="W6" s="3386">
        <v>2</v>
      </c>
      <c r="X6" s="3386">
        <v>2</v>
      </c>
      <c r="Y6" s="3386">
        <v>2</v>
      </c>
      <c r="Z6" s="3386">
        <v>2</v>
      </c>
      <c r="AA6" s="3386">
        <v>2</v>
      </c>
      <c r="AB6" s="3386">
        <v>2</v>
      </c>
      <c r="AC6" s="3386">
        <v>2</v>
      </c>
      <c r="AD6" s="3386">
        <v>2</v>
      </c>
      <c r="AE6" s="3386">
        <v>2</v>
      </c>
      <c r="AF6" s="3386">
        <v>2</v>
      </c>
      <c r="AG6" s="3386">
        <v>3</v>
      </c>
      <c r="AH6" s="3389"/>
      <c r="AI6" s="3202">
        <v>0</v>
      </c>
      <c r="AJ6" cm="1">
        <f t="array" ref="AJ6">SUM(COUNTIFS($D6:$AG6,{"0","4","5","6","7","8","9"}))</f>
        <v>17</v>
      </c>
      <c r="AK6" cm="1">
        <f t="array" ref="AK6">SUM(COUNTIFS($D6:$AG6,{"0","4","5","6","7","8","9"},$D$4:$AG$4,"0"))</f>
        <v>10</v>
      </c>
      <c r="AL6" cm="1">
        <f t="array" ref="AL6">SUM(COUNTIFS($D6:$AG6,{"0","4","5","6","7","8","9"},$D$4:$AG$4,"1"))</f>
        <v>2</v>
      </c>
      <c r="AM6" cm="1">
        <f t="array" ref="AM6">SUM(COUNTIFS($D6:$AG6,{"0","4","5","6","7","8","9"},$D$4:$AG$4,"2"))</f>
        <v>2</v>
      </c>
      <c r="AN6" cm="1">
        <f t="array" ref="AN6">SUM(COUNTIFS($D6:$AG6,{"0","4","5","6","7","8","9"},$D$4:$AG$4,"3"))</f>
        <v>3</v>
      </c>
      <c r="AO6" cm="1">
        <f t="array" ref="AO6">SUM(COUNTIFS($D6:$AG6,{"1","2","3"}))</f>
        <v>13</v>
      </c>
      <c r="AP6" cm="1">
        <f t="array" ref="AP6">SUM(COUNTIFS($D6:$AG6,{"4","5","6"}))</f>
        <v>0</v>
      </c>
      <c r="AQ6">
        <f>AK6*'Spreadsheet Key'!$A$23 + AL6*'Spreadsheet Key'!$A$24 + AM6*'Spreadsheet Key'!$A$25 + AN6*'Spreadsheet Key'!$A$26</f>
        <v>640</v>
      </c>
      <c r="AR6">
        <f>AJ6/('JUN Statistics'!$B$30)*ABS(AI6-1)</f>
        <v>3.3932135728542916E-2</v>
      </c>
      <c r="AS6">
        <f>AI6*AT6</f>
        <v>0</v>
      </c>
      <c r="AT6" s="3388">
        <f>AR6*'JUN Statistics'!$C$11</f>
        <v>41.419828143712579</v>
      </c>
      <c r="AU6"/>
      <c r="AV6">
        <f>COUNTIFS($D6:$AG6,"8",$D$4:$AG$4,"0")</f>
        <v>1</v>
      </c>
      <c r="AW6">
        <f>COUNTIFS($D6:$AG6,"9",$D$4:$AG$4,"0")</f>
        <v>1</v>
      </c>
      <c r="AX6">
        <f>COUNTIFS($D6:$AG6,"8",$D$4:$AG$4,"1")</f>
        <v>0</v>
      </c>
      <c r="AY6" cm="1">
        <f t="array" ref="AY6">COUNTIFS($D6:$AG6,"9",$D$4:$AG$4,"1")+SUM(COUNTIFS($D6:$AG6,{"8","9"},$D$4:$AG$4,"2"))+COUNTIFS($D6:$AG6,"8",$D$4:$AG$4,"3")</f>
        <v>1</v>
      </c>
      <c r="AZ6">
        <f>COUNTIFS($D6:$AG6,"9",$D$4:$AG$4,"3")</f>
        <v>0</v>
      </c>
      <c r="BA6">
        <f>SUM(AV6:AZ6)</f>
        <v>3</v>
      </c>
      <c r="BB6">
        <f>AV6*'Spreadsheet Key'!$A$27+AW6*'Spreadsheet Key'!$A$28+AX6*'Spreadsheet Key'!$A$29+AY6*'Spreadsheet Key'!$A$30+AZ6*'Spreadsheet Key'!$A$31</f>
        <v>58</v>
      </c>
      <c r="BC6"/>
      <c r="BD6">
        <f>AT6-BB6</f>
        <v>-16.580171856287421</v>
      </c>
    </row>
    <row r="7" spans="1:60">
      <c r="A7" s="3197"/>
      <c r="B7" s="3197"/>
      <c r="C7" s="3180" t="str">
        <f t="shared" ref="C7:C66" si="0">CONCATENATE(A7," ",UPPER(B7))</f>
        <v xml:space="preserve"> </v>
      </c>
      <c r="D7" s="2"/>
      <c r="E7" s="2"/>
      <c r="F7" s="2" t="s">
        <v>720</v>
      </c>
      <c r="G7" s="2"/>
      <c r="H7" s="2"/>
      <c r="I7" s="2"/>
      <c r="J7" s="2"/>
      <c r="L7" s="2"/>
      <c r="M7" s="2"/>
      <c r="N7" s="2"/>
      <c r="O7" s="2"/>
      <c r="Q7" s="2"/>
      <c r="R7" s="2"/>
      <c r="S7" s="3391" t="s">
        <v>1386</v>
      </c>
      <c r="T7" s="3675" t="s">
        <v>1387</v>
      </c>
      <c r="U7" s="3391" t="s">
        <v>1386</v>
      </c>
      <c r="V7" s="2"/>
      <c r="W7" s="2" t="s">
        <v>720</v>
      </c>
      <c r="X7" s="2"/>
      <c r="Y7" s="2"/>
      <c r="Z7" s="2" t="s">
        <v>722</v>
      </c>
      <c r="AA7" s="2"/>
      <c r="AB7" s="2"/>
      <c r="AC7" s="2"/>
      <c r="AD7" s="2"/>
      <c r="AE7" s="2"/>
      <c r="AF7" s="2"/>
      <c r="AG7" s="696"/>
      <c r="AH7" s="3233"/>
      <c r="AI7" s="3202"/>
      <c r="AT7" s="3388"/>
      <c r="AV7">
        <f>COUNTIFS($D7:$AG7,"8",$D$4:$AG$4,"0")</f>
        <v>0</v>
      </c>
      <c r="AW7">
        <f>COUNTIFS($D7:$AG7,"9",$D$4:$AG$4,"0")</f>
        <v>0</v>
      </c>
      <c r="AX7">
        <f>COUNTIFS($D7:$AG7,"8",$D$4:$AG$4,"1")</f>
        <v>0</v>
      </c>
      <c r="AY7" cm="1">
        <f t="array" ref="AY7">COUNTIFS($D7:$AG7,"9",$D$4:$AG$4,"1")+SUM(COUNTIFS($D7:$AG7,{"8","9"},$D$4:$AG$4,"2"))+COUNTIFS($D7:$AG7,"8",$D$4:$AG$4,"3")</f>
        <v>0</v>
      </c>
      <c r="AZ7">
        <f>COUNTIFS($D7:$AG7,"9",$D$4:$AG$4,"3")</f>
        <v>0</v>
      </c>
      <c r="BA7">
        <f t="shared" ref="BA7:BA66" si="1">SUM(AV7:AZ7)</f>
        <v>0</v>
      </c>
      <c r="BB7">
        <f>AV7*'Spreadsheet Key'!$A$27+AW7*'Spreadsheet Key'!$A$28+AX7*'Spreadsheet Key'!$A$29+AY7*'Spreadsheet Key'!$A$30+AZ7*'Spreadsheet Key'!$A$31</f>
        <v>0</v>
      </c>
    </row>
    <row r="8" spans="1:60" s="3211" customFormat="1">
      <c r="A8" s="3421" t="s">
        <v>326</v>
      </c>
      <c r="B8" s="3180" t="s">
        <v>327</v>
      </c>
      <c r="C8" s="3180" t="str">
        <f t="shared" si="0"/>
        <v>CTTC THOMPSON</v>
      </c>
      <c r="D8" s="3386">
        <v>0</v>
      </c>
      <c r="E8" s="3386">
        <v>0</v>
      </c>
      <c r="F8" s="3386">
        <v>8</v>
      </c>
      <c r="G8" s="3386">
        <v>0</v>
      </c>
      <c r="H8" s="3386">
        <v>0</v>
      </c>
      <c r="I8" s="3386">
        <v>0</v>
      </c>
      <c r="J8" s="3386">
        <v>0</v>
      </c>
      <c r="K8" s="3386">
        <v>0</v>
      </c>
      <c r="L8" s="3386">
        <v>0</v>
      </c>
      <c r="M8" s="3386">
        <v>0</v>
      </c>
      <c r="N8" s="3386">
        <v>0</v>
      </c>
      <c r="O8" s="3386">
        <v>0</v>
      </c>
      <c r="P8" s="3386">
        <v>0</v>
      </c>
      <c r="Q8" s="3386">
        <v>0</v>
      </c>
      <c r="R8" s="3386">
        <v>0</v>
      </c>
      <c r="S8" s="3386">
        <v>1</v>
      </c>
      <c r="T8" s="3386">
        <v>2</v>
      </c>
      <c r="U8" s="3386">
        <v>3</v>
      </c>
      <c r="V8" s="3386">
        <v>0</v>
      </c>
      <c r="W8" s="3386">
        <v>8</v>
      </c>
      <c r="X8" s="3386">
        <v>0</v>
      </c>
      <c r="Y8" s="3386">
        <v>0</v>
      </c>
      <c r="Z8" s="3386">
        <v>9</v>
      </c>
      <c r="AA8" s="3386">
        <v>0</v>
      </c>
      <c r="AB8" s="3386">
        <v>0</v>
      </c>
      <c r="AC8" s="3386">
        <v>0</v>
      </c>
      <c r="AD8" s="3386">
        <v>0</v>
      </c>
      <c r="AE8" s="3386">
        <v>0</v>
      </c>
      <c r="AF8" s="3386">
        <v>0</v>
      </c>
      <c r="AG8" s="3386">
        <v>0</v>
      </c>
      <c r="AH8" s="3387"/>
      <c r="AI8" s="3202">
        <v>0</v>
      </c>
      <c r="AJ8" cm="1">
        <f t="array" ref="AJ8">SUM(COUNTIFS($D8:$AG8,{"0","4","5","6","7","8","9"}))</f>
        <v>27</v>
      </c>
      <c r="AK8" cm="1">
        <f t="array" ref="AK8">SUM(COUNTIFS($D8:$AG8,{"0","4","5","6","7","8","9"},$D$4:$AG$4,"0"))</f>
        <v>13</v>
      </c>
      <c r="AL8" cm="1">
        <f t="array" ref="AL8">SUM(COUNTIFS($D8:$AG8,{"0","4","5","6","7","8","9"},$D$4:$AG$4,"1"))</f>
        <v>3</v>
      </c>
      <c r="AM8" cm="1">
        <f t="array" ref="AM8">SUM(COUNTIFS($D8:$AG8,{"0","4","5","6","7","8","9"},$D$4:$AG$4,"2"))</f>
        <v>6</v>
      </c>
      <c r="AN8" cm="1">
        <f t="array" ref="AN8">SUM(COUNTIFS($D8:$AG8,{"0","4","5","6","7","8","9"},$D$4:$AG$4,"3"))</f>
        <v>5</v>
      </c>
      <c r="AO8" cm="1">
        <f t="array" ref="AO8">SUM(COUNTIFS($D8:$AG8,{"1","2","3"}))</f>
        <v>3</v>
      </c>
      <c r="AP8" cm="1">
        <f t="array" ref="AP8">SUM(COUNTIFS($D8:$AG8,{"4","5","6"}))</f>
        <v>0</v>
      </c>
      <c r="AQ8">
        <f>AK8*'Spreadsheet Key'!$A$23 + AL8*'Spreadsheet Key'!$A$24 + AM8*'Spreadsheet Key'!$A$25 + AN8*'Spreadsheet Key'!$A$26</f>
        <v>1160</v>
      </c>
      <c r="AR8">
        <f>AJ8/('JUN Statistics'!$B$30)*ABS(AI8-1)</f>
        <v>5.3892215568862277E-2</v>
      </c>
      <c r="AS8">
        <f t="shared" ref="AS8" si="2">AI8*AT8</f>
        <v>0</v>
      </c>
      <c r="AT8" s="3388">
        <f>AR8*'JUN Statistics'!$C$11</f>
        <v>65.784432934131743</v>
      </c>
      <c r="AU8"/>
      <c r="AV8">
        <f>COUNTIFS($D8:$AG8,"8",$D$4:$AG$4,"0")</f>
        <v>1</v>
      </c>
      <c r="AW8">
        <f>COUNTIFS($D8:$AG8,"9",$D$4:$AG$4,"0")</f>
        <v>1</v>
      </c>
      <c r="AX8">
        <f>COUNTIFS($D8:$AG8,"8",$D$4:$AG$4,"1")</f>
        <v>0</v>
      </c>
      <c r="AY8" cm="1">
        <f t="array" ref="AY8">COUNTIFS($D8:$AG8,"9",$D$4:$AG$4,"1")+SUM(COUNTIFS($D8:$AG8,{"8","9"},$D$4:$AG$4,"2"))+COUNTIFS($D8:$AG8,"8",$D$4:$AG$4,"3")</f>
        <v>1</v>
      </c>
      <c r="AZ8">
        <f>COUNTIFS($D8:$AG8,"9",$D$4:$AG$4,"3")</f>
        <v>0</v>
      </c>
      <c r="BA8">
        <f t="shared" si="1"/>
        <v>3</v>
      </c>
      <c r="BB8">
        <f>AV8*'Spreadsheet Key'!$A$27+AW8*'Spreadsheet Key'!$A$28+AX8*'Spreadsheet Key'!$A$29+AY8*'Spreadsheet Key'!$A$30+AZ8*'Spreadsheet Key'!$A$31</f>
        <v>58</v>
      </c>
      <c r="BC8"/>
      <c r="BD8">
        <f t="shared" ref="BD8" si="3">AT8-BB8</f>
        <v>7.7844329341317433</v>
      </c>
    </row>
    <row r="9" spans="1:60" ht="15.75" customHeight="1">
      <c r="A9" s="3208"/>
      <c r="B9" s="3208"/>
      <c r="C9" s="3180" t="str">
        <f t="shared" si="0"/>
        <v xml:space="preserve"> </v>
      </c>
      <c r="D9" s="2" t="s">
        <v>722</v>
      </c>
      <c r="E9" s="2"/>
      <c r="F9" s="2"/>
      <c r="G9" s="2"/>
      <c r="H9" s="2" t="s">
        <v>720</v>
      </c>
      <c r="I9" s="2"/>
      <c r="J9" s="2"/>
      <c r="K9" s="2"/>
      <c r="L9" s="3390" t="s">
        <v>1386</v>
      </c>
      <c r="M9" s="6400" t="s">
        <v>441</v>
      </c>
      <c r="N9" s="6400"/>
      <c r="O9" s="6415" t="s">
        <v>112</v>
      </c>
      <c r="P9" s="6416"/>
      <c r="Q9" s="6416"/>
      <c r="R9" s="6416"/>
      <c r="S9" s="6416"/>
      <c r="T9" s="6416"/>
      <c r="U9" s="6416"/>
      <c r="V9" s="6416"/>
      <c r="W9" s="6417"/>
      <c r="X9" s="2"/>
      <c r="Y9" s="3391" t="s">
        <v>1386</v>
      </c>
      <c r="Z9" s="4621" t="s">
        <v>1388</v>
      </c>
      <c r="AA9" s="4621"/>
      <c r="AB9" s="4621"/>
      <c r="AC9" s="4621"/>
      <c r="AD9" s="4621"/>
      <c r="AE9" s="4621"/>
      <c r="AF9" s="4621"/>
      <c r="AG9" s="5967"/>
      <c r="AH9" s="3233"/>
      <c r="AI9" s="3202"/>
      <c r="AT9" s="3388"/>
      <c r="AV9">
        <f>COUNTIFS($D9:$AG9,"8",$D$4:$AG$4,"0")</f>
        <v>0</v>
      </c>
      <c r="AW9">
        <f>COUNTIFS($D9:$AG9,"9",$D$4:$AG$4,"0")</f>
        <v>0</v>
      </c>
      <c r="AX9">
        <f>COUNTIFS($D9:$AG9,"8",$D$4:$AG$4,"1")</f>
        <v>0</v>
      </c>
      <c r="AY9" cm="1">
        <f t="array" ref="AY9">COUNTIFS($D9:$AG9,"9",$D$4:$AG$4,"1")+SUM(COUNTIFS($D9:$AG9,{"8","9"},$D$4:$AG$4,"2"))+COUNTIFS($D9:$AG9,"8",$D$4:$AG$4,"3")</f>
        <v>0</v>
      </c>
      <c r="AZ9">
        <f>COUNTIFS($D9:$AG9,"9",$D$4:$AG$4,"3")</f>
        <v>0</v>
      </c>
      <c r="BA9">
        <f t="shared" si="1"/>
        <v>0</v>
      </c>
      <c r="BB9">
        <f>AV9*'Spreadsheet Key'!$A$27+AW9*'Spreadsheet Key'!$A$28+AX9*'Spreadsheet Key'!$A$29+AY9*'Spreadsheet Key'!$A$30+AZ9*'Spreadsheet Key'!$A$31</f>
        <v>0</v>
      </c>
    </row>
    <row r="10" spans="1:60" s="3211" customFormat="1">
      <c r="A10" s="3180" t="s">
        <v>606</v>
      </c>
      <c r="B10" s="3180" t="s">
        <v>98</v>
      </c>
      <c r="C10" s="3180" t="str">
        <f t="shared" si="0"/>
        <v>ISC ALUMIA</v>
      </c>
      <c r="D10" s="3386">
        <v>9</v>
      </c>
      <c r="E10" s="3386">
        <v>0</v>
      </c>
      <c r="F10" s="3386">
        <v>0</v>
      </c>
      <c r="G10" s="3386">
        <v>0</v>
      </c>
      <c r="H10" s="3386">
        <v>8</v>
      </c>
      <c r="I10" s="3386">
        <v>0</v>
      </c>
      <c r="J10" s="3386">
        <v>0</v>
      </c>
      <c r="K10" s="3386">
        <v>0</v>
      </c>
      <c r="L10" s="3386">
        <v>1</v>
      </c>
      <c r="M10" s="3386">
        <v>2</v>
      </c>
      <c r="N10" s="3386">
        <v>2</v>
      </c>
      <c r="O10" s="3386">
        <v>2</v>
      </c>
      <c r="P10" s="3386">
        <v>2</v>
      </c>
      <c r="Q10" s="3386">
        <v>2</v>
      </c>
      <c r="R10" s="3386">
        <v>2</v>
      </c>
      <c r="S10" s="3386">
        <v>2</v>
      </c>
      <c r="T10" s="3386">
        <v>2</v>
      </c>
      <c r="U10" s="3386">
        <v>2</v>
      </c>
      <c r="V10" s="3386">
        <v>2</v>
      </c>
      <c r="W10" s="3386">
        <v>3</v>
      </c>
      <c r="X10" s="3386">
        <v>0</v>
      </c>
      <c r="Y10" s="3386">
        <v>1</v>
      </c>
      <c r="Z10" s="3386">
        <v>2</v>
      </c>
      <c r="AA10" s="3386">
        <v>2</v>
      </c>
      <c r="AB10" s="3386">
        <v>2</v>
      </c>
      <c r="AC10" s="3386">
        <v>2</v>
      </c>
      <c r="AD10" s="3386">
        <v>2</v>
      </c>
      <c r="AE10" s="3386">
        <v>2</v>
      </c>
      <c r="AF10" s="3386">
        <v>2</v>
      </c>
      <c r="AG10" s="3386">
        <v>2</v>
      </c>
      <c r="AH10" s="3387"/>
      <c r="AI10" s="3202">
        <v>0</v>
      </c>
      <c r="AJ10" cm="1">
        <f t="array" ref="AJ10">SUM(COUNTIFS($D10:$AG10,{"0","4","5","6","7","8","9"}))</f>
        <v>9</v>
      </c>
      <c r="AK10" cm="1">
        <f t="array" ref="AK10">SUM(COUNTIFS($D10:$AG10,{"0","4","5","6","7","8","9"},$D$4:$AG$4,"0"))</f>
        <v>4</v>
      </c>
      <c r="AL10" cm="1">
        <f t="array" ref="AL10">SUM(COUNTIFS($D10:$AG10,{"0","4","5","6","7","8","9"},$D$4:$AG$4,"1"))</f>
        <v>1</v>
      </c>
      <c r="AM10" cm="1">
        <f t="array" ref="AM10">SUM(COUNTIFS($D10:$AG10,{"0","4","5","6","7","8","9"},$D$4:$AG$4,"2"))</f>
        <v>2</v>
      </c>
      <c r="AN10" cm="1">
        <f t="array" ref="AN10">SUM(COUNTIFS($D10:$AG10,{"0","4","5","6","7","8","9"},$D$4:$AG$4,"3"))</f>
        <v>2</v>
      </c>
      <c r="AO10" cm="1">
        <f t="array" ref="AO10">SUM(COUNTIFS($D10:$AG10,{"1","2","3"}))</f>
        <v>21</v>
      </c>
      <c r="AP10" cm="1">
        <f t="array" ref="AP10">SUM(COUNTIFS($D10:$AG10,{"4","5","6"}))</f>
        <v>0</v>
      </c>
      <c r="AQ10">
        <f>AK10*'Spreadsheet Key'!$A$23 + AL10*'Spreadsheet Key'!$A$24 + AM10*'Spreadsheet Key'!$A$25 + AN10*'Spreadsheet Key'!$A$26</f>
        <v>398</v>
      </c>
      <c r="AR10">
        <f>AJ10/('JUN Statistics'!$B$30)*ABS(AI10-1)</f>
        <v>1.7964071856287425E-2</v>
      </c>
      <c r="AS10">
        <f t="shared" ref="AS10" si="4">AI10*AT10</f>
        <v>0</v>
      </c>
      <c r="AT10" s="3388">
        <f>AR10*'JUN Statistics'!$C$11</f>
        <v>21.928144311377245</v>
      </c>
      <c r="AU10"/>
      <c r="AV10">
        <f>COUNTIFS($D10:$AG10,"8",$D$4:$AG$4,"0")</f>
        <v>1</v>
      </c>
      <c r="AW10">
        <f>COUNTIFS($D10:$AG10,"9",$D$4:$AG$4,"0")</f>
        <v>0</v>
      </c>
      <c r="AX10">
        <f>COUNTIFS($D10:$AG10,"8",$D$4:$AG$4,"1")</f>
        <v>0</v>
      </c>
      <c r="AY10" cm="1">
        <f t="array" ref="AY10">COUNTIFS($D10:$AG10,"9",$D$4:$AG$4,"1")+SUM(COUNTIFS($D10:$AG10,{"8","9"},$D$4:$AG$4,"2"))+COUNTIFS($D10:$AG10,"8",$D$4:$AG$4,"3")</f>
        <v>0</v>
      </c>
      <c r="AZ10">
        <f>COUNTIFS($D10:$AG10,"9",$D$4:$AG$4,"3")</f>
        <v>1</v>
      </c>
      <c r="BA10">
        <f t="shared" si="1"/>
        <v>2</v>
      </c>
      <c r="BB10">
        <f>AV10*'Spreadsheet Key'!$A$27+AW10*'Spreadsheet Key'!$A$28+AX10*'Spreadsheet Key'!$A$29+AY10*'Spreadsheet Key'!$A$30+AZ10*'Spreadsheet Key'!$A$31</f>
        <v>30</v>
      </c>
      <c r="BC10"/>
      <c r="BD10">
        <f t="shared" ref="BD10" si="5">AT10-BB10</f>
        <v>-8.0718556886227546</v>
      </c>
    </row>
    <row r="11" spans="1:60">
      <c r="A11" s="3208"/>
      <c r="B11" s="3208"/>
      <c r="C11" s="3180" t="str">
        <f t="shared" si="0"/>
        <v xml:space="preserve"> </v>
      </c>
      <c r="D11" s="3415" t="s">
        <v>1389</v>
      </c>
      <c r="E11" s="3415"/>
      <c r="F11" s="3415"/>
      <c r="G11" s="3415"/>
      <c r="H11" s="3415"/>
      <c r="I11" s="3214"/>
      <c r="J11" s="3416"/>
      <c r="K11" s="3415"/>
      <c r="L11" s="3415"/>
      <c r="M11" s="3415"/>
      <c r="N11" s="3415"/>
      <c r="O11" s="3415"/>
      <c r="P11" s="3415"/>
      <c r="Q11" s="3416"/>
      <c r="R11" s="3415"/>
      <c r="S11" s="3415"/>
      <c r="T11" s="3415"/>
      <c r="U11" s="3415"/>
      <c r="V11" s="3415"/>
      <c r="W11" s="3415"/>
      <c r="X11" s="3099"/>
      <c r="Y11" s="3415"/>
      <c r="Z11" s="3415"/>
      <c r="AA11" s="3415"/>
      <c r="AB11" s="3415"/>
      <c r="AC11" s="3415"/>
      <c r="AD11" s="3415"/>
      <c r="AE11" s="3265"/>
      <c r="AF11" s="3415"/>
      <c r="AG11" s="3417"/>
      <c r="AH11" s="3233"/>
      <c r="AI11" s="3202"/>
      <c r="AT11" s="3388"/>
      <c r="AV11">
        <f>COUNTIFS($D11:$AG11,"8",$D$4:$AG$4,"0")</f>
        <v>0</v>
      </c>
      <c r="AW11">
        <f>COUNTIFS($D11:$AG11,"9",$D$4:$AG$4,"0")</f>
        <v>0</v>
      </c>
      <c r="AX11">
        <f>COUNTIFS($D11:$AG11,"8",$D$4:$AG$4,"1")</f>
        <v>0</v>
      </c>
      <c r="AY11" cm="1">
        <f t="array" ref="AY11">COUNTIFS($D11:$AG11,"9",$D$4:$AG$4,"1")+SUM(COUNTIFS($D11:$AG11,{"8","9"},$D$4:$AG$4,"2"))+COUNTIFS($D11:$AG11,"8",$D$4:$AG$4,"3")</f>
        <v>0</v>
      </c>
      <c r="AZ11">
        <f>COUNTIFS($D11:$AG11,"9",$D$4:$AG$4,"3")</f>
        <v>0</v>
      </c>
      <c r="BA11">
        <f t="shared" si="1"/>
        <v>0</v>
      </c>
      <c r="BB11">
        <f>AV11*'Spreadsheet Key'!$A$27+AW11*'Spreadsheet Key'!$A$28+AX11*'Spreadsheet Key'!$A$29+AY11*'Spreadsheet Key'!$A$30+AZ11*'Spreadsheet Key'!$A$31</f>
        <v>0</v>
      </c>
    </row>
    <row r="12" spans="1:60" s="3211" customFormat="1">
      <c r="A12" s="3180" t="s">
        <v>100</v>
      </c>
      <c r="B12" s="3180" t="s">
        <v>725</v>
      </c>
      <c r="C12" s="3180" t="str">
        <f t="shared" si="0"/>
        <v>CDR IVEY</v>
      </c>
      <c r="D12" s="3386">
        <v>2</v>
      </c>
      <c r="E12" s="3386">
        <v>2</v>
      </c>
      <c r="F12" s="3386">
        <v>2</v>
      </c>
      <c r="G12" s="3386">
        <v>2</v>
      </c>
      <c r="H12" s="3386">
        <v>2</v>
      </c>
      <c r="I12" s="3386">
        <v>2</v>
      </c>
      <c r="J12" s="3386">
        <v>2</v>
      </c>
      <c r="K12" s="3386">
        <v>2</v>
      </c>
      <c r="L12" s="3386">
        <v>2</v>
      </c>
      <c r="M12" s="3386">
        <v>2</v>
      </c>
      <c r="N12" s="3386">
        <v>2</v>
      </c>
      <c r="O12" s="3386">
        <v>2</v>
      </c>
      <c r="P12" s="3386">
        <v>2</v>
      </c>
      <c r="Q12" s="3386">
        <v>2</v>
      </c>
      <c r="R12" s="3386">
        <v>2</v>
      </c>
      <c r="S12" s="3386">
        <v>2</v>
      </c>
      <c r="T12" s="3386">
        <v>2</v>
      </c>
      <c r="U12" s="3386">
        <v>2</v>
      </c>
      <c r="V12" s="3386">
        <v>2</v>
      </c>
      <c r="W12" s="3386">
        <v>2</v>
      </c>
      <c r="X12" s="3386">
        <v>2</v>
      </c>
      <c r="Y12" s="3386">
        <v>2</v>
      </c>
      <c r="Z12" s="3386">
        <v>2</v>
      </c>
      <c r="AA12" s="3386">
        <v>2</v>
      </c>
      <c r="AB12" s="3386">
        <v>2</v>
      </c>
      <c r="AC12" s="3386">
        <v>2</v>
      </c>
      <c r="AD12" s="3386">
        <v>2</v>
      </c>
      <c r="AE12" s="3386">
        <v>2</v>
      </c>
      <c r="AF12" s="3386">
        <v>2</v>
      </c>
      <c r="AG12" s="3386">
        <v>2</v>
      </c>
      <c r="AH12" s="3387"/>
      <c r="AI12" s="3202">
        <v>1</v>
      </c>
      <c r="AJ12" cm="1">
        <f t="array" ref="AJ12">SUM(COUNTIFS($D12:$AG12,{"0","4","5","6","7","8","9"}))</f>
        <v>0</v>
      </c>
      <c r="AK12" cm="1">
        <f t="array" ref="AK12">SUM(COUNTIFS($D12:$AG12,{"0","4","5","6","7","8","9"},$D$4:$AG$4,"0"))</f>
        <v>0</v>
      </c>
      <c r="AL12" cm="1">
        <f t="array" ref="AL12">SUM(COUNTIFS($D12:$AG12,{"0","4","5","6","7","8","9"},$D$4:$AG$4,"1"))</f>
        <v>0</v>
      </c>
      <c r="AM12" cm="1">
        <f t="array" ref="AM12">SUM(COUNTIFS($D12:$AG12,{"0","4","5","6","7","8","9"},$D$4:$AG$4,"2"))</f>
        <v>0</v>
      </c>
      <c r="AN12" cm="1">
        <f t="array" ref="AN12">SUM(COUNTIFS($D12:$AG12,{"0","4","5","6","7","8","9"},$D$4:$AG$4,"3"))</f>
        <v>0</v>
      </c>
      <c r="AO12" cm="1">
        <f t="array" ref="AO12">SUM(COUNTIFS($D12:$AG12,{"1","2","3"}))</f>
        <v>30</v>
      </c>
      <c r="AP12" cm="1">
        <f t="array" ref="AP12">SUM(COUNTIFS($D12:$AG12,{"4","5","6"}))</f>
        <v>0</v>
      </c>
      <c r="AQ12">
        <f>AK12*'Spreadsheet Key'!$A$23 + AL12*'Spreadsheet Key'!$A$24 + AM12*'Spreadsheet Key'!$A$25 + AN12*'Spreadsheet Key'!$A$26</f>
        <v>0</v>
      </c>
      <c r="AR12">
        <f>AJ12/('JUN Statistics'!$B$30)*ABS(AI12-1)</f>
        <v>0</v>
      </c>
      <c r="AS12">
        <f>AI12*AT12</f>
        <v>0</v>
      </c>
      <c r="AT12" s="3388">
        <f>(AJ12/'JUN Statistics'!$B$6)*'Spreadsheet Key'!$A$33</f>
        <v>0</v>
      </c>
      <c r="AU12"/>
      <c r="AV12">
        <f>COUNTIFS($D12:$AG12,"8",$D$4:$AG$4,"0")</f>
        <v>0</v>
      </c>
      <c r="AW12">
        <f>COUNTIFS($D12:$AG12,"9",$D$4:$AG$4,"0")</f>
        <v>0</v>
      </c>
      <c r="AX12">
        <f>COUNTIFS($D12:$AG12,"8",$D$4:$AG$4,"1")</f>
        <v>0</v>
      </c>
      <c r="AY12" cm="1">
        <f t="array" ref="AY12">COUNTIFS($D12:$AG12,"9",$D$4:$AG$4,"1")+SUM(COUNTIFS($D12:$AG12,{"8","9"},$D$4:$AG$4,"2"))+COUNTIFS($D12:$AG12,"8",$D$4:$AG$4,"3")</f>
        <v>0</v>
      </c>
      <c r="AZ12">
        <f>COUNTIFS($D12:$AG12,"9",$D$4:$AG$4,"3")</f>
        <v>0</v>
      </c>
      <c r="BA12">
        <f t="shared" si="1"/>
        <v>0</v>
      </c>
      <c r="BB12">
        <f>AV12*'Spreadsheet Key'!$A$27+AW12*'Spreadsheet Key'!$A$28+AX12*'Spreadsheet Key'!$A$29+AY12*'Spreadsheet Key'!$A$30+AZ12*'Spreadsheet Key'!$A$31</f>
        <v>0</v>
      </c>
      <c r="BC12"/>
      <c r="BD12">
        <f t="shared" ref="BD12" si="6">AT12-BB12</f>
        <v>0</v>
      </c>
    </row>
    <row r="13" spans="1:60">
      <c r="A13" s="3208"/>
      <c r="B13" s="3208"/>
      <c r="C13" s="3180" t="str">
        <f t="shared" si="0"/>
        <v xml:space="preserve"> </v>
      </c>
      <c r="D13" s="2"/>
      <c r="E13" s="3392" t="s">
        <v>722</v>
      </c>
      <c r="F13" s="3392"/>
      <c r="G13" s="3392"/>
      <c r="H13" s="3392"/>
      <c r="I13" s="3392"/>
      <c r="J13" s="3392"/>
      <c r="K13" s="2" t="s">
        <v>722</v>
      </c>
      <c r="L13" s="3392"/>
      <c r="M13" s="3392"/>
      <c r="N13" s="3392"/>
      <c r="O13" s="3392"/>
      <c r="P13" s="3392"/>
      <c r="Q13" s="3392"/>
      <c r="R13" s="3392"/>
      <c r="S13" s="3392" t="s">
        <v>722</v>
      </c>
      <c r="T13" s="3392"/>
      <c r="U13" s="3392"/>
      <c r="V13" s="3392"/>
      <c r="W13" s="3392"/>
      <c r="X13" s="3392"/>
      <c r="Y13" s="3392" t="s">
        <v>722</v>
      </c>
      <c r="Z13" s="2"/>
      <c r="AA13" s="2"/>
      <c r="AB13" s="2"/>
      <c r="AC13" s="2"/>
      <c r="AD13" s="2"/>
      <c r="AE13" s="2"/>
      <c r="AF13" s="323"/>
      <c r="AG13" s="3393"/>
      <c r="AH13" s="3233"/>
      <c r="AI13" s="3202"/>
      <c r="AT13" s="3388"/>
      <c r="AV13">
        <f>COUNTIFS($D13:$AG13,"8",$D$4:$AG$4,"0")</f>
        <v>0</v>
      </c>
      <c r="AW13">
        <f>COUNTIFS($D13:$AG13,"9",$D$4:$AG$4,"0")</f>
        <v>0</v>
      </c>
      <c r="AX13">
        <f>COUNTIFS($D13:$AG13,"8",$D$4:$AG$4,"1")</f>
        <v>0</v>
      </c>
      <c r="AY13" cm="1">
        <f t="array" ref="AY13">COUNTIFS($D13:$AG13,"9",$D$4:$AG$4,"1")+SUM(COUNTIFS($D13:$AG13,{"8","9"},$D$4:$AG$4,"2"))+COUNTIFS($D13:$AG13,"8",$D$4:$AG$4,"3")</f>
        <v>0</v>
      </c>
      <c r="AZ13">
        <f>COUNTIFS($D13:$AG13,"9",$D$4:$AG$4,"3")</f>
        <v>0</v>
      </c>
      <c r="BA13">
        <f t="shared" si="1"/>
        <v>0</v>
      </c>
      <c r="BB13">
        <f>AV13*'Spreadsheet Key'!$A$27+AW13*'Spreadsheet Key'!$A$28+AX13*'Spreadsheet Key'!$A$29+AY13*'Spreadsheet Key'!$A$30+AZ13*'Spreadsheet Key'!$A$31</f>
        <v>0</v>
      </c>
      <c r="BE13" s="3232"/>
      <c r="BF13" s="3232"/>
      <c r="BG13" s="3232"/>
      <c r="BH13" s="3232"/>
    </row>
    <row r="14" spans="1:60" s="3211" customFormat="1">
      <c r="A14" s="3422" t="s">
        <v>95</v>
      </c>
      <c r="B14" s="3180" t="s">
        <v>726</v>
      </c>
      <c r="C14" s="3180" t="str">
        <f t="shared" si="0"/>
        <v>LT MALIGSA</v>
      </c>
      <c r="D14" s="3386">
        <v>0</v>
      </c>
      <c r="E14" s="3386">
        <v>9</v>
      </c>
      <c r="F14" s="3386">
        <v>0</v>
      </c>
      <c r="G14" s="3386">
        <v>0</v>
      </c>
      <c r="H14" s="3386">
        <v>0</v>
      </c>
      <c r="I14" s="3386">
        <v>0</v>
      </c>
      <c r="J14" s="3386">
        <v>0</v>
      </c>
      <c r="K14" s="3386">
        <v>9</v>
      </c>
      <c r="L14" s="3386">
        <v>0</v>
      </c>
      <c r="M14" s="3386">
        <v>0</v>
      </c>
      <c r="N14" s="3386">
        <v>0</v>
      </c>
      <c r="O14" s="3386">
        <v>0</v>
      </c>
      <c r="P14" s="3386">
        <v>0</v>
      </c>
      <c r="Q14" s="3386">
        <v>0</v>
      </c>
      <c r="R14" s="3386">
        <v>0</v>
      </c>
      <c r="S14" s="3386">
        <v>9</v>
      </c>
      <c r="T14" s="3386">
        <v>0</v>
      </c>
      <c r="U14" s="3386">
        <v>0</v>
      </c>
      <c r="V14" s="3386">
        <v>0</v>
      </c>
      <c r="W14" s="3386">
        <v>0</v>
      </c>
      <c r="X14" s="3386">
        <v>0</v>
      </c>
      <c r="Y14" s="3386">
        <v>9</v>
      </c>
      <c r="Z14" s="3386">
        <v>0</v>
      </c>
      <c r="AA14" s="3386">
        <v>0</v>
      </c>
      <c r="AB14" s="3386">
        <v>0</v>
      </c>
      <c r="AC14" s="3386">
        <v>0</v>
      </c>
      <c r="AD14" s="3386">
        <v>0</v>
      </c>
      <c r="AE14" s="3386">
        <v>0</v>
      </c>
      <c r="AF14" s="3386">
        <v>0</v>
      </c>
      <c r="AG14" s="3386">
        <v>0</v>
      </c>
      <c r="AH14" s="3387"/>
      <c r="AI14" s="3202">
        <v>0</v>
      </c>
      <c r="AJ14" cm="1">
        <f t="array" ref="AJ14">SUM(COUNTIFS($D14:$AG14,{"0","4","5","6","7","8","9"}))</f>
        <v>30</v>
      </c>
      <c r="AK14" cm="1">
        <f t="array" ref="AK14">SUM(COUNTIFS($D14:$AG14,{"0","4","5","6","7","8","9"},$D$4:$AG$4,"0"))</f>
        <v>15</v>
      </c>
      <c r="AL14" cm="1">
        <f t="array" ref="AL14">SUM(COUNTIFS($D14:$AG14,{"0","4","5","6","7","8","9"},$D$4:$AG$4,"1"))</f>
        <v>4</v>
      </c>
      <c r="AM14" cm="1">
        <f t="array" ref="AM14">SUM(COUNTIFS($D14:$AG14,{"0","4","5","6","7","8","9"},$D$4:$AG$4,"2"))</f>
        <v>6</v>
      </c>
      <c r="AN14" cm="1">
        <f t="array" ref="AN14">SUM(COUNTIFS($D14:$AG14,{"0","4","5","6","7","8","9"},$D$4:$AG$4,"3"))</f>
        <v>5</v>
      </c>
      <c r="AO14" cm="1">
        <f t="array" ref="AO14">SUM(COUNTIFS($D14:$AG14,{"1","2","3"}))</f>
        <v>0</v>
      </c>
      <c r="AP14" cm="1">
        <f t="array" ref="AP14">SUM(COUNTIFS($D14:$AG14,{"4","5","6"}))</f>
        <v>0</v>
      </c>
      <c r="AQ14">
        <f>AK14*'Spreadsheet Key'!$A$23 + AL14*'Spreadsheet Key'!$A$24 + AM14*'Spreadsheet Key'!$A$25 + AN14*'Spreadsheet Key'!$A$26</f>
        <v>1258</v>
      </c>
      <c r="AR14">
        <f>AJ14/('JUN Statistics'!$B$30)*ABS(AI14-1)</f>
        <v>5.9880239520958084E-2</v>
      </c>
      <c r="AS14">
        <f t="shared" ref="AS14" si="7">AI14*AT14</f>
        <v>0</v>
      </c>
      <c r="AT14" s="3388">
        <f>AR14*'JUN Statistics'!$C$11</f>
        <v>73.09381437125748</v>
      </c>
      <c r="AU14"/>
      <c r="AV14">
        <f>COUNTIFS($D14:$AG14,"8",$D$4:$AG$4,"0")</f>
        <v>0</v>
      </c>
      <c r="AW14">
        <f>COUNTIFS($D14:$AG14,"9",$D$4:$AG$4,"0")</f>
        <v>2</v>
      </c>
      <c r="AX14">
        <f>COUNTIFS($D14:$AG14,"8",$D$4:$AG$4,"1")</f>
        <v>0</v>
      </c>
      <c r="AY14" cm="1">
        <f t="array" ref="AY14">COUNTIFS($D14:$AG14,"9",$D$4:$AG$4,"1")+SUM(COUNTIFS($D14:$AG14,{"8","9"},$D$4:$AG$4,"2"))+COUNTIFS($D14:$AG14,"8",$D$4:$AG$4,"3")</f>
        <v>0</v>
      </c>
      <c r="AZ14">
        <f>COUNTIFS($D14:$AG14,"9",$D$4:$AG$4,"3")</f>
        <v>2</v>
      </c>
      <c r="BA14">
        <f t="shared" si="1"/>
        <v>4</v>
      </c>
      <c r="BB14">
        <f>AV14*'Spreadsheet Key'!$A$27+AW14*'Spreadsheet Key'!$A$28+AX14*'Spreadsheet Key'!$A$29+AY14*'Spreadsheet Key'!$A$30+AZ14*'Spreadsheet Key'!$A$31</f>
        <v>64</v>
      </c>
      <c r="BC14"/>
      <c r="BD14">
        <f t="shared" ref="BD14" si="8">AT14-BB14</f>
        <v>9.0938143712574799</v>
      </c>
    </row>
    <row r="15" spans="1:60">
      <c r="A15" s="3212"/>
      <c r="B15" s="3208"/>
      <c r="C15" s="3180" t="str">
        <f t="shared" si="0"/>
        <v xml:space="preserve"> </v>
      </c>
      <c r="D15" s="2"/>
      <c r="E15" s="627"/>
      <c r="F15" s="2"/>
      <c r="G15" s="2" t="s">
        <v>722</v>
      </c>
      <c r="H15" s="2"/>
      <c r="I15" s="2"/>
      <c r="J15" s="2"/>
      <c r="K15" s="2"/>
      <c r="L15" s="2" t="s">
        <v>720</v>
      </c>
      <c r="M15" s="2"/>
      <c r="N15" s="2"/>
      <c r="O15" s="2"/>
      <c r="P15" s="2" t="s">
        <v>722</v>
      </c>
      <c r="Q15" s="2"/>
      <c r="R15" s="2"/>
      <c r="S15" s="3391" t="s">
        <v>1386</v>
      </c>
      <c r="T15" s="3675" t="s">
        <v>1387</v>
      </c>
      <c r="U15" s="3391" t="s">
        <v>1386</v>
      </c>
      <c r="V15" s="2"/>
      <c r="W15" s="2"/>
      <c r="X15" s="2"/>
      <c r="Y15" s="3391" t="s">
        <v>1386</v>
      </c>
      <c r="Z15" s="5789" t="s">
        <v>1388</v>
      </c>
      <c r="AA15" s="6444"/>
      <c r="AB15" s="6444"/>
      <c r="AC15" s="6444"/>
      <c r="AD15" s="6444"/>
      <c r="AE15" s="6444"/>
      <c r="AF15" s="3391" t="s">
        <v>1386</v>
      </c>
      <c r="AG15" s="3394" t="s">
        <v>1386</v>
      </c>
      <c r="AH15" s="3233"/>
      <c r="AI15" s="3202"/>
      <c r="AT15" s="3388"/>
      <c r="AV15">
        <f>COUNTIFS($D15:$AG15,"8",$D$4:$AG$4,"0")</f>
        <v>0</v>
      </c>
      <c r="AW15">
        <f>COUNTIFS($D15:$AG15,"9",$D$4:$AG$4,"0")</f>
        <v>0</v>
      </c>
      <c r="AX15">
        <f>COUNTIFS($D15:$AG15,"8",$D$4:$AG$4,"1")</f>
        <v>0</v>
      </c>
      <c r="AY15" cm="1">
        <f t="array" ref="AY15">COUNTIFS($D15:$AG15,"9",$D$4:$AG$4,"1")+SUM(COUNTIFS($D15:$AG15,{"8","9"},$D$4:$AG$4,"2"))+COUNTIFS($D15:$AG15,"8",$D$4:$AG$4,"3")</f>
        <v>0</v>
      </c>
      <c r="AZ15">
        <f>COUNTIFS($D15:$AG15,"9",$D$4:$AG$4,"3")</f>
        <v>0</v>
      </c>
      <c r="BA15">
        <f t="shared" si="1"/>
        <v>0</v>
      </c>
      <c r="BB15">
        <f>AV15*'Spreadsheet Key'!$A$27+AW15*'Spreadsheet Key'!$A$28+AX15*'Spreadsheet Key'!$A$29+AY15*'Spreadsheet Key'!$A$30+AZ15*'Spreadsheet Key'!$A$31</f>
        <v>0</v>
      </c>
    </row>
    <row r="16" spans="1:60" s="3211" customFormat="1">
      <c r="A16" s="3180" t="s">
        <v>95</v>
      </c>
      <c r="B16" s="3180" t="s">
        <v>738</v>
      </c>
      <c r="C16" s="3180" t="str">
        <f t="shared" si="0"/>
        <v>LT HESPEN</v>
      </c>
      <c r="D16" s="3386">
        <v>0</v>
      </c>
      <c r="E16" s="3386">
        <v>0</v>
      </c>
      <c r="F16" s="3386">
        <v>0</v>
      </c>
      <c r="G16" s="3386">
        <v>9</v>
      </c>
      <c r="H16" s="3386">
        <v>0</v>
      </c>
      <c r="I16" s="3386">
        <v>0</v>
      </c>
      <c r="J16" s="3386">
        <v>0</v>
      </c>
      <c r="K16" s="3386">
        <v>0</v>
      </c>
      <c r="L16" s="3386">
        <v>8</v>
      </c>
      <c r="M16" s="3386">
        <v>0</v>
      </c>
      <c r="N16" s="3386">
        <v>0</v>
      </c>
      <c r="O16" s="3386">
        <v>0</v>
      </c>
      <c r="P16" s="3386">
        <v>9</v>
      </c>
      <c r="Q16" s="3386">
        <v>0</v>
      </c>
      <c r="R16" s="3386">
        <v>0</v>
      </c>
      <c r="S16" s="3386">
        <v>1</v>
      </c>
      <c r="T16" s="3386">
        <v>2</v>
      </c>
      <c r="U16" s="3386">
        <v>3</v>
      </c>
      <c r="V16" s="3386">
        <v>0</v>
      </c>
      <c r="W16" s="3386">
        <v>0</v>
      </c>
      <c r="X16" s="3386">
        <v>0</v>
      </c>
      <c r="Y16" s="3386">
        <v>1</v>
      </c>
      <c r="Z16" s="3386">
        <v>2</v>
      </c>
      <c r="AA16" s="3386">
        <v>2</v>
      </c>
      <c r="AB16" s="3386">
        <v>2</v>
      </c>
      <c r="AC16" s="3386">
        <v>2</v>
      </c>
      <c r="AD16" s="3386">
        <v>2</v>
      </c>
      <c r="AE16" s="3386">
        <v>2</v>
      </c>
      <c r="AF16" s="3386">
        <v>2</v>
      </c>
      <c r="AG16" s="3386">
        <v>2</v>
      </c>
      <c r="AH16" s="3387"/>
      <c r="AI16" s="3202">
        <v>0</v>
      </c>
      <c r="AJ16" cm="1">
        <f t="array" ref="AJ16">SUM(COUNTIFS($D16:$AG16,{"0","4","5","6","7","8","9"}))</f>
        <v>18</v>
      </c>
      <c r="AK16" cm="1">
        <f t="array" ref="AK16">SUM(COUNTIFS($D16:$AG16,{"0","4","5","6","7","8","9"},$D$4:$AG$4,"0"))</f>
        <v>8</v>
      </c>
      <c r="AL16" cm="1">
        <f t="array" ref="AL16">SUM(COUNTIFS($D16:$AG16,{"0","4","5","6","7","8","9"},$D$4:$AG$4,"1"))</f>
        <v>2</v>
      </c>
      <c r="AM16" cm="1">
        <f t="array" ref="AM16">SUM(COUNTIFS($D16:$AG16,{"0","4","5","6","7","8","9"},$D$4:$AG$4,"2"))</f>
        <v>5</v>
      </c>
      <c r="AN16" cm="1">
        <f t="array" ref="AN16">SUM(COUNTIFS($D16:$AG16,{"0","4","5","6","7","8","9"},$D$4:$AG$4,"3"))</f>
        <v>3</v>
      </c>
      <c r="AO16" cm="1">
        <f t="array" ref="AO16">SUM(COUNTIFS($D16:$AG16,{"1","2","3"}))</f>
        <v>12</v>
      </c>
      <c r="AP16" cm="1">
        <f t="array" ref="AP16">SUM(COUNTIFS($D16:$AG16,{"4","5","6"}))</f>
        <v>0</v>
      </c>
      <c r="AQ16">
        <f>AK16*'Spreadsheet Key'!$A$23 + AL16*'Spreadsheet Key'!$A$24 + AM16*'Spreadsheet Key'!$A$25 + AN16*'Spreadsheet Key'!$A$26</f>
        <v>812</v>
      </c>
      <c r="AR16">
        <f>AJ16/('JUN Statistics'!$B$30)*ABS(AI16-1)</f>
        <v>3.5928143712574849E-2</v>
      </c>
      <c r="AS16">
        <f t="shared" ref="AS16" si="9">AI16*AT16</f>
        <v>0</v>
      </c>
      <c r="AT16" s="3388">
        <f>AR16*'JUN Statistics'!$C$11</f>
        <v>43.856288622754491</v>
      </c>
      <c r="AU16"/>
      <c r="AV16">
        <f>COUNTIFS($D16:$AG16,"8",$D$4:$AG$4,"0")</f>
        <v>1</v>
      </c>
      <c r="AW16">
        <f>COUNTIFS($D16:$AG16,"9",$D$4:$AG$4,"0")</f>
        <v>1</v>
      </c>
      <c r="AX16">
        <f>COUNTIFS($D16:$AG16,"8",$D$4:$AG$4,"1")</f>
        <v>0</v>
      </c>
      <c r="AY16" cm="1">
        <f t="array" ref="AY16">COUNTIFS($D16:$AG16,"9",$D$4:$AG$4,"1")+SUM(COUNTIFS($D16:$AG16,{"8","9"},$D$4:$AG$4,"2"))+COUNTIFS($D16:$AG16,"8",$D$4:$AG$4,"3")</f>
        <v>1</v>
      </c>
      <c r="AZ16">
        <f>COUNTIFS($D16:$AG16,"9",$D$4:$AG$4,"3")</f>
        <v>0</v>
      </c>
      <c r="BA16">
        <f t="shared" si="1"/>
        <v>3</v>
      </c>
      <c r="BB16">
        <f>AV16*'Spreadsheet Key'!$A$27+AW16*'Spreadsheet Key'!$A$28+AX16*'Spreadsheet Key'!$A$29+AY16*'Spreadsheet Key'!$A$30+AZ16*'Spreadsheet Key'!$A$31</f>
        <v>58</v>
      </c>
      <c r="BC16"/>
      <c r="BD16">
        <f t="shared" ref="BD16" si="10">AT16-BB16</f>
        <v>-14.143711377245509</v>
      </c>
    </row>
    <row r="17" spans="1:56">
      <c r="A17" s="3208"/>
      <c r="B17" s="3208"/>
      <c r="C17" s="3180" t="str">
        <f t="shared" si="0"/>
        <v xml:space="preserve"> </v>
      </c>
      <c r="D17" s="2" t="s">
        <v>720</v>
      </c>
      <c r="E17" s="2894"/>
      <c r="F17" s="2894"/>
      <c r="G17" s="2894"/>
      <c r="H17" s="2894"/>
      <c r="I17" s="2894"/>
      <c r="J17" s="2894"/>
      <c r="K17" s="2894"/>
      <c r="M17" s="2894" t="s">
        <v>720</v>
      </c>
      <c r="N17" s="2894"/>
      <c r="O17" s="2894"/>
      <c r="P17" s="2894"/>
      <c r="Q17" s="2894"/>
      <c r="R17" s="2894"/>
      <c r="S17" s="3391" t="s">
        <v>1386</v>
      </c>
      <c r="T17" s="3675" t="s">
        <v>1387</v>
      </c>
      <c r="U17" s="3391" t="s">
        <v>1386</v>
      </c>
      <c r="V17" s="2894"/>
      <c r="W17" s="2894"/>
      <c r="X17" s="2894"/>
      <c r="Y17" s="2894"/>
      <c r="Z17" s="6412" t="s">
        <v>1390</v>
      </c>
      <c r="AA17" s="6413"/>
      <c r="AB17" s="6413"/>
      <c r="AC17" s="6413"/>
      <c r="AD17" s="6414"/>
      <c r="AE17" s="2"/>
      <c r="AF17" s="776" t="s">
        <v>720</v>
      </c>
      <c r="AG17" s="696"/>
      <c r="AH17" s="3233"/>
      <c r="AI17" s="3202"/>
      <c r="AT17" s="3388"/>
      <c r="AV17">
        <f>COUNTIFS($D17:$AG17,"8",$D$4:$AG$4,"0")</f>
        <v>0</v>
      </c>
      <c r="AW17">
        <f>COUNTIFS($D17:$AG17,"9",$D$4:$AG$4,"0")</f>
        <v>0</v>
      </c>
      <c r="AX17">
        <f>COUNTIFS($D17:$AG17,"8",$D$4:$AG$4,"1")</f>
        <v>0</v>
      </c>
      <c r="AY17" cm="1">
        <f t="array" ref="AY17">COUNTIFS($D17:$AG17,"9",$D$4:$AG$4,"1")+SUM(COUNTIFS($D17:$AG17,{"8","9"},$D$4:$AG$4,"2"))+COUNTIFS($D17:$AG17,"8",$D$4:$AG$4,"3")</f>
        <v>0</v>
      </c>
      <c r="AZ17">
        <f>COUNTIFS($D17:$AG17,"9",$D$4:$AG$4,"3")</f>
        <v>0</v>
      </c>
      <c r="BA17">
        <f t="shared" si="1"/>
        <v>0</v>
      </c>
      <c r="BB17">
        <f>AV17*'Spreadsheet Key'!$A$27+AW17*'Spreadsheet Key'!$A$28+AX17*'Spreadsheet Key'!$A$29+AY17*'Spreadsheet Key'!$A$30+AZ17*'Spreadsheet Key'!$A$31</f>
        <v>0</v>
      </c>
    </row>
    <row r="18" spans="1:56" s="3211" customFormat="1">
      <c r="A18" s="3421" t="s">
        <v>106</v>
      </c>
      <c r="B18" s="3180" t="s">
        <v>1191</v>
      </c>
      <c r="C18" s="3180" t="str">
        <f t="shared" si="0"/>
        <v>OSC WILLIAMS</v>
      </c>
      <c r="D18" s="3386">
        <v>8</v>
      </c>
      <c r="E18" s="3386">
        <v>0</v>
      </c>
      <c r="F18" s="3386">
        <v>0</v>
      </c>
      <c r="G18" s="3386">
        <v>0</v>
      </c>
      <c r="H18" s="3386">
        <v>0</v>
      </c>
      <c r="I18" s="3386">
        <v>0</v>
      </c>
      <c r="J18" s="3386">
        <v>0</v>
      </c>
      <c r="K18" s="3386">
        <v>0</v>
      </c>
      <c r="L18" s="3386">
        <v>0</v>
      </c>
      <c r="M18" s="3386">
        <v>8</v>
      </c>
      <c r="N18" s="3386">
        <v>0</v>
      </c>
      <c r="O18" s="3386">
        <v>0</v>
      </c>
      <c r="P18" s="3386">
        <v>0</v>
      </c>
      <c r="Q18" s="3386">
        <v>0</v>
      </c>
      <c r="R18" s="3386">
        <v>0</v>
      </c>
      <c r="S18" s="3386">
        <v>1</v>
      </c>
      <c r="T18" s="3386">
        <v>2</v>
      </c>
      <c r="U18" s="3386">
        <v>3</v>
      </c>
      <c r="V18" s="3386">
        <v>0</v>
      </c>
      <c r="W18" s="3386">
        <v>0</v>
      </c>
      <c r="X18" s="3386">
        <v>0</v>
      </c>
      <c r="Y18" s="3386">
        <v>0</v>
      </c>
      <c r="Z18" s="3386">
        <v>7</v>
      </c>
      <c r="AA18" s="3386">
        <v>7</v>
      </c>
      <c r="AB18" s="3386">
        <v>7</v>
      </c>
      <c r="AC18" s="3386">
        <v>7</v>
      </c>
      <c r="AD18" s="3386">
        <v>7</v>
      </c>
      <c r="AE18" s="3386">
        <v>0</v>
      </c>
      <c r="AF18" s="3386">
        <v>8</v>
      </c>
      <c r="AG18" s="3386">
        <v>0</v>
      </c>
      <c r="AH18" s="3387"/>
      <c r="AI18" s="3202">
        <v>0</v>
      </c>
      <c r="AJ18" cm="1">
        <f t="array" ref="AJ18">SUM(COUNTIFS($D18:$AG18,{"0","4","5","6","7","8","9"}))</f>
        <v>27</v>
      </c>
      <c r="AK18" cm="1">
        <f t="array" ref="AK18">SUM(COUNTIFS($D18:$AG18,{"0","4","5","6","7","8","9"},$D$4:$AG$4,"0"))</f>
        <v>13</v>
      </c>
      <c r="AL18" cm="1">
        <f t="array" ref="AL18">SUM(COUNTIFS($D18:$AG18,{"0","4","5","6","7","8","9"},$D$4:$AG$4,"1"))</f>
        <v>3</v>
      </c>
      <c r="AM18" cm="1">
        <f t="array" ref="AM18">SUM(COUNTIFS($D18:$AG18,{"0","4","5","6","7","8","9"},$D$4:$AG$4,"2"))</f>
        <v>6</v>
      </c>
      <c r="AN18" cm="1">
        <f t="array" ref="AN18">SUM(COUNTIFS($D18:$AG18,{"0","4","5","6","7","8","9"},$D$4:$AG$4,"3"))</f>
        <v>5</v>
      </c>
      <c r="AO18" cm="1">
        <f t="array" ref="AO18">SUM(COUNTIFS($D18:$AG18,{"1","2","3"}))</f>
        <v>3</v>
      </c>
      <c r="AP18" cm="1">
        <f t="array" ref="AP18">SUM(COUNTIFS($D18:$AG18,{"4","5","6"}))</f>
        <v>0</v>
      </c>
      <c r="AQ18">
        <f>AK18*'Spreadsheet Key'!$A$23 + AL18*'Spreadsheet Key'!$A$24 + AM18*'Spreadsheet Key'!$A$25 + AN18*'Spreadsheet Key'!$A$26</f>
        <v>1160</v>
      </c>
      <c r="AR18">
        <f>AJ18/('JUN Statistics'!$B$30)*ABS(AI18-1)</f>
        <v>5.3892215568862277E-2</v>
      </c>
      <c r="AS18">
        <f t="shared" ref="AS18" si="11">AI18*AT18</f>
        <v>0</v>
      </c>
      <c r="AT18" s="3388">
        <f>AR18*'JUN Statistics'!$C$11</f>
        <v>65.784432934131743</v>
      </c>
      <c r="AU18"/>
      <c r="AV18">
        <f>COUNTIFS($D18:$AG18,"8",$D$4:$AG$4,"0")</f>
        <v>1</v>
      </c>
      <c r="AW18">
        <f>COUNTIFS($D18:$AG18,"9",$D$4:$AG$4,"0")</f>
        <v>0</v>
      </c>
      <c r="AX18">
        <f>COUNTIFS($D18:$AG18,"8",$D$4:$AG$4,"1")</f>
        <v>0</v>
      </c>
      <c r="AY18" cm="1">
        <f t="array" ref="AY18">COUNTIFS($D18:$AG18,"9",$D$4:$AG$4,"1")+SUM(COUNTIFS($D18:$AG18,{"8","9"},$D$4:$AG$4,"2"))+COUNTIFS($D18:$AG18,"8",$D$4:$AG$4,"3")</f>
        <v>2</v>
      </c>
      <c r="AZ18">
        <f>COUNTIFS($D18:$AG18,"9",$D$4:$AG$4,"3")</f>
        <v>0</v>
      </c>
      <c r="BA18">
        <f t="shared" si="1"/>
        <v>3</v>
      </c>
      <c r="BB18">
        <f>AV18*'Spreadsheet Key'!$A$27+AW18*'Spreadsheet Key'!$A$28+AX18*'Spreadsheet Key'!$A$29+AY18*'Spreadsheet Key'!$A$30+AZ18*'Spreadsheet Key'!$A$31</f>
        <v>82</v>
      </c>
      <c r="BC18"/>
      <c r="BD18">
        <f t="shared" ref="BD18" si="12">AT18-BB18</f>
        <v>-16.215567065868257</v>
      </c>
    </row>
    <row r="19" spans="1:56">
      <c r="A19" s="3208"/>
      <c r="B19" s="3208"/>
      <c r="C19" s="3180" t="str">
        <f t="shared" si="0"/>
        <v xml:space="preserve"> </v>
      </c>
      <c r="D19" s="776"/>
      <c r="E19" s="776"/>
      <c r="F19" s="776"/>
      <c r="G19" s="776"/>
      <c r="H19" s="776"/>
      <c r="I19" s="776" t="s">
        <v>722</v>
      </c>
      <c r="K19" s="776"/>
      <c r="L19" s="776"/>
      <c r="M19" s="776"/>
      <c r="N19" s="776"/>
      <c r="O19" s="776"/>
      <c r="P19" s="776"/>
      <c r="Q19" s="776"/>
      <c r="R19" s="776"/>
      <c r="S19" s="776"/>
      <c r="T19" s="776" t="s">
        <v>722</v>
      </c>
      <c r="U19" s="776"/>
      <c r="V19" s="776"/>
      <c r="W19" s="785"/>
      <c r="X19" s="778" t="s">
        <v>722</v>
      </c>
      <c r="Y19" s="778"/>
      <c r="Z19" s="778"/>
      <c r="AA19" s="778"/>
      <c r="AB19" s="778"/>
      <c r="AC19" s="778"/>
      <c r="AD19" s="778"/>
      <c r="AE19" s="778"/>
      <c r="AF19" s="778"/>
      <c r="AG19" s="805"/>
      <c r="AH19" s="3233"/>
      <c r="AI19" s="3202"/>
      <c r="AT19" s="3388"/>
      <c r="AV19">
        <f>COUNTIFS($D19:$AG19,"8",$D$4:$AG$4,"0")</f>
        <v>0</v>
      </c>
      <c r="AW19">
        <f>COUNTIFS($D19:$AG19,"9",$D$4:$AG$4,"0")</f>
        <v>0</v>
      </c>
      <c r="AX19">
        <f>COUNTIFS($D19:$AG19,"8",$D$4:$AG$4,"1")</f>
        <v>0</v>
      </c>
      <c r="AY19" cm="1">
        <f t="array" ref="AY19">COUNTIFS($D19:$AG19,"9",$D$4:$AG$4,"1")+SUM(COUNTIFS($D19:$AG19,{"8","9"},$D$4:$AG$4,"2"))+COUNTIFS($D19:$AG19,"8",$D$4:$AG$4,"3")</f>
        <v>0</v>
      </c>
      <c r="AZ19">
        <f>COUNTIFS($D19:$AG19,"9",$D$4:$AG$4,"3")</f>
        <v>0</v>
      </c>
      <c r="BA19">
        <f t="shared" si="1"/>
        <v>0</v>
      </c>
      <c r="BB19">
        <f>AV19*'Spreadsheet Key'!$A$27+AW19*'Spreadsheet Key'!$A$28+AX19*'Spreadsheet Key'!$A$29+AY19*'Spreadsheet Key'!$A$30+AZ19*'Spreadsheet Key'!$A$31</f>
        <v>0</v>
      </c>
    </row>
    <row r="20" spans="1:56" s="3211" customFormat="1">
      <c r="A20" s="3421" t="s">
        <v>108</v>
      </c>
      <c r="B20" s="3180" t="s">
        <v>109</v>
      </c>
      <c r="C20" s="3180" t="str">
        <f t="shared" si="0"/>
        <v>OS1 TILLMAN</v>
      </c>
      <c r="D20" s="3386">
        <v>0</v>
      </c>
      <c r="E20" s="3386">
        <v>0</v>
      </c>
      <c r="F20" s="3386">
        <v>0</v>
      </c>
      <c r="G20" s="3386">
        <v>0</v>
      </c>
      <c r="H20" s="3386">
        <v>0</v>
      </c>
      <c r="I20" s="3386">
        <v>9</v>
      </c>
      <c r="J20" s="3386">
        <v>0</v>
      </c>
      <c r="K20" s="3386">
        <v>0</v>
      </c>
      <c r="L20" s="3386">
        <v>0</v>
      </c>
      <c r="M20" s="3386">
        <v>0</v>
      </c>
      <c r="N20" s="3386">
        <v>0</v>
      </c>
      <c r="O20" s="3386">
        <v>0</v>
      </c>
      <c r="P20" s="3386">
        <v>0</v>
      </c>
      <c r="Q20" s="3386">
        <v>0</v>
      </c>
      <c r="R20" s="3386">
        <v>0</v>
      </c>
      <c r="S20" s="3386">
        <v>0</v>
      </c>
      <c r="T20" s="3386">
        <v>9</v>
      </c>
      <c r="U20" s="3386">
        <v>0</v>
      </c>
      <c r="V20" s="3386">
        <v>0</v>
      </c>
      <c r="W20" s="3386">
        <v>0</v>
      </c>
      <c r="X20" s="3386">
        <v>9</v>
      </c>
      <c r="Y20" s="3386">
        <v>0</v>
      </c>
      <c r="Z20" s="3386">
        <v>0</v>
      </c>
      <c r="AA20" s="3386">
        <v>0</v>
      </c>
      <c r="AB20" s="3386">
        <v>0</v>
      </c>
      <c r="AC20" s="3386">
        <v>0</v>
      </c>
      <c r="AD20" s="3386">
        <v>0</v>
      </c>
      <c r="AE20" s="3386">
        <v>0</v>
      </c>
      <c r="AF20" s="3386">
        <v>0</v>
      </c>
      <c r="AG20" s="3386">
        <v>0</v>
      </c>
      <c r="AH20" s="3387"/>
      <c r="AI20" s="3202">
        <v>0</v>
      </c>
      <c r="AJ20" cm="1">
        <f t="array" ref="AJ20">SUM(COUNTIFS($D20:$AG20,{"0","4","5","6","7","8","9"}))</f>
        <v>30</v>
      </c>
      <c r="AK20" cm="1">
        <f t="array" ref="AK20">SUM(COUNTIFS($D20:$AG20,{"0","4","5","6","7","8","9"},$D$4:$AG$4,"0"))</f>
        <v>15</v>
      </c>
      <c r="AL20" cm="1">
        <f t="array" ref="AL20">SUM(COUNTIFS($D20:$AG20,{"0","4","5","6","7","8","9"},$D$4:$AG$4,"1"))</f>
        <v>4</v>
      </c>
      <c r="AM20" cm="1">
        <f t="array" ref="AM20">SUM(COUNTIFS($D20:$AG20,{"0","4","5","6","7","8","9"},$D$4:$AG$4,"2"))</f>
        <v>6</v>
      </c>
      <c r="AN20" cm="1">
        <f t="array" ref="AN20">SUM(COUNTIFS($D20:$AG20,{"0","4","5","6","7","8","9"},$D$4:$AG$4,"3"))</f>
        <v>5</v>
      </c>
      <c r="AO20" cm="1">
        <f t="array" ref="AO20">SUM(COUNTIFS($D20:$AG20,{"1","2","3"}))</f>
        <v>0</v>
      </c>
      <c r="AP20" cm="1">
        <f t="array" ref="AP20">SUM(COUNTIFS($D20:$AG20,{"4","5","6"}))</f>
        <v>0</v>
      </c>
      <c r="AQ20">
        <f>AK20*'Spreadsheet Key'!$A$23 + AL20*'Spreadsheet Key'!$A$24 + AM20*'Spreadsheet Key'!$A$25 + AN20*'Spreadsheet Key'!$A$26</f>
        <v>1258</v>
      </c>
      <c r="AR20">
        <f>AJ20/('JUN Statistics'!$B$30)*ABS(AI20-1)</f>
        <v>5.9880239520958084E-2</v>
      </c>
      <c r="AS20">
        <f t="shared" ref="AS20" si="13">AI20*AT20</f>
        <v>0</v>
      </c>
      <c r="AT20" s="3388">
        <f>AR20*'JUN Statistics'!$C$11</f>
        <v>73.09381437125748</v>
      </c>
      <c r="AU20"/>
      <c r="AV20">
        <f>COUNTIFS($D20:$AG20,"8",$D$4:$AG$4,"0")</f>
        <v>0</v>
      </c>
      <c r="AW20">
        <f>COUNTIFS($D20:$AG20,"9",$D$4:$AG$4,"0")</f>
        <v>1</v>
      </c>
      <c r="AX20">
        <f>COUNTIFS($D20:$AG20,"8",$D$4:$AG$4,"1")</f>
        <v>0</v>
      </c>
      <c r="AY20" cm="1">
        <f t="array" ref="AY20">COUNTIFS($D20:$AG20,"9",$D$4:$AG$4,"1")+SUM(COUNTIFS($D20:$AG20,{"8","9"},$D$4:$AG$4,"2"))+COUNTIFS($D20:$AG20,"8",$D$4:$AG$4,"3")</f>
        <v>2</v>
      </c>
      <c r="AZ20">
        <f>COUNTIFS($D20:$AG20,"9",$D$4:$AG$4,"3")</f>
        <v>0</v>
      </c>
      <c r="BA20">
        <f t="shared" si="1"/>
        <v>3</v>
      </c>
      <c r="BB20">
        <f>AV20*'Spreadsheet Key'!$A$27+AW20*'Spreadsheet Key'!$A$28+AX20*'Spreadsheet Key'!$A$29+AY20*'Spreadsheet Key'!$A$30+AZ20*'Spreadsheet Key'!$A$31</f>
        <v>84</v>
      </c>
      <c r="BC20"/>
      <c r="BD20">
        <f t="shared" ref="BD20" si="14">AT20-BB20</f>
        <v>-10.90618562874252</v>
      </c>
    </row>
    <row r="21" spans="1:56">
      <c r="A21" s="3208"/>
      <c r="B21" s="3208"/>
      <c r="C21" s="3180" t="str">
        <f t="shared" si="0"/>
        <v xml:space="preserve"> </v>
      </c>
      <c r="D21" s="778"/>
      <c r="F21" s="778"/>
      <c r="G21" s="2437"/>
      <c r="H21" s="778"/>
      <c r="I21" s="778"/>
      <c r="J21" s="780"/>
      <c r="K21" s="778"/>
      <c r="L21" s="778"/>
      <c r="M21" s="778"/>
      <c r="N21" s="2437"/>
      <c r="O21" s="778" t="s">
        <v>720</v>
      </c>
      <c r="Q21" s="904"/>
      <c r="R21" s="778"/>
      <c r="S21" s="778"/>
      <c r="T21" s="778"/>
      <c r="U21" s="785"/>
      <c r="V21" s="776"/>
      <c r="W21" s="6418" t="s">
        <v>1391</v>
      </c>
      <c r="X21" s="6418"/>
      <c r="Y21" s="6418"/>
      <c r="Z21" s="6418"/>
      <c r="AA21" s="6418"/>
      <c r="AB21" s="6418"/>
      <c r="AC21" s="6418"/>
      <c r="AD21" s="6418"/>
      <c r="AE21" s="6418"/>
      <c r="AF21" s="6418"/>
      <c r="AG21" s="6419"/>
      <c r="AH21" s="3233"/>
      <c r="AI21" s="3202"/>
      <c r="AT21" s="3388"/>
      <c r="AV21">
        <f>COUNTIFS($D21:$AG21,"8",$D$4:$AG$4,"0")</f>
        <v>0</v>
      </c>
      <c r="AW21">
        <f>COUNTIFS($D21:$AG21,"9",$D$4:$AG$4,"0")</f>
        <v>0</v>
      </c>
      <c r="AX21">
        <f>COUNTIFS($D21:$AG21,"8",$D$4:$AG$4,"1")</f>
        <v>0</v>
      </c>
      <c r="AY21" cm="1">
        <f t="array" ref="AY21">COUNTIFS($D21:$AG21,"9",$D$4:$AG$4,"1")+SUM(COUNTIFS($D21:$AG21,{"8","9"},$D$4:$AG$4,"2"))+COUNTIFS($D21:$AG21,"8",$D$4:$AG$4,"3")</f>
        <v>0</v>
      </c>
      <c r="AZ21">
        <f>COUNTIFS($D21:$AG21,"9",$D$4:$AG$4,"3")</f>
        <v>0</v>
      </c>
      <c r="BA21">
        <f t="shared" si="1"/>
        <v>0</v>
      </c>
      <c r="BB21">
        <f>AV21*'Spreadsheet Key'!$A$27+AW21*'Spreadsheet Key'!$A$28+AX21*'Spreadsheet Key'!$A$29+AY21*'Spreadsheet Key'!$A$30+AZ21*'Spreadsheet Key'!$A$31</f>
        <v>0</v>
      </c>
    </row>
    <row r="22" spans="1:56" s="3211" customFormat="1">
      <c r="A22" s="3424" t="s">
        <v>77</v>
      </c>
      <c r="B22" s="3187" t="s">
        <v>201</v>
      </c>
      <c r="C22" s="3180" t="str">
        <f t="shared" si="0"/>
        <v>LCDR HUNTLEY</v>
      </c>
      <c r="D22" s="3386">
        <v>0</v>
      </c>
      <c r="E22" s="3386">
        <v>0</v>
      </c>
      <c r="F22" s="3386">
        <v>0</v>
      </c>
      <c r="G22" s="3386">
        <v>0</v>
      </c>
      <c r="H22" s="3386">
        <v>0</v>
      </c>
      <c r="I22" s="3386">
        <v>0</v>
      </c>
      <c r="J22" s="3386">
        <v>0</v>
      </c>
      <c r="K22" s="3386">
        <v>0</v>
      </c>
      <c r="L22" s="3386">
        <v>0</v>
      </c>
      <c r="M22" s="3386">
        <v>0</v>
      </c>
      <c r="N22" s="3386">
        <v>0</v>
      </c>
      <c r="O22" s="3386">
        <v>8</v>
      </c>
      <c r="P22" s="3386">
        <v>0</v>
      </c>
      <c r="Q22" s="3386">
        <v>0</v>
      </c>
      <c r="R22" s="3386">
        <v>0</v>
      </c>
      <c r="S22" s="3386">
        <v>0</v>
      </c>
      <c r="T22" s="3386">
        <v>0</v>
      </c>
      <c r="U22" s="3386">
        <v>0</v>
      </c>
      <c r="V22" s="3386">
        <v>0</v>
      </c>
      <c r="W22" s="3386">
        <v>1</v>
      </c>
      <c r="X22" s="3386">
        <v>2</v>
      </c>
      <c r="Y22" s="3386">
        <v>2</v>
      </c>
      <c r="Z22" s="3386">
        <v>2</v>
      </c>
      <c r="AA22" s="3386">
        <v>2</v>
      </c>
      <c r="AB22" s="3386">
        <v>2</v>
      </c>
      <c r="AC22" s="3386">
        <v>2</v>
      </c>
      <c r="AD22" s="3386">
        <v>2</v>
      </c>
      <c r="AE22" s="3386">
        <v>2</v>
      </c>
      <c r="AF22" s="3386">
        <v>2</v>
      </c>
      <c r="AG22" s="3386">
        <v>2</v>
      </c>
      <c r="AH22" s="3387"/>
      <c r="AI22" s="3202">
        <v>1</v>
      </c>
      <c r="AJ22" cm="1">
        <f t="array" ref="AJ22">SUM(COUNTIFS($D22:$AG22,{"0","4","5","6","7","8","9"}))</f>
        <v>19</v>
      </c>
      <c r="AK22" cm="1">
        <f t="array" ref="AK22">SUM(COUNTIFS($D22:$AG22,{"0","4","5","6","7","8","9"},$D$4:$AG$4,"0"))</f>
        <v>10</v>
      </c>
      <c r="AL22" cm="1">
        <f t="array" ref="AL22">SUM(COUNTIFS($D22:$AG22,{"0","4","5","6","7","8","9"},$D$4:$AG$4,"1"))</f>
        <v>3</v>
      </c>
      <c r="AM22" cm="1">
        <f t="array" ref="AM22">SUM(COUNTIFS($D22:$AG22,{"0","4","5","6","7","8","9"},$D$4:$AG$4,"2"))</f>
        <v>3</v>
      </c>
      <c r="AN22" cm="1">
        <f t="array" ref="AN22">SUM(COUNTIFS($D22:$AG22,{"0","4","5","6","7","8","9"},$D$4:$AG$4,"3"))</f>
        <v>3</v>
      </c>
      <c r="AO22" cm="1">
        <f t="array" ref="AO22">SUM(COUNTIFS($D22:$AG22,{"1","2","3"}))</f>
        <v>11</v>
      </c>
      <c r="AP22" cm="1">
        <f t="array" ref="AP22">SUM(COUNTIFS($D22:$AG22,{"4","5","6"}))</f>
        <v>0</v>
      </c>
      <c r="AQ22">
        <f>AK22*'Spreadsheet Key'!$A$23 + AL22*'Spreadsheet Key'!$A$24 + AM22*'Spreadsheet Key'!$A$25 + AN22*'Spreadsheet Key'!$A$26</f>
        <v>766</v>
      </c>
      <c r="AR22">
        <f>AJ22/('JUN Statistics'!$B$30)*ABS(AI22-1)</f>
        <v>0</v>
      </c>
      <c r="AS22">
        <f t="shared" ref="AS22" si="15">AI22*AT22</f>
        <v>17.733333333333334</v>
      </c>
      <c r="AT22" s="3388">
        <f>(AJ22/'JUN Statistics'!$B$6)*'Spreadsheet Key'!$A$32</f>
        <v>17.733333333333334</v>
      </c>
      <c r="AU22"/>
      <c r="AV22">
        <f>COUNTIFS($D22:$AG22,"8",$D$4:$AG$4,"0")</f>
        <v>1</v>
      </c>
      <c r="AW22">
        <f>COUNTIFS($D22:$AG22,"9",$D$4:$AG$4,"0")</f>
        <v>0</v>
      </c>
      <c r="AX22">
        <f>COUNTIFS($D22:$AG22,"8",$D$4:$AG$4,"1")</f>
        <v>0</v>
      </c>
      <c r="AY22" cm="1">
        <f t="array" ref="AY22">COUNTIFS($D22:$AG22,"9",$D$4:$AG$4,"1")+SUM(COUNTIFS($D22:$AG22,{"8","9"},$D$4:$AG$4,"2"))+COUNTIFS($D22:$AG22,"8",$D$4:$AG$4,"3")</f>
        <v>0</v>
      </c>
      <c r="AZ22">
        <f>COUNTIFS($D22:$AG22,"9",$D$4:$AG$4,"3")</f>
        <v>0</v>
      </c>
      <c r="BA22">
        <f t="shared" si="1"/>
        <v>1</v>
      </c>
      <c r="BB22">
        <f>AV22*'Spreadsheet Key'!$A$27+AW22*'Spreadsheet Key'!$A$28+AX22*'Spreadsheet Key'!$A$29+AY22*'Spreadsheet Key'!$A$30+AZ22*'Spreadsheet Key'!$A$31</f>
        <v>10</v>
      </c>
      <c r="BC22"/>
      <c r="BD22">
        <f t="shared" ref="BD22" si="16">AT22-BB22</f>
        <v>7.7333333333333343</v>
      </c>
    </row>
    <row r="23" spans="1:56">
      <c r="A23" s="3212"/>
      <c r="B23" s="3212"/>
      <c r="C23" s="3180" t="str">
        <f t="shared" si="0"/>
        <v xml:space="preserve"> </v>
      </c>
      <c r="D23" s="3418" t="s">
        <v>1392</v>
      </c>
      <c r="E23" s="3264"/>
      <c r="F23" s="3264"/>
      <c r="G23" s="3259"/>
      <c r="H23" s="3260"/>
      <c r="I23" s="2677"/>
      <c r="J23" s="2677"/>
      <c r="K23" s="3264"/>
      <c r="L23" s="3265"/>
      <c r="M23" s="3264"/>
      <c r="N23" s="3264"/>
      <c r="O23" s="3259"/>
      <c r="P23" s="3260"/>
      <c r="Q23" s="2677"/>
      <c r="R23" s="2677"/>
      <c r="S23" s="2677"/>
      <c r="T23" s="2551"/>
      <c r="U23" s="2677"/>
      <c r="V23" s="2677"/>
      <c r="W23" s="2677"/>
      <c r="X23" s="2551"/>
      <c r="Y23" s="6305" t="s">
        <v>1284</v>
      </c>
      <c r="Z23" s="6306"/>
      <c r="AA23" s="6306"/>
      <c r="AB23" s="6307"/>
      <c r="AC23" s="3259"/>
      <c r="AD23" s="3259"/>
      <c r="AE23" s="3259"/>
      <c r="AF23" s="3259"/>
      <c r="AG23" s="3261"/>
      <c r="AH23" s="3233"/>
      <c r="AI23" s="3202"/>
      <c r="AT23" s="3388"/>
      <c r="AV23">
        <f>COUNTIFS($D23:$AG23,"8",$D$4:$AG$4,"0")</f>
        <v>0</v>
      </c>
      <c r="AW23">
        <f>COUNTIFS($D23:$AG23,"9",$D$4:$AG$4,"0")</f>
        <v>0</v>
      </c>
      <c r="AX23">
        <f>COUNTIFS($D23:$AG23,"8",$D$4:$AG$4,"1")</f>
        <v>0</v>
      </c>
      <c r="AY23" cm="1">
        <f t="array" ref="AY23">COUNTIFS($D23:$AG23,"9",$D$4:$AG$4,"1")+SUM(COUNTIFS($D23:$AG23,{"8","9"},$D$4:$AG$4,"2"))+COUNTIFS($D23:$AG23,"8",$D$4:$AG$4,"3")</f>
        <v>0</v>
      </c>
      <c r="AZ23">
        <f>COUNTIFS($D23:$AG23,"9",$D$4:$AG$4,"3")</f>
        <v>0</v>
      </c>
      <c r="BA23">
        <f t="shared" si="1"/>
        <v>0</v>
      </c>
      <c r="BB23">
        <f>AV23*'Spreadsheet Key'!$A$27+AW23*'Spreadsheet Key'!$A$28+AX23*'Spreadsheet Key'!$A$29+AY23*'Spreadsheet Key'!$A$30+AZ23*'Spreadsheet Key'!$A$31</f>
        <v>0</v>
      </c>
    </row>
    <row r="24" spans="1:56" s="3211" customFormat="1">
      <c r="A24" s="3187" t="s">
        <v>283</v>
      </c>
      <c r="B24" s="3187" t="s">
        <v>610</v>
      </c>
      <c r="C24" s="3180" t="str">
        <f t="shared" si="0"/>
        <v>LCDR  DESPOTA</v>
      </c>
      <c r="D24" s="3386">
        <v>2</v>
      </c>
      <c r="E24" s="3386">
        <v>2</v>
      </c>
      <c r="F24" s="3386">
        <v>2</v>
      </c>
      <c r="G24" s="3386">
        <v>2</v>
      </c>
      <c r="H24" s="3386">
        <v>2</v>
      </c>
      <c r="I24" s="3386">
        <v>2</v>
      </c>
      <c r="J24" s="3386">
        <v>2</v>
      </c>
      <c r="K24" s="3386">
        <v>2</v>
      </c>
      <c r="L24" s="3386">
        <v>2</v>
      </c>
      <c r="M24" s="3386">
        <v>2</v>
      </c>
      <c r="N24" s="3386">
        <v>2</v>
      </c>
      <c r="O24" s="3386">
        <v>2</v>
      </c>
      <c r="P24" s="3386">
        <v>2</v>
      </c>
      <c r="Q24" s="3386">
        <v>2</v>
      </c>
      <c r="R24" s="3386">
        <v>2</v>
      </c>
      <c r="S24" s="3386">
        <v>2</v>
      </c>
      <c r="T24" s="3386">
        <v>2</v>
      </c>
      <c r="U24" s="3386">
        <v>2</v>
      </c>
      <c r="V24" s="3386">
        <v>2</v>
      </c>
      <c r="W24" s="3386">
        <v>2</v>
      </c>
      <c r="X24" s="3386">
        <v>2</v>
      </c>
      <c r="Y24" s="3386">
        <v>2</v>
      </c>
      <c r="Z24" s="3386">
        <v>2</v>
      </c>
      <c r="AA24" s="3386">
        <v>2</v>
      </c>
      <c r="AB24" s="3386">
        <v>2</v>
      </c>
      <c r="AC24" s="3386">
        <v>2</v>
      </c>
      <c r="AD24" s="3386">
        <v>2</v>
      </c>
      <c r="AE24" s="3386">
        <v>2</v>
      </c>
      <c r="AF24" s="3386">
        <v>2</v>
      </c>
      <c r="AG24" s="3386">
        <v>2</v>
      </c>
      <c r="AH24" s="3387"/>
      <c r="AI24" s="3202">
        <v>1</v>
      </c>
      <c r="AJ24" cm="1">
        <f t="array" ref="AJ24">SUM(COUNTIFS($D24:$AG24,{"0","4","5","6","7","8","9"}))</f>
        <v>0</v>
      </c>
      <c r="AK24" cm="1">
        <f t="array" ref="AK24">SUM(COUNTIFS($D24:$AG24,{"0","4","5","6","7","8","9"},$D$4:$AG$4,"0"))</f>
        <v>0</v>
      </c>
      <c r="AL24" cm="1">
        <f t="array" ref="AL24">SUM(COUNTIFS($D24:$AG24,{"0","4","5","6","7","8","9"},$D$4:$AG$4,"1"))</f>
        <v>0</v>
      </c>
      <c r="AM24" cm="1">
        <f t="array" ref="AM24">SUM(COUNTIFS($D24:$AG24,{"0","4","5","6","7","8","9"},$D$4:$AG$4,"2"))</f>
        <v>0</v>
      </c>
      <c r="AN24" cm="1">
        <f t="array" ref="AN24">SUM(COUNTIFS($D24:$AG24,{"0","4","5","6","7","8","9"},$D$4:$AG$4,"3"))</f>
        <v>0</v>
      </c>
      <c r="AO24" cm="1">
        <f t="array" ref="AO24">SUM(COUNTIFS($D24:$AG24,{"1","2","3"}))</f>
        <v>30</v>
      </c>
      <c r="AP24" cm="1">
        <f t="array" ref="AP24">SUM(COUNTIFS($D24:$AG24,{"4","5","6"}))</f>
        <v>0</v>
      </c>
      <c r="AQ24">
        <f>AK24*'Spreadsheet Key'!$A$23 + AL24*'Spreadsheet Key'!$A$24 + AM24*'Spreadsheet Key'!$A$25 + AN24*'Spreadsheet Key'!$A$26</f>
        <v>0</v>
      </c>
      <c r="AR24">
        <f>AJ24/('JUN Statistics'!$B$30)*ABS(AI24-1)</f>
        <v>0</v>
      </c>
      <c r="AS24">
        <f>AI24*AT24</f>
        <v>0</v>
      </c>
      <c r="AT24" s="3388">
        <f>(AJ24/'JUN Statistics'!$B$6)*'Spreadsheet Key'!$A$32</f>
        <v>0</v>
      </c>
      <c r="AU24"/>
      <c r="AV24">
        <f>COUNTIFS($D24:$AG24,"8",$D$4:$AG$4,"0")</f>
        <v>0</v>
      </c>
      <c r="AW24">
        <f>COUNTIFS($D24:$AG24,"9",$D$4:$AG$4,"0")</f>
        <v>0</v>
      </c>
      <c r="AX24">
        <f>COUNTIFS($D24:$AG24,"8",$D$4:$AG$4,"1")</f>
        <v>0</v>
      </c>
      <c r="AY24" cm="1">
        <f t="array" ref="AY24">COUNTIFS($D24:$AG24,"9",$D$4:$AG$4,"1")+SUM(COUNTIFS($D24:$AG24,{"8","9"},$D$4:$AG$4,"2"))+COUNTIFS($D24:$AG24,"8",$D$4:$AG$4,"3")</f>
        <v>0</v>
      </c>
      <c r="AZ24">
        <f>COUNTIFS($D24:$AG24,"9",$D$4:$AG$4,"3")</f>
        <v>0</v>
      </c>
      <c r="BA24">
        <f t="shared" si="1"/>
        <v>0</v>
      </c>
      <c r="BB24">
        <f>AV24*'Spreadsheet Key'!$A$27+AW24*'Spreadsheet Key'!$A$28+AX24*'Spreadsheet Key'!$A$29+AY24*'Spreadsheet Key'!$A$30+AZ24*'Spreadsheet Key'!$A$31</f>
        <v>0</v>
      </c>
      <c r="BC24"/>
      <c r="BD24">
        <f t="shared" ref="BD24" si="17">AT24-BB24</f>
        <v>0</v>
      </c>
    </row>
    <row r="25" spans="1:56">
      <c r="A25" s="3212"/>
      <c r="B25" s="3212"/>
      <c r="C25" s="3180" t="str">
        <f t="shared" si="0"/>
        <v xml:space="preserve"> </v>
      </c>
      <c r="D25" s="904"/>
      <c r="E25" s="904"/>
      <c r="F25" s="904"/>
      <c r="G25" s="904"/>
      <c r="H25" s="904"/>
      <c r="I25" s="904"/>
      <c r="J25" s="780"/>
      <c r="K25" s="904" t="s">
        <v>720</v>
      </c>
      <c r="L25" s="904"/>
      <c r="M25" s="904"/>
      <c r="N25" s="904"/>
      <c r="P25" s="904"/>
      <c r="Q25" s="904"/>
      <c r="R25" s="904"/>
      <c r="S25" s="904"/>
      <c r="T25" s="904"/>
      <c r="U25" s="2" t="s">
        <v>722</v>
      </c>
      <c r="V25" s="2"/>
      <c r="W25" s="904"/>
      <c r="X25" s="904"/>
      <c r="Y25" s="904"/>
      <c r="Z25" s="904"/>
      <c r="AA25" s="904"/>
      <c r="AB25" s="904"/>
      <c r="AC25" s="904"/>
      <c r="AD25" s="904"/>
      <c r="AE25" s="904" t="s">
        <v>722</v>
      </c>
      <c r="AF25" s="904"/>
      <c r="AG25" s="904"/>
      <c r="AH25" s="3233"/>
      <c r="AI25" s="3202"/>
      <c r="AT25" s="3388"/>
      <c r="AV25">
        <f>COUNTIFS($D25:$AG25,"8",$D$4:$AG$4,"0")</f>
        <v>0</v>
      </c>
      <c r="AW25">
        <f>COUNTIFS($D25:$AG25,"9",$D$4:$AG$4,"0")</f>
        <v>0</v>
      </c>
      <c r="AX25">
        <f>COUNTIFS($D25:$AG25,"8",$D$4:$AG$4,"1")</f>
        <v>0</v>
      </c>
      <c r="AY25" cm="1">
        <f t="array" ref="AY25">COUNTIFS($D25:$AG25,"9",$D$4:$AG$4,"1")+SUM(COUNTIFS($D25:$AG25,{"8","9"},$D$4:$AG$4,"2"))+COUNTIFS($D25:$AG25,"8",$D$4:$AG$4,"3")</f>
        <v>0</v>
      </c>
      <c r="AZ25">
        <f>COUNTIFS($D25:$AG25,"9",$D$4:$AG$4,"3")</f>
        <v>0</v>
      </c>
      <c r="BA25">
        <f t="shared" si="1"/>
        <v>0</v>
      </c>
      <c r="BB25">
        <f>AV25*'Spreadsheet Key'!$A$27+AW25*'Spreadsheet Key'!$A$28+AX25*'Spreadsheet Key'!$A$29+AY25*'Spreadsheet Key'!$A$30+AZ25*'Spreadsheet Key'!$A$31</f>
        <v>0</v>
      </c>
    </row>
    <row r="26" spans="1:56" s="3211" customFormat="1">
      <c r="A26" s="3422" t="s">
        <v>122</v>
      </c>
      <c r="B26" s="3187" t="s">
        <v>553</v>
      </c>
      <c r="C26" s="3180" t="str">
        <f t="shared" si="0"/>
        <v>ENC TRAN</v>
      </c>
      <c r="D26" s="3386">
        <v>0</v>
      </c>
      <c r="E26" s="3386">
        <v>0</v>
      </c>
      <c r="F26" s="3386">
        <v>0</v>
      </c>
      <c r="G26" s="3386">
        <v>0</v>
      </c>
      <c r="H26" s="3386">
        <v>0</v>
      </c>
      <c r="I26" s="3386">
        <v>0</v>
      </c>
      <c r="J26" s="3386">
        <v>0</v>
      </c>
      <c r="K26" s="3386">
        <v>8</v>
      </c>
      <c r="L26" s="3386">
        <v>0</v>
      </c>
      <c r="M26" s="3386">
        <v>0</v>
      </c>
      <c r="N26" s="3386">
        <v>0</v>
      </c>
      <c r="O26" s="3386">
        <v>0</v>
      </c>
      <c r="P26" s="3386">
        <v>0</v>
      </c>
      <c r="Q26" s="3386">
        <v>0</v>
      </c>
      <c r="R26" s="3386">
        <v>0</v>
      </c>
      <c r="S26" s="3386">
        <v>0</v>
      </c>
      <c r="T26" s="3386">
        <v>0</v>
      </c>
      <c r="U26" s="3386">
        <v>9</v>
      </c>
      <c r="V26" s="3386">
        <v>0</v>
      </c>
      <c r="W26" s="3386">
        <v>0</v>
      </c>
      <c r="X26" s="3386">
        <v>0</v>
      </c>
      <c r="Y26" s="3386">
        <v>0</v>
      </c>
      <c r="Z26" s="3386">
        <v>0</v>
      </c>
      <c r="AA26" s="3386">
        <v>0</v>
      </c>
      <c r="AB26" s="3386">
        <v>0</v>
      </c>
      <c r="AC26" s="3386">
        <v>0</v>
      </c>
      <c r="AD26" s="3386">
        <v>0</v>
      </c>
      <c r="AE26" s="3386">
        <v>9</v>
      </c>
      <c r="AF26" s="3386">
        <v>0</v>
      </c>
      <c r="AG26" s="3386">
        <v>0</v>
      </c>
      <c r="AH26" s="3387"/>
      <c r="AI26" s="3202">
        <v>0</v>
      </c>
      <c r="AJ26" cm="1">
        <f t="array" ref="AJ26">SUM(COUNTIFS($D26:$AG26,{"0","4","5","6","7","8","9"}))</f>
        <v>30</v>
      </c>
      <c r="AK26" cm="1">
        <f t="array" ref="AK26">SUM(COUNTIFS($D26:$AG26,{"0","4","5","6","7","8","9"},$D$4:$AG$4,"0"))</f>
        <v>15</v>
      </c>
      <c r="AL26" cm="1">
        <f t="array" ref="AL26">SUM(COUNTIFS($D26:$AG26,{"0","4","5","6","7","8","9"},$D$4:$AG$4,"1"))</f>
        <v>4</v>
      </c>
      <c r="AM26" cm="1">
        <f t="array" ref="AM26">SUM(COUNTIFS($D26:$AG26,{"0","4","5","6","7","8","9"},$D$4:$AG$4,"2"))</f>
        <v>6</v>
      </c>
      <c r="AN26" cm="1">
        <f t="array" ref="AN26">SUM(COUNTIFS($D26:$AG26,{"0","4","5","6","7","8","9"},$D$4:$AG$4,"3"))</f>
        <v>5</v>
      </c>
      <c r="AO26" cm="1">
        <f t="array" ref="AO26">SUM(COUNTIFS($D26:$AG26,{"1","2","3"}))</f>
        <v>0</v>
      </c>
      <c r="AP26" cm="1">
        <f t="array" ref="AP26">SUM(COUNTIFS($D26:$AG26,{"4","5","6"}))</f>
        <v>0</v>
      </c>
      <c r="AQ26">
        <f>AK26*'Spreadsheet Key'!$A$23 + AL26*'Spreadsheet Key'!$A$24 + AM26*'Spreadsheet Key'!$A$25 + AN26*'Spreadsheet Key'!$A$26</f>
        <v>1258</v>
      </c>
      <c r="AR26">
        <f>AJ26/('JUN Statistics'!$B$30)*ABS(AI26-1)</f>
        <v>5.9880239520958084E-2</v>
      </c>
      <c r="AS26">
        <f t="shared" ref="AS26" si="18">AI26*AT26</f>
        <v>0</v>
      </c>
      <c r="AT26" s="3388">
        <f>AR26*'JUN Statistics'!$C$11</f>
        <v>73.09381437125748</v>
      </c>
      <c r="AU26"/>
      <c r="AV26">
        <f>COUNTIFS($D26:$AG26,"8",$D$4:$AG$4,"0")</f>
        <v>0</v>
      </c>
      <c r="AW26">
        <f>COUNTIFS($D26:$AG26,"9",$D$4:$AG$4,"0")</f>
        <v>0</v>
      </c>
      <c r="AX26">
        <f>COUNTIFS($D26:$AG26,"8",$D$4:$AG$4,"1")</f>
        <v>0</v>
      </c>
      <c r="AY26" cm="1">
        <f t="array" ref="AY26">COUNTIFS($D26:$AG26,"9",$D$4:$AG$4,"1")+SUM(COUNTIFS($D26:$AG26,{"8","9"},$D$4:$AG$4,"2"))+COUNTIFS($D26:$AG26,"8",$D$4:$AG$4,"3")</f>
        <v>3</v>
      </c>
      <c r="AZ26">
        <f>COUNTIFS($D26:$AG26,"9",$D$4:$AG$4,"3")</f>
        <v>0</v>
      </c>
      <c r="BA26">
        <f t="shared" si="1"/>
        <v>3</v>
      </c>
      <c r="BB26">
        <f>AV26*'Spreadsheet Key'!$A$27+AW26*'Spreadsheet Key'!$A$28+AX26*'Spreadsheet Key'!$A$29+AY26*'Spreadsheet Key'!$A$30+AZ26*'Spreadsheet Key'!$A$31</f>
        <v>108</v>
      </c>
      <c r="BC26"/>
      <c r="BD26">
        <f t="shared" ref="BD26" si="19">AT26-BB26</f>
        <v>-34.90618562874252</v>
      </c>
    </row>
    <row r="27" spans="1:56">
      <c r="A27" s="3212"/>
      <c r="B27" s="3181"/>
      <c r="C27" s="3180" t="str">
        <f t="shared" si="0"/>
        <v xml:space="preserve"> </v>
      </c>
      <c r="D27" s="6436" t="s">
        <v>1393</v>
      </c>
      <c r="E27" s="6437"/>
      <c r="F27" s="6437"/>
      <c r="G27" s="6437"/>
      <c r="H27" s="6437"/>
      <c r="I27" s="6437"/>
      <c r="J27" s="6437"/>
      <c r="K27" s="6437"/>
      <c r="L27" s="6437"/>
      <c r="M27" s="6437"/>
      <c r="N27" s="6437"/>
      <c r="O27" s="6437"/>
      <c r="P27" s="6437"/>
      <c r="Q27" s="6437"/>
      <c r="R27" s="6437"/>
      <c r="S27" s="6438"/>
      <c r="T27" s="3675" t="s">
        <v>1387</v>
      </c>
      <c r="U27" s="3391" t="s">
        <v>1386</v>
      </c>
      <c r="V27" s="2">
        <v>0</v>
      </c>
      <c r="W27" s="2" t="s">
        <v>722</v>
      </c>
      <c r="X27" s="2"/>
      <c r="Y27" s="2"/>
      <c r="Z27" s="2"/>
      <c r="AA27" s="2"/>
      <c r="AB27" s="2"/>
      <c r="AC27" s="2"/>
      <c r="AD27" s="2"/>
      <c r="AE27" s="2"/>
      <c r="AF27" s="2"/>
      <c r="AG27" s="696"/>
      <c r="AH27" s="3233"/>
      <c r="AI27" s="3202"/>
      <c r="AT27" s="3388"/>
      <c r="AV27">
        <f>COUNTIFS($D27:$AG27,"8",$D$4:$AG$4,"0")</f>
        <v>0</v>
      </c>
      <c r="AW27">
        <f>COUNTIFS($D27:$AG27,"9",$D$4:$AG$4,"0")</f>
        <v>0</v>
      </c>
      <c r="AX27">
        <f>COUNTIFS($D27:$AG27,"8",$D$4:$AG$4,"1")</f>
        <v>0</v>
      </c>
      <c r="AY27" cm="1">
        <f t="array" ref="AY27">COUNTIFS($D27:$AG27,"9",$D$4:$AG$4,"1")+SUM(COUNTIFS($D27:$AG27,{"8","9"},$D$4:$AG$4,"2"))+COUNTIFS($D27:$AG27,"8",$D$4:$AG$4,"3")</f>
        <v>0</v>
      </c>
      <c r="AZ27">
        <f>COUNTIFS($D27:$AG27,"9",$D$4:$AG$4,"3")</f>
        <v>0</v>
      </c>
      <c r="BA27">
        <f t="shared" si="1"/>
        <v>0</v>
      </c>
      <c r="BB27">
        <f>AV27*'Spreadsheet Key'!$A$27+AW27*'Spreadsheet Key'!$A$28+AX27*'Spreadsheet Key'!$A$29+AY27*'Spreadsheet Key'!$A$30+AZ27*'Spreadsheet Key'!$A$31</f>
        <v>0</v>
      </c>
    </row>
    <row r="28" spans="1:56" s="3211" customFormat="1">
      <c r="A28" s="3187" t="s">
        <v>293</v>
      </c>
      <c r="B28" s="3187" t="s">
        <v>733</v>
      </c>
      <c r="C28" s="3180" t="str">
        <f t="shared" si="0"/>
        <v>EMC DAVES</v>
      </c>
      <c r="D28" s="3386">
        <v>2</v>
      </c>
      <c r="E28" s="3386">
        <v>2</v>
      </c>
      <c r="F28" s="3386">
        <v>2</v>
      </c>
      <c r="G28" s="3386">
        <v>2</v>
      </c>
      <c r="H28" s="3386">
        <v>2</v>
      </c>
      <c r="I28" s="3386">
        <v>2</v>
      </c>
      <c r="J28" s="3386">
        <v>2</v>
      </c>
      <c r="K28" s="3386">
        <v>2</v>
      </c>
      <c r="L28" s="3386">
        <v>2</v>
      </c>
      <c r="M28" s="3386">
        <v>2</v>
      </c>
      <c r="N28" s="3386">
        <v>2</v>
      </c>
      <c r="O28" s="3386">
        <v>2</v>
      </c>
      <c r="P28" s="3386">
        <v>2</v>
      </c>
      <c r="Q28" s="3386">
        <v>2</v>
      </c>
      <c r="R28" s="3386">
        <v>2</v>
      </c>
      <c r="S28" s="3386">
        <v>2</v>
      </c>
      <c r="T28" s="3386">
        <v>2</v>
      </c>
      <c r="U28" s="3386">
        <v>3</v>
      </c>
      <c r="V28" s="3386">
        <v>0</v>
      </c>
      <c r="W28" s="3386">
        <v>9</v>
      </c>
      <c r="X28" s="3386">
        <v>0</v>
      </c>
      <c r="Y28" s="3386">
        <v>0</v>
      </c>
      <c r="Z28" s="3386">
        <v>0</v>
      </c>
      <c r="AA28" s="3386">
        <v>0</v>
      </c>
      <c r="AB28" s="3386">
        <v>0</v>
      </c>
      <c r="AC28" s="3386">
        <v>0</v>
      </c>
      <c r="AD28" s="3386">
        <v>0</v>
      </c>
      <c r="AE28" s="3386">
        <v>0</v>
      </c>
      <c r="AF28" s="3386">
        <v>0</v>
      </c>
      <c r="AG28" s="3386">
        <v>0</v>
      </c>
      <c r="AH28" s="3387"/>
      <c r="AI28" s="3202">
        <v>0</v>
      </c>
      <c r="AJ28" cm="1">
        <f t="array" ref="AJ28">SUM(COUNTIFS($D28:$AG28,{"0","4","5","6","7","8","9"}))</f>
        <v>12</v>
      </c>
      <c r="AK28" cm="1">
        <f t="array" ref="AK28">SUM(COUNTIFS($D28:$AG28,{"0","4","5","6","7","8","9"},$D$4:$AG$4,"0"))</f>
        <v>5</v>
      </c>
      <c r="AL28" cm="1">
        <f t="array" ref="AL28">SUM(COUNTIFS($D28:$AG28,{"0","4","5","6","7","8","9"},$D$4:$AG$4,"1"))</f>
        <v>1</v>
      </c>
      <c r="AM28" cm="1">
        <f t="array" ref="AM28">SUM(COUNTIFS($D28:$AG28,{"0","4","5","6","7","8","9"},$D$4:$AG$4,"2"))</f>
        <v>4</v>
      </c>
      <c r="AN28" cm="1">
        <f t="array" ref="AN28">SUM(COUNTIFS($D28:$AG28,{"0","4","5","6","7","8","9"},$D$4:$AG$4,"3"))</f>
        <v>2</v>
      </c>
      <c r="AO28" cm="1">
        <f t="array" ref="AO28">SUM(COUNTIFS($D28:$AG28,{"1","2","3"}))</f>
        <v>18</v>
      </c>
      <c r="AP28" cm="1">
        <f t="array" ref="AP28">SUM(COUNTIFS($D28:$AG28,{"4","5","6"}))</f>
        <v>0</v>
      </c>
      <c r="AQ28">
        <f>AK28*'Spreadsheet Key'!$A$23 + AL28*'Spreadsheet Key'!$A$24 + AM28*'Spreadsheet Key'!$A$25 + AN28*'Spreadsheet Key'!$A$26</f>
        <v>564</v>
      </c>
      <c r="AR28">
        <f>AJ28/('JUN Statistics'!$B$30)*ABS(AI28-1)</f>
        <v>2.3952095808383235E-2</v>
      </c>
      <c r="AS28">
        <f t="shared" ref="AS28" si="20">AI28*AT28</f>
        <v>0</v>
      </c>
      <c r="AT28" s="3388">
        <f>AR28*'JUN Statistics'!$C$11</f>
        <v>29.237525748502996</v>
      </c>
      <c r="AU28"/>
      <c r="AV28">
        <f>COUNTIFS($D28:$AG28,"8",$D$4:$AG$4,"0")</f>
        <v>0</v>
      </c>
      <c r="AW28">
        <f>COUNTIFS($D28:$AG28,"9",$D$4:$AG$4,"0")</f>
        <v>0</v>
      </c>
      <c r="AX28">
        <f>COUNTIFS($D28:$AG28,"8",$D$4:$AG$4,"1")</f>
        <v>0</v>
      </c>
      <c r="AY28" cm="1">
        <f t="array" ref="AY28">COUNTIFS($D28:$AG28,"9",$D$4:$AG$4,"1")+SUM(COUNTIFS($D28:$AG28,{"8","9"},$D$4:$AG$4,"2"))+COUNTIFS($D28:$AG28,"8",$D$4:$AG$4,"3")</f>
        <v>1</v>
      </c>
      <c r="AZ28">
        <f>COUNTIFS($D28:$AG28,"9",$D$4:$AG$4,"3")</f>
        <v>0</v>
      </c>
      <c r="BA28">
        <f t="shared" si="1"/>
        <v>1</v>
      </c>
      <c r="BB28">
        <f>AV28*'Spreadsheet Key'!$A$27+AW28*'Spreadsheet Key'!$A$28+AX28*'Spreadsheet Key'!$A$29+AY28*'Spreadsheet Key'!$A$30+AZ28*'Spreadsheet Key'!$A$31</f>
        <v>36</v>
      </c>
      <c r="BC28"/>
      <c r="BD28">
        <f t="shared" ref="BD28" si="21">AT28-BB28</f>
        <v>-6.7624742514970038</v>
      </c>
    </row>
    <row r="29" spans="1:56">
      <c r="A29" s="3212"/>
      <c r="B29" s="3212"/>
      <c r="C29" s="3180" t="str">
        <f t="shared" si="0"/>
        <v xml:space="preserve"> </v>
      </c>
      <c r="D29" s="6439" t="s">
        <v>1394</v>
      </c>
      <c r="E29" s="6440"/>
      <c r="F29" s="6440"/>
      <c r="G29" s="6440"/>
      <c r="H29" s="6440"/>
      <c r="I29" s="6440"/>
      <c r="J29" s="6440"/>
      <c r="K29" s="6440"/>
      <c r="L29" s="6440"/>
      <c r="M29" s="3391" t="s">
        <v>1386</v>
      </c>
      <c r="N29" s="2"/>
      <c r="O29" s="2"/>
      <c r="P29" s="2"/>
      <c r="Q29" s="2"/>
      <c r="R29" s="2"/>
      <c r="S29" s="2"/>
      <c r="T29" s="2"/>
      <c r="U29" s="2"/>
      <c r="V29" s="2" t="s">
        <v>722</v>
      </c>
      <c r="W29" s="2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776" t="s">
        <v>720</v>
      </c>
      <c r="AH29" s="3233"/>
      <c r="AI29" s="3202"/>
      <c r="AT29" s="3388"/>
      <c r="AV29">
        <f>COUNTIFS($D29:$AG29,"8",$D$4:$AG$4,"0")</f>
        <v>0</v>
      </c>
      <c r="AW29">
        <f>COUNTIFS($D29:$AG29,"9",$D$4:$AG$4,"0")</f>
        <v>0</v>
      </c>
      <c r="AX29">
        <f>COUNTIFS($D29:$AG29,"8",$D$4:$AG$4,"1")</f>
        <v>0</v>
      </c>
      <c r="AY29" cm="1">
        <f t="array" ref="AY29">COUNTIFS($D29:$AG29,"9",$D$4:$AG$4,"1")+SUM(COUNTIFS($D29:$AG29,{"8","9"},$D$4:$AG$4,"2"))+COUNTIFS($D29:$AG29,"8",$D$4:$AG$4,"3")</f>
        <v>0</v>
      </c>
      <c r="AZ29">
        <f>COUNTIFS($D29:$AG29,"9",$D$4:$AG$4,"3")</f>
        <v>0</v>
      </c>
      <c r="BA29">
        <f t="shared" si="1"/>
        <v>0</v>
      </c>
      <c r="BB29">
        <f>AV29*'Spreadsheet Key'!$A$27+AW29*'Spreadsheet Key'!$A$28+AX29*'Spreadsheet Key'!$A$29+AY29*'Spreadsheet Key'!$A$30+AZ29*'Spreadsheet Key'!$A$31</f>
        <v>0</v>
      </c>
    </row>
    <row r="30" spans="1:56" s="3211" customFormat="1">
      <c r="A30" s="3187" t="s">
        <v>692</v>
      </c>
      <c r="B30" s="3187" t="s">
        <v>693</v>
      </c>
      <c r="C30" s="3180" t="str">
        <f t="shared" si="0"/>
        <v>GSMC MCKEOWN</v>
      </c>
      <c r="D30" s="3386">
        <v>2</v>
      </c>
      <c r="E30" s="3386">
        <v>2</v>
      </c>
      <c r="F30" s="3386">
        <v>2</v>
      </c>
      <c r="G30" s="3386">
        <v>2</v>
      </c>
      <c r="H30" s="3386">
        <v>2</v>
      </c>
      <c r="I30" s="3386">
        <v>2</v>
      </c>
      <c r="J30" s="3386">
        <v>2</v>
      </c>
      <c r="K30" s="3386">
        <v>2</v>
      </c>
      <c r="L30" s="3386">
        <v>2</v>
      </c>
      <c r="M30" s="3386">
        <v>3</v>
      </c>
      <c r="N30" s="3386">
        <v>0</v>
      </c>
      <c r="O30" s="3386">
        <v>0</v>
      </c>
      <c r="P30" s="3386">
        <v>0</v>
      </c>
      <c r="Q30" s="3386">
        <v>0</v>
      </c>
      <c r="R30" s="3386">
        <v>0</v>
      </c>
      <c r="S30" s="3386">
        <v>0</v>
      </c>
      <c r="T30" s="3386">
        <v>0</v>
      </c>
      <c r="U30" s="3386">
        <v>0</v>
      </c>
      <c r="V30" s="3386">
        <v>9</v>
      </c>
      <c r="W30" s="3386">
        <v>0</v>
      </c>
      <c r="X30" s="3386">
        <v>0</v>
      </c>
      <c r="Y30" s="3386">
        <v>0</v>
      </c>
      <c r="Z30" s="3386">
        <v>0</v>
      </c>
      <c r="AA30" s="3386">
        <v>0</v>
      </c>
      <c r="AB30" s="3386">
        <v>0</v>
      </c>
      <c r="AC30" s="3386">
        <v>0</v>
      </c>
      <c r="AD30" s="3386">
        <v>0</v>
      </c>
      <c r="AE30" s="3386">
        <v>0</v>
      </c>
      <c r="AF30" s="3386">
        <v>0</v>
      </c>
      <c r="AG30" s="3386">
        <v>8</v>
      </c>
      <c r="AH30" s="3387"/>
      <c r="AI30" s="3202">
        <v>0</v>
      </c>
      <c r="AJ30" cm="1">
        <f t="array" ref="AJ30">SUM(COUNTIFS($D30:$AG30,{"0","4","5","6","7","8","9"}))</f>
        <v>20</v>
      </c>
      <c r="AK30" cm="1">
        <f t="array" ref="AK30">SUM(COUNTIFS($D30:$AG30,{"0","4","5","6","7","8","9"},$D$4:$AG$4,"0"))</f>
        <v>9</v>
      </c>
      <c r="AL30" cm="1">
        <f t="array" ref="AL30">SUM(COUNTIFS($D30:$AG30,{"0","4","5","6","7","8","9"},$D$4:$AG$4,"1"))</f>
        <v>3</v>
      </c>
      <c r="AM30" cm="1">
        <f t="array" ref="AM30">SUM(COUNTIFS($D30:$AG30,{"0","4","5","6","7","8","9"},$D$4:$AG$4,"2"))</f>
        <v>5</v>
      </c>
      <c r="AN30" cm="1">
        <f t="array" ref="AN30">SUM(COUNTIFS($D30:$AG30,{"0","4","5","6","7","8","9"},$D$4:$AG$4,"3"))</f>
        <v>3</v>
      </c>
      <c r="AO30" cm="1">
        <f t="array" ref="AO30">SUM(COUNTIFS($D30:$AG30,{"1","2","3"}))</f>
        <v>10</v>
      </c>
      <c r="AP30" cm="1">
        <f t="array" ref="AP30">SUM(COUNTIFS($D30:$AG30,{"4","5","6"}))</f>
        <v>0</v>
      </c>
      <c r="AQ30">
        <f>AK30*'Spreadsheet Key'!$A$23 + AL30*'Spreadsheet Key'!$A$24 + AM30*'Spreadsheet Key'!$A$25 + AN30*'Spreadsheet Key'!$A$26</f>
        <v>888</v>
      </c>
      <c r="AR30">
        <f>AJ30/('JUN Statistics'!$B$30)*ABS(AI30-1)</f>
        <v>3.9920159680638723E-2</v>
      </c>
      <c r="AS30">
        <f t="shared" ref="AS30" si="22">AI30*AT30</f>
        <v>0</v>
      </c>
      <c r="AT30" s="3388">
        <f>AR30*'JUN Statistics'!$C$11</f>
        <v>48.729209580838322</v>
      </c>
      <c r="AU30"/>
      <c r="AV30">
        <f>COUNTIFS($D30:$AG30,"8",$D$4:$AG$4,"0")</f>
        <v>1</v>
      </c>
      <c r="AW30">
        <f>COUNTIFS($D30:$AG30,"9",$D$4:$AG$4,"0")</f>
        <v>0</v>
      </c>
      <c r="AX30">
        <f>COUNTIFS($D30:$AG30,"8",$D$4:$AG$4,"1")</f>
        <v>0</v>
      </c>
      <c r="AY30" cm="1">
        <f t="array" ref="AY30">COUNTIFS($D30:$AG30,"9",$D$4:$AG$4,"1")+SUM(COUNTIFS($D30:$AG30,{"8","9"},$D$4:$AG$4,"2"))+COUNTIFS($D30:$AG30,"8",$D$4:$AG$4,"3")</f>
        <v>1</v>
      </c>
      <c r="AZ30">
        <f>COUNTIFS($D30:$AG30,"9",$D$4:$AG$4,"3")</f>
        <v>0</v>
      </c>
      <c r="BA30">
        <f t="shared" si="1"/>
        <v>2</v>
      </c>
      <c r="BB30">
        <f>AV30*'Spreadsheet Key'!$A$27+AW30*'Spreadsheet Key'!$A$28+AX30*'Spreadsheet Key'!$A$29+AY30*'Spreadsheet Key'!$A$30+AZ30*'Spreadsheet Key'!$A$31</f>
        <v>46</v>
      </c>
      <c r="BC30"/>
      <c r="BD30">
        <f t="shared" ref="BD30" si="23">AT30-BB30</f>
        <v>2.7292095808383223</v>
      </c>
    </row>
    <row r="31" spans="1:56">
      <c r="A31" s="3212"/>
      <c r="B31" s="3212"/>
      <c r="C31" s="3180" t="str">
        <f t="shared" si="0"/>
        <v xml:space="preserve"> </v>
      </c>
      <c r="D31" s="779"/>
      <c r="E31" s="779"/>
      <c r="F31" s="2434"/>
      <c r="G31" s="904"/>
      <c r="H31" s="779" t="s">
        <v>722</v>
      </c>
      <c r="I31" s="779"/>
      <c r="J31" s="779"/>
      <c r="K31" s="779"/>
      <c r="L31" s="2437"/>
      <c r="M31" s="904"/>
      <c r="N31" s="2434"/>
      <c r="O31" s="2434"/>
      <c r="Q31" s="904">
        <v>0</v>
      </c>
      <c r="S31" s="779"/>
      <c r="T31" s="2434"/>
      <c r="U31" s="779" t="s">
        <v>720</v>
      </c>
      <c r="V31" s="778"/>
      <c r="X31" s="778"/>
      <c r="Y31" s="778"/>
      <c r="Z31" s="778"/>
      <c r="AA31" s="778"/>
      <c r="AB31" s="778"/>
      <c r="AC31" s="778"/>
      <c r="AD31" s="778" t="s">
        <v>720</v>
      </c>
      <c r="AE31" s="778"/>
      <c r="AF31" s="778"/>
      <c r="AG31" s="778"/>
      <c r="AH31" s="3233"/>
      <c r="AI31" s="3202"/>
      <c r="AT31" s="3388"/>
      <c r="AV31">
        <f>COUNTIFS($D31:$AG31,"8",$D$4:$AG$4,"0")</f>
        <v>0</v>
      </c>
      <c r="AW31">
        <f>COUNTIFS($D31:$AG31,"9",$D$4:$AG$4,"0")</f>
        <v>0</v>
      </c>
      <c r="AX31">
        <f>COUNTIFS($D31:$AG31,"8",$D$4:$AG$4,"1")</f>
        <v>0</v>
      </c>
      <c r="AY31" cm="1">
        <f t="array" ref="AY31">COUNTIFS($D31:$AG31,"9",$D$4:$AG$4,"1")+SUM(COUNTIFS($D31:$AG31,{"8","9"},$D$4:$AG$4,"2"))+COUNTIFS($D31:$AG31,"8",$D$4:$AG$4,"3")</f>
        <v>0</v>
      </c>
      <c r="AZ31">
        <f>COUNTIFS($D31:$AG31,"9",$D$4:$AG$4,"3")</f>
        <v>0</v>
      </c>
      <c r="BA31">
        <f t="shared" si="1"/>
        <v>0</v>
      </c>
      <c r="BB31">
        <f>AV31*'Spreadsheet Key'!$A$27+AW31*'Spreadsheet Key'!$A$28+AX31*'Spreadsheet Key'!$A$29+AY31*'Spreadsheet Key'!$A$30+AZ31*'Spreadsheet Key'!$A$31</f>
        <v>0</v>
      </c>
    </row>
    <row r="32" spans="1:56" s="3211" customFormat="1">
      <c r="A32" s="3422" t="s">
        <v>127</v>
      </c>
      <c r="B32" s="3187" t="s">
        <v>657</v>
      </c>
      <c r="C32" s="3180" t="str">
        <f t="shared" si="0"/>
        <v>ETC PEARSON</v>
      </c>
      <c r="D32" s="3386">
        <v>0</v>
      </c>
      <c r="E32" s="3386">
        <v>0</v>
      </c>
      <c r="F32" s="3386">
        <v>0</v>
      </c>
      <c r="G32" s="3386">
        <v>0</v>
      </c>
      <c r="H32" s="3386">
        <v>9</v>
      </c>
      <c r="I32" s="3386">
        <v>0</v>
      </c>
      <c r="J32" s="3386">
        <v>0</v>
      </c>
      <c r="K32" s="3386">
        <v>0</v>
      </c>
      <c r="L32" s="3386">
        <v>0</v>
      </c>
      <c r="M32" s="3386">
        <v>0</v>
      </c>
      <c r="N32" s="3386">
        <v>0</v>
      </c>
      <c r="O32" s="3386">
        <v>0</v>
      </c>
      <c r="P32" s="3386">
        <v>0</v>
      </c>
      <c r="Q32" s="3386">
        <v>0</v>
      </c>
      <c r="R32" s="3386">
        <v>0</v>
      </c>
      <c r="S32" s="3386">
        <v>0</v>
      </c>
      <c r="T32" s="3386">
        <v>0</v>
      </c>
      <c r="U32" s="3386">
        <v>8</v>
      </c>
      <c r="V32" s="3386">
        <v>0</v>
      </c>
      <c r="W32" s="3386">
        <v>0</v>
      </c>
      <c r="X32" s="3386">
        <v>0</v>
      </c>
      <c r="Y32" s="3386">
        <v>0</v>
      </c>
      <c r="Z32" s="3386">
        <v>0</v>
      </c>
      <c r="AA32" s="3386">
        <v>0</v>
      </c>
      <c r="AB32" s="3386">
        <v>0</v>
      </c>
      <c r="AC32" s="3386">
        <v>0</v>
      </c>
      <c r="AD32" s="3386">
        <v>8</v>
      </c>
      <c r="AE32" s="3386">
        <v>0</v>
      </c>
      <c r="AF32" s="3386">
        <v>0</v>
      </c>
      <c r="AG32" s="3386">
        <v>0</v>
      </c>
      <c r="AH32" s="3387"/>
      <c r="AI32" s="3202">
        <v>0</v>
      </c>
      <c r="AJ32" cm="1">
        <f t="array" ref="AJ32">SUM(COUNTIFS($D32:$AG32,{"0","4","5","6","7","8","9"}))</f>
        <v>30</v>
      </c>
      <c r="AK32" cm="1">
        <f t="array" ref="AK32">SUM(COUNTIFS($D32:$AG32,{"0","4","5","6","7","8","9"},$D$4:$AG$4,"0"))</f>
        <v>15</v>
      </c>
      <c r="AL32" cm="1">
        <f t="array" ref="AL32">SUM(COUNTIFS($D32:$AG32,{"0","4","5","6","7","8","9"},$D$4:$AG$4,"1"))</f>
        <v>4</v>
      </c>
      <c r="AM32" cm="1">
        <f t="array" ref="AM32">SUM(COUNTIFS($D32:$AG32,{"0","4","5","6","7","8","9"},$D$4:$AG$4,"2"))</f>
        <v>6</v>
      </c>
      <c r="AN32" cm="1">
        <f t="array" ref="AN32">SUM(COUNTIFS($D32:$AG32,{"0","4","5","6","7","8","9"},$D$4:$AG$4,"3"))</f>
        <v>5</v>
      </c>
      <c r="AO32" cm="1">
        <f t="array" ref="AO32">SUM(COUNTIFS($D32:$AG32,{"1","2","3"}))</f>
        <v>0</v>
      </c>
      <c r="AP32" cm="1">
        <f t="array" ref="AP32">SUM(COUNTIFS($D32:$AG32,{"4","5","6"}))</f>
        <v>0</v>
      </c>
      <c r="AQ32">
        <f>AK32*'Spreadsheet Key'!$A$23 + AL32*'Spreadsheet Key'!$A$24 + AM32*'Spreadsheet Key'!$A$25 + AN32*'Spreadsheet Key'!$A$26</f>
        <v>1258</v>
      </c>
      <c r="AR32">
        <f>AJ32/('JUN Statistics'!$B$30)*ABS(AI32-1)</f>
        <v>5.9880239520958084E-2</v>
      </c>
      <c r="AS32">
        <f t="shared" ref="AS32" si="24">AI32*AT32</f>
        <v>0</v>
      </c>
      <c r="AT32" s="3388">
        <f>AR32*'JUN Statistics'!$C$11</f>
        <v>73.09381437125748</v>
      </c>
      <c r="AU32"/>
      <c r="AV32">
        <f>COUNTIFS($D32:$AG32,"8",$D$4:$AG$4,"0")</f>
        <v>0</v>
      </c>
      <c r="AW32">
        <f>COUNTIFS($D32:$AG32,"9",$D$4:$AG$4,"0")</f>
        <v>1</v>
      </c>
      <c r="AX32">
        <f>COUNTIFS($D32:$AG32,"8",$D$4:$AG$4,"1")</f>
        <v>2</v>
      </c>
      <c r="AY32" cm="1">
        <f t="array" ref="AY32">COUNTIFS($D32:$AG32,"9",$D$4:$AG$4,"1")+SUM(COUNTIFS($D32:$AG32,{"8","9"},$D$4:$AG$4,"2"))+COUNTIFS($D32:$AG32,"8",$D$4:$AG$4,"3")</f>
        <v>0</v>
      </c>
      <c r="AZ32">
        <f>COUNTIFS($D32:$AG32,"9",$D$4:$AG$4,"3")</f>
        <v>0</v>
      </c>
      <c r="BA32">
        <f t="shared" si="1"/>
        <v>3</v>
      </c>
      <c r="BB32">
        <f>AV32*'Spreadsheet Key'!$A$27+AW32*'Spreadsheet Key'!$A$28+AX32*'Spreadsheet Key'!$A$29+AY32*'Spreadsheet Key'!$A$30+AZ32*'Spreadsheet Key'!$A$31</f>
        <v>48</v>
      </c>
      <c r="BC32"/>
      <c r="BD32">
        <f t="shared" ref="BD32" si="25">AT32-BB32</f>
        <v>25.09381437125748</v>
      </c>
    </row>
    <row r="33" spans="1:60">
      <c r="A33" s="3212"/>
      <c r="B33" s="3212"/>
      <c r="C33" s="3180" t="str">
        <f t="shared" si="0"/>
        <v xml:space="preserve"> </v>
      </c>
      <c r="D33" s="2"/>
      <c r="E33" s="3420" t="s">
        <v>1386</v>
      </c>
      <c r="F33" s="6432" t="s">
        <v>1395</v>
      </c>
      <c r="G33" s="6432"/>
      <c r="H33" s="6432"/>
      <c r="I33" s="6432"/>
      <c r="J33" s="6432"/>
      <c r="K33" s="6432"/>
      <c r="L33" s="6432"/>
      <c r="M33" s="6432"/>
      <c r="N33" s="6432"/>
      <c r="O33" s="6432"/>
      <c r="P33" s="6432"/>
      <c r="Q33" s="6432"/>
      <c r="R33" s="6432"/>
      <c r="S33" s="6432"/>
      <c r="T33" s="6432"/>
      <c r="U33" s="6432"/>
      <c r="V33" s="6432"/>
      <c r="W33" s="6432"/>
      <c r="X33" s="6432"/>
      <c r="Y33" s="3419" t="s">
        <v>1386</v>
      </c>
      <c r="Z33" s="6430" t="s">
        <v>1390</v>
      </c>
      <c r="AA33" s="6431"/>
      <c r="AB33" s="6431"/>
      <c r="AC33" s="6431"/>
      <c r="AD33" s="6431"/>
      <c r="AE33" s="2"/>
      <c r="AF33" s="2"/>
      <c r="AG33" s="2" t="s">
        <v>722</v>
      </c>
      <c r="AH33" s="3233"/>
      <c r="AI33" s="3202"/>
      <c r="AT33" s="3388"/>
      <c r="AV33">
        <f>COUNTIFS($D33:$AG33,"8",$D$4:$AG$4,"0")</f>
        <v>0</v>
      </c>
      <c r="AW33">
        <f>COUNTIFS($D33:$AG33,"9",$D$4:$AG$4,"0")</f>
        <v>0</v>
      </c>
      <c r="AX33">
        <f>COUNTIFS($D33:$AG33,"8",$D$4:$AG$4,"1")</f>
        <v>0</v>
      </c>
      <c r="AY33" cm="1">
        <f t="array" ref="AY33">COUNTIFS($D33:$AG33,"9",$D$4:$AG$4,"1")+SUM(COUNTIFS($D33:$AG33,{"8","9"},$D$4:$AG$4,"2"))+COUNTIFS($D33:$AG33,"8",$D$4:$AG$4,"3")</f>
        <v>0</v>
      </c>
      <c r="AZ33">
        <f>COUNTIFS($D33:$AG33,"9",$D$4:$AG$4,"3")</f>
        <v>0</v>
      </c>
      <c r="BA33">
        <f t="shared" si="1"/>
        <v>0</v>
      </c>
      <c r="BB33">
        <f>AV33*'Spreadsheet Key'!$A$27+AW33*'Spreadsheet Key'!$A$28+AX33*'Spreadsheet Key'!$A$29+AY33*'Spreadsheet Key'!$A$30+AZ33*'Spreadsheet Key'!$A$31</f>
        <v>0</v>
      </c>
      <c r="BE33" s="3232"/>
      <c r="BF33" s="3232"/>
      <c r="BG33" s="3232"/>
      <c r="BH33" s="3232"/>
    </row>
    <row r="34" spans="1:60" s="3211" customFormat="1">
      <c r="A34" s="3424" t="s">
        <v>155</v>
      </c>
      <c r="B34" s="3187" t="s">
        <v>135</v>
      </c>
      <c r="C34" s="3180" t="str">
        <f t="shared" si="0"/>
        <v>GMC OGLE</v>
      </c>
      <c r="D34" s="3386">
        <v>0</v>
      </c>
      <c r="E34" s="3386">
        <v>1</v>
      </c>
      <c r="F34" s="3386">
        <v>2</v>
      </c>
      <c r="G34" s="3386">
        <v>2</v>
      </c>
      <c r="H34" s="3386">
        <v>2</v>
      </c>
      <c r="I34" s="3386">
        <v>2</v>
      </c>
      <c r="J34" s="3386">
        <v>2</v>
      </c>
      <c r="K34" s="3386">
        <v>2</v>
      </c>
      <c r="L34" s="3386">
        <v>2</v>
      </c>
      <c r="M34" s="3386">
        <v>2</v>
      </c>
      <c r="N34" s="3386">
        <v>2</v>
      </c>
      <c r="O34" s="3386">
        <v>2</v>
      </c>
      <c r="P34" s="3386">
        <v>2</v>
      </c>
      <c r="Q34" s="3386">
        <v>2</v>
      </c>
      <c r="R34" s="3386">
        <v>2</v>
      </c>
      <c r="S34" s="3386">
        <v>2</v>
      </c>
      <c r="T34" s="3386">
        <v>2</v>
      </c>
      <c r="U34" s="3386">
        <v>2</v>
      </c>
      <c r="V34" s="3386">
        <v>2</v>
      </c>
      <c r="W34" s="3386">
        <v>2</v>
      </c>
      <c r="X34" s="3386">
        <v>2</v>
      </c>
      <c r="Y34" s="3386">
        <v>3</v>
      </c>
      <c r="Z34" s="3386">
        <v>7</v>
      </c>
      <c r="AA34" s="3386">
        <v>7</v>
      </c>
      <c r="AB34" s="3386">
        <v>7</v>
      </c>
      <c r="AC34" s="3386">
        <v>7</v>
      </c>
      <c r="AD34" s="3386">
        <v>7</v>
      </c>
      <c r="AE34" s="3386">
        <v>0</v>
      </c>
      <c r="AF34" s="3386">
        <v>0</v>
      </c>
      <c r="AG34" s="3386">
        <v>9</v>
      </c>
      <c r="AH34" s="3387"/>
      <c r="AI34" s="3202">
        <v>0</v>
      </c>
      <c r="AJ34" cm="1">
        <f t="array" ref="AJ34">SUM(COUNTIFS($D34:$AG34,{"0","4","5","6","7","8","9"}))</f>
        <v>9</v>
      </c>
      <c r="AK34" cm="1">
        <f t="array" ref="AK34">SUM(COUNTIFS($D34:$AG34,{"0","4","5","6","7","8","9"},$D$4:$AG$4,"0"))</f>
        <v>5</v>
      </c>
      <c r="AL34" cm="1">
        <f t="array" ref="AL34">SUM(COUNTIFS($D34:$AG34,{"0","4","5","6","7","8","9"},$D$4:$AG$4,"1"))</f>
        <v>1</v>
      </c>
      <c r="AM34" cm="1">
        <f t="array" ref="AM34">SUM(COUNTIFS($D34:$AG34,{"0","4","5","6","7","8","9"},$D$4:$AG$4,"2"))</f>
        <v>1</v>
      </c>
      <c r="AN34" cm="1">
        <f t="array" ref="AN34">SUM(COUNTIFS($D34:$AG34,{"0","4","5","6","7","8","9"},$D$4:$AG$4,"3"))</f>
        <v>2</v>
      </c>
      <c r="AO34" cm="1">
        <f t="array" ref="AO34">SUM(COUNTIFS($D34:$AG34,{"1","2","3"}))</f>
        <v>21</v>
      </c>
      <c r="AP34" cm="1">
        <f t="array" ref="AP34">SUM(COUNTIFS($D34:$AG34,{"4","5","6"}))</f>
        <v>0</v>
      </c>
      <c r="AQ34">
        <f>AK34*'Spreadsheet Key'!$A$23 + AL34*'Spreadsheet Key'!$A$24 + AM34*'Spreadsheet Key'!$A$25 + AN34*'Spreadsheet Key'!$A$26</f>
        <v>348</v>
      </c>
      <c r="AR34">
        <f>AJ34/('JUN Statistics'!$B$30)*ABS(AI34-1)</f>
        <v>1.7964071856287425E-2</v>
      </c>
      <c r="AS34">
        <f t="shared" ref="AS34" si="26">AI34*AT34</f>
        <v>0</v>
      </c>
      <c r="AT34" s="3388">
        <f>AR34*'JUN Statistics'!$C$11</f>
        <v>21.928144311377245</v>
      </c>
      <c r="AU34"/>
      <c r="AV34">
        <f>COUNTIFS($D34:$AG34,"8",$D$4:$AG$4,"0")</f>
        <v>0</v>
      </c>
      <c r="AW34">
        <f>COUNTIFS($D34:$AG34,"9",$D$4:$AG$4,"0")</f>
        <v>1</v>
      </c>
      <c r="AX34">
        <f>COUNTIFS($D34:$AG34,"8",$D$4:$AG$4,"1")</f>
        <v>0</v>
      </c>
      <c r="AY34" cm="1">
        <f t="array" ref="AY34">COUNTIFS($D34:$AG34,"9",$D$4:$AG$4,"1")+SUM(COUNTIFS($D34:$AG34,{"8","9"},$D$4:$AG$4,"2"))+COUNTIFS($D34:$AG34,"8",$D$4:$AG$4,"3")</f>
        <v>0</v>
      </c>
      <c r="AZ34">
        <f>COUNTIFS($D34:$AG34,"9",$D$4:$AG$4,"3")</f>
        <v>0</v>
      </c>
      <c r="BA34">
        <f t="shared" si="1"/>
        <v>1</v>
      </c>
      <c r="BB34">
        <f>AV34*'Spreadsheet Key'!$A$27+AW34*'Spreadsheet Key'!$A$28+AX34*'Spreadsheet Key'!$A$29+AY34*'Spreadsheet Key'!$A$30+AZ34*'Spreadsheet Key'!$A$31</f>
        <v>12</v>
      </c>
      <c r="BC34"/>
      <c r="BD34">
        <f t="shared" ref="BD34" si="27">AT34-BB34</f>
        <v>9.9281443113772454</v>
      </c>
    </row>
    <row r="35" spans="1:60">
      <c r="A35" s="3212"/>
      <c r="B35" s="3212"/>
      <c r="C35" s="3180" t="str">
        <f t="shared" si="0"/>
        <v xml:space="preserve"> </v>
      </c>
      <c r="D35" s="3418" t="s">
        <v>1392</v>
      </c>
      <c r="E35" s="3397"/>
      <c r="F35" s="3397"/>
      <c r="G35" s="3397"/>
      <c r="H35" s="3397"/>
      <c r="I35" s="3397"/>
      <c r="J35" s="3397"/>
      <c r="K35" s="3397"/>
      <c r="L35" s="3397"/>
      <c r="M35" s="3397"/>
      <c r="N35" s="3397"/>
      <c r="O35" s="3397"/>
      <c r="P35" s="3397"/>
      <c r="Q35" s="3397"/>
      <c r="R35" s="3397"/>
      <c r="S35" s="3397"/>
      <c r="T35" s="3397"/>
      <c r="U35" s="5329" t="s">
        <v>371</v>
      </c>
      <c r="V35" s="4331"/>
      <c r="W35" s="4331"/>
      <c r="X35" s="4331"/>
      <c r="Y35" s="4331"/>
      <c r="Z35" s="4331"/>
      <c r="AA35" s="4332"/>
      <c r="AB35" s="3397"/>
      <c r="AC35" s="3396" t="s">
        <v>1396</v>
      </c>
      <c r="AD35" s="3397"/>
      <c r="AE35" s="3397"/>
      <c r="AF35" s="3397"/>
      <c r="AG35" s="3398"/>
      <c r="AH35" s="3233"/>
      <c r="AI35" s="3202"/>
      <c r="AT35" s="3388"/>
      <c r="AV35">
        <f>COUNTIFS($D35:$AG35,"8",$D$4:$AG$4,"0")</f>
        <v>0</v>
      </c>
      <c r="AW35">
        <f>COUNTIFS($D35:$AG35,"9",$D$4:$AG$4,"0")</f>
        <v>0</v>
      </c>
      <c r="AX35">
        <f>COUNTIFS($D35:$AG35,"8",$D$4:$AG$4,"1")</f>
        <v>0</v>
      </c>
      <c r="AY35" cm="1">
        <f t="array" ref="AY35">COUNTIFS($D35:$AG35,"9",$D$4:$AG$4,"1")+SUM(COUNTIFS($D35:$AG35,{"8","9"},$D$4:$AG$4,"2"))+COUNTIFS($D35:$AG35,"8",$D$4:$AG$4,"3")</f>
        <v>0</v>
      </c>
      <c r="AZ35">
        <f>COUNTIFS($D35:$AG35,"9",$D$4:$AG$4,"3")</f>
        <v>0</v>
      </c>
      <c r="BA35">
        <f t="shared" si="1"/>
        <v>0</v>
      </c>
      <c r="BB35">
        <f>AV35*'Spreadsheet Key'!$A$27+AW35*'Spreadsheet Key'!$A$28+AX35*'Spreadsheet Key'!$A$29+AY35*'Spreadsheet Key'!$A$30+AZ35*'Spreadsheet Key'!$A$31</f>
        <v>0</v>
      </c>
      <c r="BE35" s="3232"/>
      <c r="BF35" s="3232"/>
      <c r="BG35" s="3232"/>
      <c r="BH35" s="3232"/>
    </row>
    <row r="36" spans="1:60" s="3211" customFormat="1">
      <c r="A36" s="3187" t="s">
        <v>1056</v>
      </c>
      <c r="B36" s="3187" t="s">
        <v>334</v>
      </c>
      <c r="C36" s="3180" t="str">
        <f t="shared" si="0"/>
        <v>DCC ALLEN</v>
      </c>
      <c r="D36" s="3386">
        <v>2</v>
      </c>
      <c r="E36" s="3386">
        <v>2</v>
      </c>
      <c r="F36" s="3386">
        <v>2</v>
      </c>
      <c r="G36" s="3386">
        <v>2</v>
      </c>
      <c r="H36" s="3386">
        <v>2</v>
      </c>
      <c r="I36" s="3386">
        <v>2</v>
      </c>
      <c r="J36" s="3386">
        <v>2</v>
      </c>
      <c r="K36" s="3386">
        <v>2</v>
      </c>
      <c r="L36" s="3386">
        <v>2</v>
      </c>
      <c r="M36" s="3386">
        <v>2</v>
      </c>
      <c r="N36" s="3386">
        <v>2</v>
      </c>
      <c r="O36" s="3386">
        <v>2</v>
      </c>
      <c r="P36" s="3386">
        <v>2</v>
      </c>
      <c r="Q36" s="3386">
        <v>2</v>
      </c>
      <c r="R36" s="3386">
        <v>2</v>
      </c>
      <c r="S36" s="3386">
        <v>2</v>
      </c>
      <c r="T36" s="3386">
        <v>2</v>
      </c>
      <c r="U36" s="3386">
        <v>2</v>
      </c>
      <c r="V36" s="3386">
        <v>2</v>
      </c>
      <c r="W36" s="3386">
        <v>2</v>
      </c>
      <c r="X36" s="3386">
        <v>2</v>
      </c>
      <c r="Y36" s="3386">
        <v>2</v>
      </c>
      <c r="Z36" s="3386">
        <v>2</v>
      </c>
      <c r="AA36" s="3386">
        <v>2</v>
      </c>
      <c r="AB36" s="3386">
        <v>2</v>
      </c>
      <c r="AC36" s="3386">
        <v>2</v>
      </c>
      <c r="AD36" s="3386">
        <v>2</v>
      </c>
      <c r="AE36" s="3386">
        <v>2</v>
      </c>
      <c r="AF36" s="3386">
        <v>2</v>
      </c>
      <c r="AG36" s="3386">
        <v>2</v>
      </c>
      <c r="AH36" s="3387"/>
      <c r="AI36" s="3202">
        <v>0</v>
      </c>
      <c r="AJ36" cm="1">
        <f t="array" ref="AJ36">SUM(COUNTIFS($D36:$AG36,{"0","4","5","6","7","8","9"}))</f>
        <v>0</v>
      </c>
      <c r="AK36" cm="1">
        <f t="array" ref="AK36">SUM(COUNTIFS($D36:$AG36,{"0","4","5","6","7","8","9"},$D$4:$AG$4,"0"))</f>
        <v>0</v>
      </c>
      <c r="AL36" cm="1">
        <f t="array" ref="AL36">SUM(COUNTIFS($D36:$AG36,{"0","4","5","6","7","8","9"},$D$4:$AG$4,"1"))</f>
        <v>0</v>
      </c>
      <c r="AM36" cm="1">
        <f t="array" ref="AM36">SUM(COUNTIFS($D36:$AG36,{"0","4","5","6","7","8","9"},$D$4:$AG$4,"2"))</f>
        <v>0</v>
      </c>
      <c r="AN36" cm="1">
        <f t="array" ref="AN36">SUM(COUNTIFS($D36:$AG36,{"0","4","5","6","7","8","9"},$D$4:$AG$4,"3"))</f>
        <v>0</v>
      </c>
      <c r="AO36" cm="1">
        <f t="array" ref="AO36">SUM(COUNTIFS($D36:$AG36,{"1","2","3"}))</f>
        <v>30</v>
      </c>
      <c r="AP36" cm="1">
        <f t="array" ref="AP36">SUM(COUNTIFS($D36:$AG36,{"4","5","6"}))</f>
        <v>0</v>
      </c>
      <c r="AQ36">
        <f>AK36*'Spreadsheet Key'!$A$23 + AL36*'Spreadsheet Key'!$A$24 + AM36*'Spreadsheet Key'!$A$25 + AN36*'Spreadsheet Key'!$A$26</f>
        <v>0</v>
      </c>
      <c r="AR36">
        <f>AJ36/('JUN Statistics'!$B$30)*ABS(AI36-1)</f>
        <v>0</v>
      </c>
      <c r="AS36">
        <f t="shared" ref="AS36:AS92" si="28">AI36*AT36</f>
        <v>0</v>
      </c>
      <c r="AT36" s="3388">
        <f>AR36*'JUN Statistics'!$C$11</f>
        <v>0</v>
      </c>
      <c r="AU36"/>
      <c r="AV36">
        <f>COUNTIFS($D36:$AG36,"8",$D$4:$AG$4,"0")</f>
        <v>0</v>
      </c>
      <c r="AW36">
        <f>COUNTIFS($D36:$AG36,"9",$D$4:$AG$4,"0")</f>
        <v>0</v>
      </c>
      <c r="AX36">
        <f>COUNTIFS($D36:$AG36,"8",$D$4:$AG$4,"1")</f>
        <v>0</v>
      </c>
      <c r="AY36" cm="1">
        <f t="array" ref="AY36">COUNTIFS($D36:$AG36,"9",$D$4:$AG$4,"1")+SUM(COUNTIFS($D36:$AG36,{"8","9"},$D$4:$AG$4,"2"))+COUNTIFS($D36:$AG36,"8",$D$4:$AG$4,"3")</f>
        <v>0</v>
      </c>
      <c r="AZ36">
        <f>COUNTIFS($D36:$AG36,"9",$D$4:$AG$4,"3")</f>
        <v>0</v>
      </c>
      <c r="BA36">
        <f t="shared" si="1"/>
        <v>0</v>
      </c>
      <c r="BB36">
        <f>AV36*'Spreadsheet Key'!$A$27+AW36*'Spreadsheet Key'!$A$28+AX36*'Spreadsheet Key'!$A$29+AY36*'Spreadsheet Key'!$A$30+AZ36*'Spreadsheet Key'!$A$31</f>
        <v>0</v>
      </c>
      <c r="BC36"/>
      <c r="BD36">
        <f t="shared" ref="BD36" si="29">AT36-BB36</f>
        <v>0</v>
      </c>
    </row>
    <row r="37" spans="1:60">
      <c r="A37" s="3212"/>
      <c r="B37" s="3212"/>
      <c r="C37" s="3180" t="str">
        <f t="shared" si="0"/>
        <v xml:space="preserve"> </v>
      </c>
      <c r="D37" s="780"/>
      <c r="E37" s="1580"/>
      <c r="F37" s="780"/>
      <c r="G37" s="780" t="s">
        <v>720</v>
      </c>
      <c r="H37" s="2435"/>
      <c r="I37" s="2435"/>
      <c r="J37" s="2435"/>
      <c r="K37" s="904"/>
      <c r="L37" s="2435" t="s">
        <v>722</v>
      </c>
      <c r="M37" s="2435"/>
      <c r="N37" s="780"/>
      <c r="O37" s="780"/>
      <c r="P37" s="2435"/>
      <c r="Q37" s="780" t="s">
        <v>722</v>
      </c>
      <c r="R37" s="780"/>
      <c r="S37" s="780"/>
      <c r="T37" s="904"/>
      <c r="U37" s="778"/>
      <c r="V37" s="778"/>
      <c r="W37" s="778"/>
      <c r="X37" s="778"/>
      <c r="Y37" s="778" t="s">
        <v>720</v>
      </c>
      <c r="Z37" s="778"/>
      <c r="AA37" s="778"/>
      <c r="AB37" s="778"/>
      <c r="AC37" s="778"/>
      <c r="AD37" s="778"/>
      <c r="AE37" s="778"/>
      <c r="AF37" s="778"/>
      <c r="AG37" s="806"/>
      <c r="AH37" s="3233"/>
      <c r="AI37" s="3202"/>
      <c r="AT37" s="3388"/>
      <c r="AV37">
        <f>COUNTIFS($D37:$AG37,"8",$D$4:$AG$4,"0")</f>
        <v>0</v>
      </c>
      <c r="AW37">
        <f>COUNTIFS($D37:$AG37,"9",$D$4:$AG$4,"0")</f>
        <v>0</v>
      </c>
      <c r="AX37">
        <f>COUNTIFS($D37:$AG37,"8",$D$4:$AG$4,"1")</f>
        <v>0</v>
      </c>
      <c r="AY37" cm="1">
        <f t="array" ref="AY37">COUNTIFS($D37:$AG37,"9",$D$4:$AG$4,"1")+SUM(COUNTIFS($D37:$AG37,{"8","9"},$D$4:$AG$4,"2"))+COUNTIFS($D37:$AG37,"8",$D$4:$AG$4,"3")</f>
        <v>0</v>
      </c>
      <c r="AZ37">
        <f>COUNTIFS($D37:$AG37,"9",$D$4:$AG$4,"3")</f>
        <v>0</v>
      </c>
      <c r="BA37">
        <f t="shared" si="1"/>
        <v>0</v>
      </c>
      <c r="BB37">
        <f>AV37*'Spreadsheet Key'!$A$27+AW37*'Spreadsheet Key'!$A$28+AX37*'Spreadsheet Key'!$A$29+AY37*'Spreadsheet Key'!$A$30+AZ37*'Spreadsheet Key'!$A$31</f>
        <v>0</v>
      </c>
    </row>
    <row r="38" spans="1:60" s="3211" customFormat="1">
      <c r="A38" s="3422" t="s">
        <v>129</v>
      </c>
      <c r="B38" s="3187" t="s">
        <v>474</v>
      </c>
      <c r="C38" s="3180" t="str">
        <f t="shared" si="0"/>
        <v>FC1 FERNANDEZ</v>
      </c>
      <c r="D38" s="3386">
        <v>0</v>
      </c>
      <c r="E38" s="3386">
        <v>0</v>
      </c>
      <c r="F38" s="3386">
        <v>0</v>
      </c>
      <c r="G38" s="3386">
        <v>8</v>
      </c>
      <c r="H38" s="3386">
        <v>0</v>
      </c>
      <c r="I38" s="3386">
        <v>0</v>
      </c>
      <c r="J38" s="3386">
        <v>0</v>
      </c>
      <c r="K38" s="3386">
        <v>0</v>
      </c>
      <c r="L38" s="3386">
        <v>9</v>
      </c>
      <c r="M38" s="3386">
        <v>0</v>
      </c>
      <c r="N38" s="3386">
        <v>0</v>
      </c>
      <c r="O38" s="3386">
        <v>0</v>
      </c>
      <c r="P38" s="3386">
        <v>0</v>
      </c>
      <c r="Q38" s="3386">
        <v>9</v>
      </c>
      <c r="R38" s="3386">
        <v>0</v>
      </c>
      <c r="S38" s="3386">
        <v>0</v>
      </c>
      <c r="T38" s="3386">
        <v>0</v>
      </c>
      <c r="U38" s="3386">
        <v>0</v>
      </c>
      <c r="V38" s="3386">
        <v>0</v>
      </c>
      <c r="W38" s="3386">
        <v>0</v>
      </c>
      <c r="X38" s="3386">
        <v>0</v>
      </c>
      <c r="Y38" s="3386">
        <v>8</v>
      </c>
      <c r="Z38" s="3386">
        <v>0</v>
      </c>
      <c r="AA38" s="3386">
        <v>0</v>
      </c>
      <c r="AB38" s="3386">
        <v>0</v>
      </c>
      <c r="AC38" s="3386">
        <v>0</v>
      </c>
      <c r="AD38" s="3386">
        <v>0</v>
      </c>
      <c r="AE38" s="3386">
        <v>0</v>
      </c>
      <c r="AF38" s="3386">
        <v>0</v>
      </c>
      <c r="AG38" s="3386">
        <v>0</v>
      </c>
      <c r="AH38" s="3387"/>
      <c r="AI38" s="3202">
        <v>0</v>
      </c>
      <c r="AJ38" cm="1">
        <f t="array" ref="AJ38">SUM(COUNTIFS($D38:$AG38,{"0","4","5","6","7","8","9"}))</f>
        <v>30</v>
      </c>
      <c r="AK38" cm="1">
        <f t="array" ref="AK38">SUM(COUNTIFS($D38:$AG38,{"0","4","5","6","7","8","9"},$D$4:$AG$4,"0"))</f>
        <v>15</v>
      </c>
      <c r="AL38" cm="1">
        <f t="array" ref="AL38">SUM(COUNTIFS($D38:$AG38,{"0","4","5","6","7","8","9"},$D$4:$AG$4,"1"))</f>
        <v>4</v>
      </c>
      <c r="AM38" cm="1">
        <f t="array" ref="AM38">SUM(COUNTIFS($D38:$AG38,{"0","4","5","6","7","8","9"},$D$4:$AG$4,"2"))</f>
        <v>6</v>
      </c>
      <c r="AN38" cm="1">
        <f t="array" ref="AN38">SUM(COUNTIFS($D38:$AG38,{"0","4","5","6","7","8","9"},$D$4:$AG$4,"3"))</f>
        <v>5</v>
      </c>
      <c r="AO38" cm="1">
        <f t="array" ref="AO38">SUM(COUNTIFS($D38:$AG38,{"1","2","3"}))</f>
        <v>0</v>
      </c>
      <c r="AP38" cm="1">
        <f t="array" ref="AP38">SUM(COUNTIFS($D38:$AG38,{"4","5","6"}))</f>
        <v>0</v>
      </c>
      <c r="AQ38">
        <f>AK38*'Spreadsheet Key'!$A$23 + AL38*'Spreadsheet Key'!$A$24 + AM38*'Spreadsheet Key'!$A$25 + AN38*'Spreadsheet Key'!$A$26</f>
        <v>1258</v>
      </c>
      <c r="AR38">
        <f>AJ38/('JUN Statistics'!$B$30)*ABS(AI38-1)</f>
        <v>5.9880239520958084E-2</v>
      </c>
      <c r="AS38">
        <f t="shared" ref="AS38" si="30">AI38*AT38</f>
        <v>0</v>
      </c>
      <c r="AT38" s="3388">
        <f>AR38*'JUN Statistics'!$C$11</f>
        <v>73.09381437125748</v>
      </c>
      <c r="AU38"/>
      <c r="AV38">
        <f>COUNTIFS($D38:$AG38,"8",$D$4:$AG$4,"0")</f>
        <v>1</v>
      </c>
      <c r="AW38">
        <f>COUNTIFS($D38:$AG38,"9",$D$4:$AG$4,"0")</f>
        <v>1</v>
      </c>
      <c r="AX38">
        <f>COUNTIFS($D38:$AG38,"8",$D$4:$AG$4,"1")</f>
        <v>0</v>
      </c>
      <c r="AY38" cm="1">
        <f t="array" ref="AY38">COUNTIFS($D38:$AG38,"9",$D$4:$AG$4,"1")+SUM(COUNTIFS($D38:$AG38,{"8","9"},$D$4:$AG$4,"2"))+COUNTIFS($D38:$AG38,"8",$D$4:$AG$4,"3")</f>
        <v>2</v>
      </c>
      <c r="AZ38">
        <f>COUNTIFS($D38:$AG38,"9",$D$4:$AG$4,"3")</f>
        <v>0</v>
      </c>
      <c r="BA38">
        <f t="shared" si="1"/>
        <v>4</v>
      </c>
      <c r="BB38">
        <f>AV38*'Spreadsheet Key'!$A$27+AW38*'Spreadsheet Key'!$A$28+AX38*'Spreadsheet Key'!$A$29+AY38*'Spreadsheet Key'!$A$30+AZ38*'Spreadsheet Key'!$A$31</f>
        <v>94</v>
      </c>
      <c r="BC38"/>
      <c r="BD38">
        <f t="shared" ref="BD38" si="31">AT38-BB38</f>
        <v>-20.90618562874252</v>
      </c>
    </row>
    <row r="39" spans="1:60">
      <c r="A39" s="3212"/>
      <c r="B39" s="3212"/>
      <c r="C39" s="3180" t="str">
        <f t="shared" si="0"/>
        <v xml:space="preserve"> </v>
      </c>
      <c r="D39" s="776"/>
      <c r="E39" s="3390" t="s">
        <v>1386</v>
      </c>
      <c r="F39" s="6433" t="s">
        <v>1395</v>
      </c>
      <c r="G39" s="6433"/>
      <c r="H39" s="6433"/>
      <c r="I39" s="6433"/>
      <c r="J39" s="6433"/>
      <c r="K39" s="6433"/>
      <c r="L39" s="6433"/>
      <c r="M39" s="6433"/>
      <c r="N39" s="6433"/>
      <c r="O39" s="6433"/>
      <c r="P39" s="6433"/>
      <c r="Q39" s="6433"/>
      <c r="R39" s="6433"/>
      <c r="S39" s="6433"/>
      <c r="T39" s="6433"/>
      <c r="U39" s="6433"/>
      <c r="V39" s="6433"/>
      <c r="W39" s="6433"/>
      <c r="X39" s="6433"/>
      <c r="Y39" s="3395" t="s">
        <v>1386</v>
      </c>
      <c r="Z39" s="776"/>
      <c r="AA39" s="776" t="s">
        <v>720</v>
      </c>
      <c r="AB39" s="776"/>
      <c r="AC39" s="776"/>
      <c r="AD39" s="776"/>
      <c r="AE39" s="776"/>
      <c r="AF39" s="776"/>
      <c r="AG39" s="2489"/>
      <c r="AH39" s="3233"/>
      <c r="AI39" s="3202"/>
      <c r="AT39" s="3388"/>
      <c r="AV39">
        <f>COUNTIFS($D39:$AG39,"8",$D$4:$AG$4,"0")</f>
        <v>0</v>
      </c>
      <c r="AW39">
        <f>COUNTIFS($D39:$AG39,"9",$D$4:$AG$4,"0")</f>
        <v>0</v>
      </c>
      <c r="AX39">
        <f>COUNTIFS($D39:$AG39,"8",$D$4:$AG$4,"1")</f>
        <v>0</v>
      </c>
      <c r="AY39" cm="1">
        <f t="array" ref="AY39">COUNTIFS($D39:$AG39,"9",$D$4:$AG$4,"1")+SUM(COUNTIFS($D39:$AG39,{"8","9"},$D$4:$AG$4,"2"))+COUNTIFS($D39:$AG39,"8",$D$4:$AG$4,"3")</f>
        <v>0</v>
      </c>
      <c r="AZ39">
        <f>COUNTIFS($D39:$AG39,"9",$D$4:$AG$4,"3")</f>
        <v>0</v>
      </c>
      <c r="BA39">
        <f t="shared" si="1"/>
        <v>0</v>
      </c>
      <c r="BB39">
        <f>AV39*'Spreadsheet Key'!$A$27+AW39*'Spreadsheet Key'!$A$28+AX39*'Spreadsheet Key'!$A$29+AY39*'Spreadsheet Key'!$A$30+AZ39*'Spreadsheet Key'!$A$31</f>
        <v>0</v>
      </c>
    </row>
    <row r="40" spans="1:60" s="3211" customFormat="1">
      <c r="A40" s="3180" t="s">
        <v>283</v>
      </c>
      <c r="B40" s="3180" t="s">
        <v>1036</v>
      </c>
      <c r="C40" s="3180" t="str">
        <f t="shared" si="0"/>
        <v>LCDR  KIM</v>
      </c>
      <c r="D40" s="3386">
        <v>0</v>
      </c>
      <c r="E40" s="3386">
        <v>1</v>
      </c>
      <c r="F40" s="3386">
        <v>2</v>
      </c>
      <c r="G40" s="3386">
        <v>2</v>
      </c>
      <c r="H40" s="3386">
        <v>2</v>
      </c>
      <c r="I40" s="3386">
        <v>2</v>
      </c>
      <c r="J40" s="3386">
        <v>2</v>
      </c>
      <c r="K40" s="3386">
        <v>2</v>
      </c>
      <c r="L40" s="3386">
        <v>2</v>
      </c>
      <c r="M40" s="3386">
        <v>2</v>
      </c>
      <c r="N40" s="3386">
        <v>2</v>
      </c>
      <c r="O40" s="3386">
        <v>2</v>
      </c>
      <c r="P40" s="3386">
        <v>2</v>
      </c>
      <c r="Q40" s="3386">
        <v>2</v>
      </c>
      <c r="R40" s="3386">
        <v>2</v>
      </c>
      <c r="S40" s="3386">
        <v>2</v>
      </c>
      <c r="T40" s="3386">
        <v>2</v>
      </c>
      <c r="U40" s="3386">
        <v>2</v>
      </c>
      <c r="V40" s="3386">
        <v>2</v>
      </c>
      <c r="W40" s="3386">
        <v>2</v>
      </c>
      <c r="X40" s="3386">
        <v>2</v>
      </c>
      <c r="Y40" s="3386">
        <v>3</v>
      </c>
      <c r="Z40" s="3386">
        <v>0</v>
      </c>
      <c r="AA40" s="3386">
        <v>8</v>
      </c>
      <c r="AB40" s="3386">
        <v>0</v>
      </c>
      <c r="AC40" s="3386">
        <v>0</v>
      </c>
      <c r="AD40" s="3386">
        <v>0</v>
      </c>
      <c r="AE40" s="3386">
        <v>0</v>
      </c>
      <c r="AF40" s="3386">
        <v>0</v>
      </c>
      <c r="AG40" s="3386">
        <v>0</v>
      </c>
      <c r="AH40" s="3387"/>
      <c r="AI40" s="3202">
        <v>1</v>
      </c>
      <c r="AJ40" cm="1">
        <f t="array" ref="AJ40">SUM(COUNTIFS($D40:$AG40,{"0","4","5","6","7","8","9"}))</f>
        <v>9</v>
      </c>
      <c r="AK40" cm="1">
        <f t="array" ref="AK40">SUM(COUNTIFS($D40:$AG40,{"0","4","5","6","7","8","9"},$D$4:$AG$4,"0"))</f>
        <v>5</v>
      </c>
      <c r="AL40" cm="1">
        <f t="array" ref="AL40">SUM(COUNTIFS($D40:$AG40,{"0","4","5","6","7","8","9"},$D$4:$AG$4,"1"))</f>
        <v>1</v>
      </c>
      <c r="AM40" cm="1">
        <f t="array" ref="AM40">SUM(COUNTIFS($D40:$AG40,{"0","4","5","6","7","8","9"},$D$4:$AG$4,"2"))</f>
        <v>1</v>
      </c>
      <c r="AN40" cm="1">
        <f t="array" ref="AN40">SUM(COUNTIFS($D40:$AG40,{"0","4","5","6","7","8","9"},$D$4:$AG$4,"3"))</f>
        <v>2</v>
      </c>
      <c r="AO40" cm="1">
        <f t="array" ref="AO40">SUM(COUNTIFS($D40:$AG40,{"1","2","3"}))</f>
        <v>21</v>
      </c>
      <c r="AP40" cm="1">
        <f t="array" ref="AP40">SUM(COUNTIFS($D40:$AG40,{"4","5","6"}))</f>
        <v>0</v>
      </c>
      <c r="AQ40">
        <f>AK40*'Spreadsheet Key'!$A$23 + AL40*'Spreadsheet Key'!$A$24 + AM40*'Spreadsheet Key'!$A$25 + AN40*'Spreadsheet Key'!$A$26</f>
        <v>348</v>
      </c>
      <c r="AR40">
        <f>AJ40/('JUN Statistics'!$B$30)*ABS(AI40-1)</f>
        <v>0</v>
      </c>
      <c r="AS40">
        <f>AI40*AT40</f>
        <v>8.4</v>
      </c>
      <c r="AT40" s="3388">
        <f>(AJ40/'JUN Statistics'!$B$6)*'Spreadsheet Key'!$A$32</f>
        <v>8.4</v>
      </c>
      <c r="AU40"/>
      <c r="AV40">
        <f>COUNTIFS($D40:$AG40,"8",$D$4:$AG$4,"0")</f>
        <v>1</v>
      </c>
      <c r="AW40">
        <f>COUNTIFS($D40:$AG40,"9",$D$4:$AG$4,"0")</f>
        <v>0</v>
      </c>
      <c r="AX40">
        <f>COUNTIFS($D40:$AG40,"8",$D$4:$AG$4,"1")</f>
        <v>0</v>
      </c>
      <c r="AY40" cm="1">
        <f t="array" ref="AY40">COUNTIFS($D40:$AG40,"9",$D$4:$AG$4,"1")+SUM(COUNTIFS($D40:$AG40,{"8","9"},$D$4:$AG$4,"2"))+COUNTIFS($D40:$AG40,"8",$D$4:$AG$4,"3")</f>
        <v>0</v>
      </c>
      <c r="AZ40">
        <f>COUNTIFS($D40:$AG40,"9",$D$4:$AG$4,"3")</f>
        <v>0</v>
      </c>
      <c r="BA40">
        <f t="shared" si="1"/>
        <v>1</v>
      </c>
      <c r="BB40">
        <f>AV40*'Spreadsheet Key'!$A$27+AW40*'Spreadsheet Key'!$A$28+AX40*'Spreadsheet Key'!$A$29+AY40*'Spreadsheet Key'!$A$30+AZ40*'Spreadsheet Key'!$A$31</f>
        <v>10</v>
      </c>
      <c r="BC40"/>
      <c r="BD40">
        <f t="shared" ref="BD40" si="32">AT40-BB40</f>
        <v>-1.5999999999999996</v>
      </c>
    </row>
    <row r="41" spans="1:60">
      <c r="A41" s="3208"/>
      <c r="B41" s="3208"/>
      <c r="C41" s="3180" t="str">
        <f t="shared" si="0"/>
        <v xml:space="preserve"> </v>
      </c>
      <c r="D41" s="776"/>
      <c r="E41" s="3390" t="s">
        <v>1386</v>
      </c>
      <c r="F41" s="6433" t="s">
        <v>1395</v>
      </c>
      <c r="G41" s="6433"/>
      <c r="H41" s="6433"/>
      <c r="I41" s="6433"/>
      <c r="J41" s="6433"/>
      <c r="K41" s="6433"/>
      <c r="L41" s="6433"/>
      <c r="M41" s="6433"/>
      <c r="N41" s="6433"/>
      <c r="O41" s="6433"/>
      <c r="P41" s="6433"/>
      <c r="Q41" s="6433"/>
      <c r="R41" s="6433"/>
      <c r="S41" s="6433"/>
      <c r="T41" s="6433"/>
      <c r="U41" s="6433"/>
      <c r="V41" s="6433"/>
      <c r="W41" s="6433"/>
      <c r="X41" s="6433"/>
      <c r="Y41" s="3395" t="s">
        <v>1386</v>
      </c>
      <c r="Z41" s="776"/>
      <c r="AA41" s="776"/>
      <c r="AB41" s="776"/>
      <c r="AC41" s="776"/>
      <c r="AD41" s="904" t="s">
        <v>722</v>
      </c>
      <c r="AE41" s="776"/>
      <c r="AF41" s="776"/>
      <c r="AG41" s="2489"/>
      <c r="AH41" s="3233"/>
      <c r="AI41" s="3202"/>
      <c r="AT41" s="3388"/>
      <c r="AV41">
        <f>COUNTIFS($D41:$AG41,"8",$D$4:$AG$4,"0")</f>
        <v>0</v>
      </c>
      <c r="AW41">
        <f>COUNTIFS($D41:$AG41,"9",$D$4:$AG$4,"0")</f>
        <v>0</v>
      </c>
      <c r="AX41">
        <f>COUNTIFS($D41:$AG41,"8",$D$4:$AG$4,"1")</f>
        <v>0</v>
      </c>
      <c r="AY41" cm="1">
        <f t="array" ref="AY41">COUNTIFS($D41:$AG41,"9",$D$4:$AG$4,"1")+SUM(COUNTIFS($D41:$AG41,{"8","9"},$D$4:$AG$4,"2"))+COUNTIFS($D41:$AG41,"8",$D$4:$AG$4,"3")</f>
        <v>0</v>
      </c>
      <c r="AZ41">
        <f>COUNTIFS($D41:$AG41,"9",$D$4:$AG$4,"3")</f>
        <v>0</v>
      </c>
      <c r="BA41">
        <f t="shared" si="1"/>
        <v>0</v>
      </c>
      <c r="BB41">
        <f>AV41*'Spreadsheet Key'!$A$27+AW41*'Spreadsheet Key'!$A$28+AX41*'Spreadsheet Key'!$A$29+AY41*'Spreadsheet Key'!$A$30+AZ41*'Spreadsheet Key'!$A$31</f>
        <v>0</v>
      </c>
    </row>
    <row r="42" spans="1:60" s="3211" customFormat="1">
      <c r="A42" s="3423" t="s">
        <v>95</v>
      </c>
      <c r="B42" s="3180" t="s">
        <v>1058</v>
      </c>
      <c r="C42" s="3180" t="str">
        <f t="shared" si="0"/>
        <v>LT GARCIA</v>
      </c>
      <c r="D42" s="3386">
        <v>0</v>
      </c>
      <c r="E42" s="3386">
        <v>1</v>
      </c>
      <c r="F42" s="3386">
        <v>2</v>
      </c>
      <c r="G42" s="3386">
        <v>2</v>
      </c>
      <c r="H42" s="3386">
        <v>2</v>
      </c>
      <c r="I42" s="3386">
        <v>2</v>
      </c>
      <c r="J42" s="3386">
        <v>2</v>
      </c>
      <c r="K42" s="3386">
        <v>2</v>
      </c>
      <c r="L42" s="3386">
        <v>2</v>
      </c>
      <c r="M42" s="3386">
        <v>2</v>
      </c>
      <c r="N42" s="3386">
        <v>2</v>
      </c>
      <c r="O42" s="3386">
        <v>2</v>
      </c>
      <c r="P42" s="3386">
        <v>2</v>
      </c>
      <c r="Q42" s="3386">
        <v>2</v>
      </c>
      <c r="R42" s="3386">
        <v>2</v>
      </c>
      <c r="S42" s="3386">
        <v>2</v>
      </c>
      <c r="T42" s="3386">
        <v>2</v>
      </c>
      <c r="U42" s="3386">
        <v>2</v>
      </c>
      <c r="V42" s="3386">
        <v>2</v>
      </c>
      <c r="W42" s="3386">
        <v>2</v>
      </c>
      <c r="X42" s="3386">
        <v>2</v>
      </c>
      <c r="Y42" s="3386">
        <v>3</v>
      </c>
      <c r="Z42" s="3386">
        <v>0</v>
      </c>
      <c r="AA42" s="3386">
        <v>0</v>
      </c>
      <c r="AB42" s="3386">
        <v>0</v>
      </c>
      <c r="AC42" s="3386">
        <v>0</v>
      </c>
      <c r="AD42" s="3386">
        <v>9</v>
      </c>
      <c r="AE42" s="3386">
        <v>0</v>
      </c>
      <c r="AF42" s="3386">
        <v>0</v>
      </c>
      <c r="AG42" s="3386">
        <v>0</v>
      </c>
      <c r="AH42" s="3387"/>
      <c r="AI42" s="3202">
        <v>0</v>
      </c>
      <c r="AJ42" cm="1">
        <f t="array" ref="AJ42">SUM(COUNTIFS($D42:$AG42,{"0","4","5","6","7","8","9"}))</f>
        <v>9</v>
      </c>
      <c r="AK42" cm="1">
        <f t="array" ref="AK42">SUM(COUNTIFS($D42:$AG42,{"0","4","5","6","7","8","9"},$D$4:$AG$4,"0"))</f>
        <v>5</v>
      </c>
      <c r="AL42" cm="1">
        <f t="array" ref="AL42">SUM(COUNTIFS($D42:$AG42,{"0","4","5","6","7","8","9"},$D$4:$AG$4,"1"))</f>
        <v>1</v>
      </c>
      <c r="AM42" cm="1">
        <f t="array" ref="AM42">SUM(COUNTIFS($D42:$AG42,{"0","4","5","6","7","8","9"},$D$4:$AG$4,"2"))</f>
        <v>1</v>
      </c>
      <c r="AN42" cm="1">
        <f t="array" ref="AN42">SUM(COUNTIFS($D42:$AG42,{"0","4","5","6","7","8","9"},$D$4:$AG$4,"3"))</f>
        <v>2</v>
      </c>
      <c r="AO42" cm="1">
        <f t="array" ref="AO42">SUM(COUNTIFS($D42:$AG42,{"1","2","3"}))</f>
        <v>21</v>
      </c>
      <c r="AP42" cm="1">
        <f t="array" ref="AP42">SUM(COUNTIFS($D42:$AG42,{"4","5","6"}))</f>
        <v>0</v>
      </c>
      <c r="AQ42">
        <f>AK42*'Spreadsheet Key'!$A$23 + AL42*'Spreadsheet Key'!$A$24 + AM42*'Spreadsheet Key'!$A$25 + AN42*'Spreadsheet Key'!$A$26</f>
        <v>348</v>
      </c>
      <c r="AR42">
        <f>AJ42/('JUN Statistics'!$B$30)*ABS(AI42-1)</f>
        <v>1.7964071856287425E-2</v>
      </c>
      <c r="AS42">
        <f t="shared" ref="AS42" si="33">AI42*AT42</f>
        <v>0</v>
      </c>
      <c r="AT42" s="3388">
        <f>AR42*'JUN Statistics'!$C$11</f>
        <v>21.928144311377245</v>
      </c>
      <c r="AU42"/>
      <c r="AV42">
        <f>COUNTIFS($D42:$AG42,"8",$D$4:$AG$4,"0")</f>
        <v>0</v>
      </c>
      <c r="AW42">
        <f>COUNTIFS($D42:$AG42,"9",$D$4:$AG$4,"0")</f>
        <v>0</v>
      </c>
      <c r="AX42">
        <f>COUNTIFS($D42:$AG42,"8",$D$4:$AG$4,"1")</f>
        <v>0</v>
      </c>
      <c r="AY42" cm="1">
        <f t="array" ref="AY42">COUNTIFS($D42:$AG42,"9",$D$4:$AG$4,"1")+SUM(COUNTIFS($D42:$AG42,{"8","9"},$D$4:$AG$4,"2"))+COUNTIFS($D42:$AG42,"8",$D$4:$AG$4,"3")</f>
        <v>1</v>
      </c>
      <c r="AZ42">
        <f>COUNTIFS($D42:$AG42,"9",$D$4:$AG$4,"3")</f>
        <v>0</v>
      </c>
      <c r="BA42">
        <f t="shared" si="1"/>
        <v>1</v>
      </c>
      <c r="BB42">
        <f>AV42*'Spreadsheet Key'!$A$27+AW42*'Spreadsheet Key'!$A$28+AX42*'Spreadsheet Key'!$A$29+AY42*'Spreadsheet Key'!$A$30+AZ42*'Spreadsheet Key'!$A$31</f>
        <v>36</v>
      </c>
      <c r="BC42"/>
      <c r="BD42">
        <f t="shared" ref="BD42" si="34">AT42-BB42</f>
        <v>-14.071855688622755</v>
      </c>
    </row>
    <row r="43" spans="1:60">
      <c r="A43" s="3208"/>
      <c r="B43" s="3208"/>
      <c r="C43" s="3180" t="str">
        <f t="shared" si="0"/>
        <v xml:space="preserve"> </v>
      </c>
      <c r="D43" s="6684"/>
      <c r="E43" s="6391" t="s">
        <v>1397</v>
      </c>
      <c r="F43" s="6392"/>
      <c r="G43" s="6392"/>
      <c r="H43" s="6392"/>
      <c r="I43" s="6392"/>
      <c r="J43" s="6392"/>
      <c r="K43" s="6392"/>
      <c r="L43" s="6392"/>
      <c r="M43" s="6392"/>
      <c r="N43" s="6392"/>
      <c r="O43" s="6392"/>
      <c r="P43" s="6392"/>
      <c r="Q43" s="6392"/>
      <c r="R43" s="6392"/>
      <c r="S43" s="6392"/>
      <c r="T43" s="6392"/>
      <c r="U43" s="6392"/>
      <c r="V43" s="6392"/>
      <c r="W43" s="6392"/>
      <c r="X43" s="6392"/>
      <c r="Y43" s="6392"/>
      <c r="Z43" s="6393"/>
      <c r="AA43" s="2"/>
      <c r="AB43" s="2" t="s">
        <v>720</v>
      </c>
      <c r="AC43" s="2"/>
      <c r="AD43" s="2"/>
      <c r="AE43" s="2"/>
      <c r="AF43" s="2"/>
      <c r="AG43" s="696"/>
      <c r="AH43" s="3233"/>
      <c r="AI43" s="3202"/>
      <c r="AT43" s="3388"/>
      <c r="AV43">
        <f>COUNTIFS($D43:$AG43,"8",$D$4:$AG$4,"0")</f>
        <v>0</v>
      </c>
      <c r="AW43">
        <f>COUNTIFS($D43:$AG43,"9",$D$4:$AG$4,"0")</f>
        <v>0</v>
      </c>
      <c r="AX43">
        <f>COUNTIFS($D43:$AG43,"8",$D$4:$AG$4,"1")</f>
        <v>0</v>
      </c>
      <c r="AY43" cm="1">
        <f t="array" ref="AY43">COUNTIFS($D43:$AG43,"9",$D$4:$AG$4,"1")+SUM(COUNTIFS($D43:$AG43,{"8","9"},$D$4:$AG$4,"2"))+COUNTIFS($D43:$AG43,"8",$D$4:$AG$4,"3")</f>
        <v>0</v>
      </c>
      <c r="AZ43">
        <f>COUNTIFS($D43:$AG43,"9",$D$4:$AG$4,"3")</f>
        <v>0</v>
      </c>
      <c r="BA43">
        <f t="shared" si="1"/>
        <v>0</v>
      </c>
      <c r="BB43">
        <f>AV43*'Spreadsheet Key'!$A$27+AW43*'Spreadsheet Key'!$A$28+AX43*'Spreadsheet Key'!$A$29+AY43*'Spreadsheet Key'!$A$30+AZ43*'Spreadsheet Key'!$A$31</f>
        <v>0</v>
      </c>
    </row>
    <row r="44" spans="1:60" s="3211" customFormat="1">
      <c r="A44" s="3423" t="s">
        <v>95</v>
      </c>
      <c r="B44" s="3180" t="s">
        <v>620</v>
      </c>
      <c r="C44" s="3180" t="str">
        <f t="shared" si="0"/>
        <v>LT GRAHAM</v>
      </c>
      <c r="D44" s="3386">
        <v>0</v>
      </c>
      <c r="E44" s="3386">
        <v>2</v>
      </c>
      <c r="F44" s="3386">
        <v>2</v>
      </c>
      <c r="G44" s="3386">
        <v>2</v>
      </c>
      <c r="H44" s="3386">
        <v>2</v>
      </c>
      <c r="I44" s="3386">
        <v>2</v>
      </c>
      <c r="J44" s="3386">
        <v>2</v>
      </c>
      <c r="K44" s="3386">
        <v>2</v>
      </c>
      <c r="L44" s="3386">
        <v>2</v>
      </c>
      <c r="M44" s="3386">
        <v>2</v>
      </c>
      <c r="N44" s="3386">
        <v>2</v>
      </c>
      <c r="O44" s="3386">
        <v>2</v>
      </c>
      <c r="P44" s="3386">
        <v>2</v>
      </c>
      <c r="Q44" s="3386">
        <v>2</v>
      </c>
      <c r="R44" s="3386">
        <v>2</v>
      </c>
      <c r="S44" s="3386">
        <v>2</v>
      </c>
      <c r="T44" s="3386">
        <v>2</v>
      </c>
      <c r="U44" s="3386">
        <v>2</v>
      </c>
      <c r="V44" s="3386">
        <v>2</v>
      </c>
      <c r="W44" s="3386">
        <v>2</v>
      </c>
      <c r="X44" s="3386">
        <v>2</v>
      </c>
      <c r="Y44" s="3386">
        <v>2</v>
      </c>
      <c r="Z44" s="3386">
        <v>2</v>
      </c>
      <c r="AA44" s="3386">
        <v>0</v>
      </c>
      <c r="AB44" s="3386">
        <v>8</v>
      </c>
      <c r="AC44" s="3386">
        <v>0</v>
      </c>
      <c r="AD44" s="3386">
        <v>0</v>
      </c>
      <c r="AE44" s="3386">
        <v>0</v>
      </c>
      <c r="AF44" s="3386">
        <v>0</v>
      </c>
      <c r="AG44" s="3386">
        <v>0</v>
      </c>
      <c r="AH44" s="3387"/>
      <c r="AI44" s="3202">
        <v>0</v>
      </c>
      <c r="AJ44" cm="1">
        <f t="array" ref="AJ44">SUM(COUNTIFS($D44:$AG44,{"0","4","5","6","7","8","9"}))</f>
        <v>8</v>
      </c>
      <c r="AK44" cm="1">
        <f t="array" ref="AK44">SUM(COUNTIFS($D44:$AG44,{"0","4","5","6","7","8","9"},$D$4:$AG$4,"0"))</f>
        <v>4</v>
      </c>
      <c r="AL44" cm="1">
        <f t="array" ref="AL44">SUM(COUNTIFS($D44:$AG44,{"0","4","5","6","7","8","9"},$D$4:$AG$4,"1"))</f>
        <v>1</v>
      </c>
      <c r="AM44" cm="1">
        <f t="array" ref="AM44">SUM(COUNTIFS($D44:$AG44,{"0","4","5","6","7","8","9"},$D$4:$AG$4,"2"))</f>
        <v>1</v>
      </c>
      <c r="AN44" cm="1">
        <f t="array" ref="AN44">SUM(COUNTIFS($D44:$AG44,{"0","4","5","6","7","8","9"},$D$4:$AG$4,"3"))</f>
        <v>2</v>
      </c>
      <c r="AO44" cm="1">
        <f t="array" ref="AO44">SUM(COUNTIFS($D44:$AG44,{"1","2","3"}))</f>
        <v>22</v>
      </c>
      <c r="AP44" cm="1">
        <f t="array" ref="AP44">SUM(COUNTIFS($D44:$AG44,{"4","5","6"}))</f>
        <v>0</v>
      </c>
      <c r="AQ44">
        <f>AK44*'Spreadsheet Key'!$A$23 + AL44*'Spreadsheet Key'!$A$24 + AM44*'Spreadsheet Key'!$A$25 + AN44*'Spreadsheet Key'!$A$26</f>
        <v>326</v>
      </c>
      <c r="AR44">
        <f>AJ44/('JUN Statistics'!$B$30)*ABS(AI44-1)</f>
        <v>1.5968063872255488E-2</v>
      </c>
      <c r="AS44">
        <f t="shared" ref="AS44:AS100" si="35">AI44*AT44</f>
        <v>0</v>
      </c>
      <c r="AT44" s="3388">
        <f>AR44*'JUN Statistics'!$C$11</f>
        <v>19.491683832335326</v>
      </c>
      <c r="AU44"/>
      <c r="AV44">
        <f>COUNTIFS($D44:$AG44,"8",$D$4:$AG$4,"0")</f>
        <v>1</v>
      </c>
      <c r="AW44">
        <f>COUNTIFS($D44:$AG44,"9",$D$4:$AG$4,"0")</f>
        <v>0</v>
      </c>
      <c r="AX44">
        <f>COUNTIFS($D44:$AG44,"8",$D$4:$AG$4,"1")</f>
        <v>0</v>
      </c>
      <c r="AY44" cm="1">
        <f t="array" ref="AY44">COUNTIFS($D44:$AG44,"9",$D$4:$AG$4,"1")+SUM(COUNTIFS($D44:$AG44,{"8","9"},$D$4:$AG$4,"2"))+COUNTIFS($D44:$AG44,"8",$D$4:$AG$4,"3")</f>
        <v>0</v>
      </c>
      <c r="AZ44">
        <f>COUNTIFS($D44:$AG44,"9",$D$4:$AG$4,"3")</f>
        <v>0</v>
      </c>
      <c r="BA44">
        <f t="shared" si="1"/>
        <v>1</v>
      </c>
      <c r="BB44">
        <f>AV44*'Spreadsheet Key'!$A$27+AW44*'Spreadsheet Key'!$A$28+AX44*'Spreadsheet Key'!$A$29+AY44*'Spreadsheet Key'!$A$30+AZ44*'Spreadsheet Key'!$A$31</f>
        <v>10</v>
      </c>
      <c r="BC44"/>
      <c r="BD44">
        <f t="shared" ref="BD44" si="36">AT44-BB44</f>
        <v>9.4916838323353261</v>
      </c>
    </row>
    <row r="45" spans="1:60" ht="15.75" customHeight="1">
      <c r="A45" s="3208"/>
      <c r="B45" s="3208"/>
      <c r="C45" s="3180" t="str">
        <f t="shared" si="0"/>
        <v xml:space="preserve"> </v>
      </c>
      <c r="D45" s="3391" t="s">
        <v>1386</v>
      </c>
      <c r="E45" s="4313" t="s">
        <v>1232</v>
      </c>
      <c r="F45" s="6399"/>
      <c r="G45" s="6399"/>
      <c r="H45" s="3390" t="s">
        <v>1386</v>
      </c>
      <c r="I45" s="776"/>
      <c r="J45" s="776"/>
      <c r="K45" s="776"/>
      <c r="L45" s="3390" t="s">
        <v>1386</v>
      </c>
      <c r="M45" s="6400" t="s">
        <v>441</v>
      </c>
      <c r="N45" s="6400"/>
      <c r="O45" s="3390" t="s">
        <v>1386</v>
      </c>
      <c r="P45" s="776"/>
      <c r="Q45" s="776"/>
      <c r="R45" s="776" t="s">
        <v>722</v>
      </c>
      <c r="S45" s="776"/>
      <c r="T45" s="776"/>
      <c r="U45" s="776"/>
      <c r="V45" s="6390" t="s">
        <v>1398</v>
      </c>
      <c r="W45" s="6390"/>
      <c r="X45" s="6390"/>
      <c r="Y45" s="6390"/>
      <c r="Z45" s="2"/>
      <c r="AA45" s="2" t="s">
        <v>722</v>
      </c>
      <c r="AB45" s="2"/>
      <c r="AC45" s="2"/>
      <c r="AD45" s="2"/>
      <c r="AE45" s="2"/>
      <c r="AF45" s="2"/>
      <c r="AG45" s="3399" t="s">
        <v>1386</v>
      </c>
      <c r="AH45" s="3233"/>
      <c r="AI45" s="3202"/>
      <c r="AT45" s="3388"/>
      <c r="AV45">
        <f>COUNTIFS($D45:$AG45,"8",$D$4:$AG$4,"0")</f>
        <v>0</v>
      </c>
      <c r="AW45">
        <f>COUNTIFS($D45:$AG45,"9",$D$4:$AG$4,"0")</f>
        <v>0</v>
      </c>
      <c r="AX45">
        <f>COUNTIFS($D45:$AG45,"8",$D$4:$AG$4,"1")</f>
        <v>0</v>
      </c>
      <c r="AY45" cm="1">
        <f t="array" ref="AY45">COUNTIFS($D45:$AG45,"9",$D$4:$AG$4,"1")+SUM(COUNTIFS($D45:$AG45,{"8","9"},$D$4:$AG$4,"2"))+COUNTIFS($D45:$AG45,"8",$D$4:$AG$4,"3")</f>
        <v>0</v>
      </c>
      <c r="AZ45">
        <f>COUNTIFS($D45:$AG45,"9",$D$4:$AG$4,"3")</f>
        <v>0</v>
      </c>
      <c r="BA45">
        <f t="shared" si="1"/>
        <v>0</v>
      </c>
      <c r="BB45">
        <f>AV45*'Spreadsheet Key'!$A$27+AW45*'Spreadsheet Key'!$A$28+AX45*'Spreadsheet Key'!$A$29+AY45*'Spreadsheet Key'!$A$30+AZ45*'Spreadsheet Key'!$A$31</f>
        <v>0</v>
      </c>
    </row>
    <row r="46" spans="1:60" s="3211" customFormat="1">
      <c r="A46" s="3180" t="s">
        <v>95</v>
      </c>
      <c r="B46" s="3180" t="s">
        <v>1037</v>
      </c>
      <c r="C46" s="3180" t="str">
        <f t="shared" si="0"/>
        <v>LT DECKER</v>
      </c>
      <c r="D46" s="3386">
        <v>1</v>
      </c>
      <c r="E46" s="3386">
        <v>2</v>
      </c>
      <c r="F46" s="3386">
        <v>2</v>
      </c>
      <c r="G46" s="3386">
        <v>2</v>
      </c>
      <c r="H46" s="3386">
        <v>3</v>
      </c>
      <c r="I46" s="3386">
        <v>0</v>
      </c>
      <c r="J46" s="3386">
        <v>0</v>
      </c>
      <c r="K46" s="3386">
        <v>0</v>
      </c>
      <c r="L46" s="3386">
        <v>1</v>
      </c>
      <c r="M46" s="3386">
        <v>2</v>
      </c>
      <c r="N46" s="3386">
        <v>2</v>
      </c>
      <c r="O46" s="3386">
        <v>3</v>
      </c>
      <c r="P46" s="3386">
        <v>0</v>
      </c>
      <c r="Q46" s="3386">
        <v>0</v>
      </c>
      <c r="R46" s="3386">
        <v>9</v>
      </c>
      <c r="S46" s="3386">
        <v>0</v>
      </c>
      <c r="T46" s="3386">
        <v>0</v>
      </c>
      <c r="U46" s="3386">
        <v>0</v>
      </c>
      <c r="V46" s="3386">
        <v>4</v>
      </c>
      <c r="W46" s="3386">
        <v>5</v>
      </c>
      <c r="X46" s="3386">
        <v>5</v>
      </c>
      <c r="Y46" s="3386">
        <v>6</v>
      </c>
      <c r="Z46" s="3386">
        <v>0</v>
      </c>
      <c r="AA46" s="3386">
        <v>9</v>
      </c>
      <c r="AB46" s="3386">
        <v>0</v>
      </c>
      <c r="AC46" s="3386">
        <v>0</v>
      </c>
      <c r="AD46" s="3386">
        <v>0</v>
      </c>
      <c r="AE46" s="3386">
        <v>0</v>
      </c>
      <c r="AF46" s="3386">
        <v>0</v>
      </c>
      <c r="AG46" s="3386">
        <v>1</v>
      </c>
      <c r="AH46" s="3387"/>
      <c r="AI46" s="3202">
        <v>0</v>
      </c>
      <c r="AJ46" cm="1">
        <f t="array" ref="AJ46">SUM(COUNTIFS($D46:$AG46,{"0","4","5","6","7","8","9"}))</f>
        <v>20</v>
      </c>
      <c r="AK46" cm="1">
        <f t="array" ref="AK46">SUM(COUNTIFS($D46:$AG46,{"0","4","5","6","7","8","9"},$D$4:$AG$4,"0"))</f>
        <v>6</v>
      </c>
      <c r="AL46" cm="1">
        <f t="array" ref="AL46">SUM(COUNTIFS($D46:$AG46,{"0","4","5","6","7","8","9"},$D$4:$AG$4,"1"))</f>
        <v>4</v>
      </c>
      <c r="AM46" cm="1">
        <f t="array" ref="AM46">SUM(COUNTIFS($D46:$AG46,{"0","4","5","6","7","8","9"},$D$4:$AG$4,"2"))</f>
        <v>6</v>
      </c>
      <c r="AN46" cm="1">
        <f t="array" ref="AN46">SUM(COUNTIFS($D46:$AG46,{"0","4","5","6","7","8","9"},$D$4:$AG$4,"3"))</f>
        <v>4</v>
      </c>
      <c r="AO46" cm="1">
        <f t="array" ref="AO46">SUM(COUNTIFS($D46:$AG46,{"1","2","3"}))</f>
        <v>10</v>
      </c>
      <c r="AP46" cm="1">
        <f t="array" ref="AP46">SUM(COUNTIFS($D46:$AG46,{"4","5","6"}))</f>
        <v>4</v>
      </c>
      <c r="AQ46">
        <f>AK46*'Spreadsheet Key'!$A$23 + AL46*'Spreadsheet Key'!$A$24 + AM46*'Spreadsheet Key'!$A$25 + AN46*'Spreadsheet Key'!$A$26</f>
        <v>1004</v>
      </c>
      <c r="AR46">
        <f>AJ46/('JUN Statistics'!$B$30)*ABS(AI46-1)</f>
        <v>3.9920159680638723E-2</v>
      </c>
      <c r="AS46">
        <f t="shared" ref="AS46" si="37">AI46*AT46</f>
        <v>0</v>
      </c>
      <c r="AT46" s="3388">
        <f>AR46*'JUN Statistics'!$C$11</f>
        <v>48.729209580838322</v>
      </c>
      <c r="AU46"/>
      <c r="AV46">
        <f>COUNTIFS($D46:$AG46,"8",$D$4:$AG$4,"0")</f>
        <v>0</v>
      </c>
      <c r="AW46">
        <f>COUNTIFS($D46:$AG46,"9",$D$4:$AG$4,"0")</f>
        <v>1</v>
      </c>
      <c r="AX46">
        <f>COUNTIFS($D46:$AG46,"8",$D$4:$AG$4,"1")</f>
        <v>0</v>
      </c>
      <c r="AY46" cm="1">
        <f t="array" ref="AY46">COUNTIFS($D46:$AG46,"9",$D$4:$AG$4,"1")+SUM(COUNTIFS($D46:$AG46,{"8","9"},$D$4:$AG$4,"2"))+COUNTIFS($D46:$AG46,"8",$D$4:$AG$4,"3")</f>
        <v>0</v>
      </c>
      <c r="AZ46">
        <f>COUNTIFS($D46:$AG46,"9",$D$4:$AG$4,"3")</f>
        <v>1</v>
      </c>
      <c r="BA46">
        <f t="shared" si="1"/>
        <v>2</v>
      </c>
      <c r="BB46">
        <f>AV46*'Spreadsheet Key'!$A$27+AW46*'Spreadsheet Key'!$A$28+AX46*'Spreadsheet Key'!$A$29+AY46*'Spreadsheet Key'!$A$30+AZ46*'Spreadsheet Key'!$A$31</f>
        <v>32</v>
      </c>
      <c r="BC46"/>
      <c r="BD46">
        <f t="shared" ref="BD46" si="38">AT46-BB46</f>
        <v>16.729209580838322</v>
      </c>
    </row>
    <row r="47" spans="1:60">
      <c r="A47" s="3208"/>
      <c r="B47" s="3208"/>
      <c r="C47" s="3180" t="str">
        <f t="shared" si="0"/>
        <v xml:space="preserve"> </v>
      </c>
      <c r="D47" s="6394" t="s">
        <v>1386</v>
      </c>
      <c r="E47" s="6395"/>
      <c r="F47" s="6396" t="s">
        <v>1395</v>
      </c>
      <c r="G47" s="6397"/>
      <c r="H47" s="6397"/>
      <c r="I47" s="6397"/>
      <c r="J47" s="6397"/>
      <c r="K47" s="6397"/>
      <c r="L47" s="6397"/>
      <c r="M47" s="6397"/>
      <c r="N47" s="6397"/>
      <c r="O47" s="6397"/>
      <c r="P47" s="6397"/>
      <c r="Q47" s="6397"/>
      <c r="R47" s="6397"/>
      <c r="S47" s="6397"/>
      <c r="T47" s="6397"/>
      <c r="U47" s="6398"/>
      <c r="V47" s="3521" t="s">
        <v>1386</v>
      </c>
      <c r="W47" s="2"/>
      <c r="X47" s="2"/>
      <c r="Y47" s="2"/>
      <c r="Z47" s="3400"/>
      <c r="AA47" s="3400"/>
      <c r="AB47" s="3400" t="s">
        <v>722</v>
      </c>
      <c r="AC47" s="3400"/>
      <c r="AD47" s="2"/>
      <c r="AE47" s="2"/>
      <c r="AF47" s="2"/>
      <c r="AG47" s="696"/>
      <c r="AH47" s="3233"/>
      <c r="AI47" s="3202"/>
      <c r="AT47" s="3388"/>
      <c r="AV47">
        <f>COUNTIFS($D47:$AG47,"8",$D$4:$AG$4,"0")</f>
        <v>0</v>
      </c>
      <c r="AW47">
        <f>COUNTIFS($D47:$AG47,"9",$D$4:$AG$4,"0")</f>
        <v>0</v>
      </c>
      <c r="AX47">
        <f>COUNTIFS($D47:$AG47,"8",$D$4:$AG$4,"1")</f>
        <v>0</v>
      </c>
      <c r="AY47" cm="1">
        <f t="array" ref="AY47">COUNTIFS($D47:$AG47,"9",$D$4:$AG$4,"1")+SUM(COUNTIFS($D47:$AG47,{"8","9"},$D$4:$AG$4,"2"))+COUNTIFS($D47:$AG47,"8",$D$4:$AG$4,"3")</f>
        <v>0</v>
      </c>
      <c r="AZ47">
        <f>COUNTIFS($D47:$AG47,"9",$D$4:$AG$4,"3")</f>
        <v>0</v>
      </c>
      <c r="BA47">
        <f t="shared" si="1"/>
        <v>0</v>
      </c>
      <c r="BB47">
        <f>AV47*'Spreadsheet Key'!$A$27+AW47*'Spreadsheet Key'!$A$28+AX47*'Spreadsheet Key'!$A$29+AY47*'Spreadsheet Key'!$A$30+AZ47*'Spreadsheet Key'!$A$31</f>
        <v>0</v>
      </c>
    </row>
    <row r="48" spans="1:60" s="3211" customFormat="1">
      <c r="A48" s="3423" t="s">
        <v>739</v>
      </c>
      <c r="B48" s="3180" t="s">
        <v>740</v>
      </c>
      <c r="C48" s="3180" t="str">
        <f t="shared" si="0"/>
        <v>STGC PLACENCIA</v>
      </c>
      <c r="D48" s="3386">
        <v>1</v>
      </c>
      <c r="E48" s="3386">
        <v>1</v>
      </c>
      <c r="F48" s="3386">
        <v>2</v>
      </c>
      <c r="G48" s="3386">
        <v>2</v>
      </c>
      <c r="H48" s="3386">
        <v>2</v>
      </c>
      <c r="I48" s="3386">
        <v>2</v>
      </c>
      <c r="J48" s="3386">
        <v>0</v>
      </c>
      <c r="K48" s="3386">
        <v>0</v>
      </c>
      <c r="L48" s="3386">
        <v>2</v>
      </c>
      <c r="M48" s="3386">
        <v>2</v>
      </c>
      <c r="N48" s="3386">
        <v>2</v>
      </c>
      <c r="O48" s="3386">
        <v>2</v>
      </c>
      <c r="P48" s="3386">
        <v>2</v>
      </c>
      <c r="Q48" s="3386">
        <v>2</v>
      </c>
      <c r="R48" s="3386">
        <v>2</v>
      </c>
      <c r="S48" s="3386">
        <v>2</v>
      </c>
      <c r="T48" s="3386">
        <v>2</v>
      </c>
      <c r="U48" s="3386">
        <v>2</v>
      </c>
      <c r="V48" s="3386">
        <v>3</v>
      </c>
      <c r="W48" s="3386">
        <v>0</v>
      </c>
      <c r="X48" s="3386">
        <v>0</v>
      </c>
      <c r="Y48" s="3386">
        <v>0</v>
      </c>
      <c r="Z48" s="3386">
        <v>0</v>
      </c>
      <c r="AA48" s="3386">
        <v>0</v>
      </c>
      <c r="AB48" s="3386">
        <v>9</v>
      </c>
      <c r="AC48" s="3386">
        <v>0</v>
      </c>
      <c r="AD48" s="3386">
        <v>0</v>
      </c>
      <c r="AE48" s="3386">
        <v>0</v>
      </c>
      <c r="AF48" s="3386">
        <v>0</v>
      </c>
      <c r="AG48" s="3386">
        <v>0</v>
      </c>
      <c r="AH48" s="3233"/>
      <c r="AI48" s="3202">
        <v>0</v>
      </c>
      <c r="AJ48" cm="1">
        <f t="array" ref="AJ48">SUM(COUNTIFS($D48:$AG48,{"0","4","5","6","7","8","9"}))</f>
        <v>13</v>
      </c>
      <c r="AK48" cm="1">
        <f t="array" ref="AK48">SUM(COUNTIFS($D48:$AG48,{"0","4","5","6","7","8","9"},$D$4:$AG$4,"0"))</f>
        <v>5</v>
      </c>
      <c r="AL48" cm="1">
        <f t="array" ref="AL48">SUM(COUNTIFS($D48:$AG48,{"0","4","5","6","7","8","9"},$D$4:$AG$4,"1"))</f>
        <v>1</v>
      </c>
      <c r="AM48" cm="1">
        <f t="array" ref="AM48">SUM(COUNTIFS($D48:$AG48,{"0","4","5","6","7","8","9"},$D$4:$AG$4,"2"))</f>
        <v>4</v>
      </c>
      <c r="AN48" cm="1">
        <f t="array" ref="AN48">SUM(COUNTIFS($D48:$AG48,{"0","4","5","6","7","8","9"},$D$4:$AG$4,"3"))</f>
        <v>3</v>
      </c>
      <c r="AO48" cm="1">
        <f t="array" ref="AO48">SUM(COUNTIFS($D48:$AG48,{"1","2","3"}))</f>
        <v>17</v>
      </c>
      <c r="AP48" cm="1">
        <f t="array" ref="AP48">SUM(COUNTIFS($D48:$AG48,{"4","5","6"}))</f>
        <v>0</v>
      </c>
      <c r="AQ48">
        <f>AK48*'Spreadsheet Key'!$A$23 + AL48*'Spreadsheet Key'!$A$24 + AM48*'Spreadsheet Key'!$A$25 + AN48*'Spreadsheet Key'!$A$26</f>
        <v>620</v>
      </c>
      <c r="AR48">
        <f>AJ48/('JUN Statistics'!$B$30)*ABS(AI48-1)</f>
        <v>2.5948103792415168E-2</v>
      </c>
      <c r="AS48">
        <f t="shared" ref="AS48:AS104" si="39">AI48*AT48</f>
        <v>0</v>
      </c>
      <c r="AT48" s="3388">
        <f>AR48*'JUN Statistics'!$C$11</f>
        <v>31.673986227544908</v>
      </c>
      <c r="AU48"/>
      <c r="AV48">
        <f>COUNTIFS($D48:$AG48,"8",$D$4:$AG$4,"0")</f>
        <v>0</v>
      </c>
      <c r="AW48">
        <f>COUNTIFS($D48:$AG48,"9",$D$4:$AG$4,"0")</f>
        <v>1</v>
      </c>
      <c r="AX48">
        <f>COUNTIFS($D48:$AG48,"8",$D$4:$AG$4,"1")</f>
        <v>0</v>
      </c>
      <c r="AY48" cm="1">
        <f t="array" ref="AY48">COUNTIFS($D48:$AG48,"9",$D$4:$AG$4,"1")+SUM(COUNTIFS($D48:$AG48,{"8","9"},$D$4:$AG$4,"2"))+COUNTIFS($D48:$AG48,"8",$D$4:$AG$4,"3")</f>
        <v>0</v>
      </c>
      <c r="AZ48">
        <f>COUNTIFS($D48:$AG48,"9",$D$4:$AG$4,"3")</f>
        <v>0</v>
      </c>
      <c r="BA48">
        <f t="shared" si="1"/>
        <v>1</v>
      </c>
      <c r="BB48">
        <f>AV48*'Spreadsheet Key'!$A$27+AW48*'Spreadsheet Key'!$A$28+AX48*'Spreadsheet Key'!$A$29+AY48*'Spreadsheet Key'!$A$30+AZ48*'Spreadsheet Key'!$A$31</f>
        <v>12</v>
      </c>
      <c r="BC48"/>
      <c r="BD48">
        <f t="shared" ref="BD48" si="40">AT48-BB48</f>
        <v>19.673986227544908</v>
      </c>
    </row>
    <row r="49" spans="1:56">
      <c r="A49" s="3208"/>
      <c r="B49" s="3208"/>
      <c r="C49" s="3180" t="str">
        <f t="shared" si="0"/>
        <v xml:space="preserve"> </v>
      </c>
      <c r="D49" s="6394" t="s">
        <v>1386</v>
      </c>
      <c r="E49" s="6395"/>
      <c r="F49" s="6396" t="s">
        <v>1395</v>
      </c>
      <c r="G49" s="6397"/>
      <c r="H49" s="6397"/>
      <c r="I49" s="6397"/>
      <c r="J49" s="6397"/>
      <c r="K49" s="6397"/>
      <c r="L49" s="6397"/>
      <c r="M49" s="6397"/>
      <c r="N49" s="6397"/>
      <c r="O49" s="6397"/>
      <c r="P49" s="6397"/>
      <c r="Q49" s="6397"/>
      <c r="R49" s="6397"/>
      <c r="S49" s="6397"/>
      <c r="T49" s="6397"/>
      <c r="U49" s="6398"/>
      <c r="V49" s="3521" t="s">
        <v>1386</v>
      </c>
      <c r="W49" s="321"/>
      <c r="X49" s="321"/>
      <c r="Y49" s="323"/>
      <c r="Z49" s="323"/>
      <c r="AA49" s="323"/>
      <c r="AB49" s="323"/>
      <c r="AC49" s="323"/>
      <c r="AD49" s="323"/>
      <c r="AE49" s="323"/>
      <c r="AF49" s="3400" t="s">
        <v>722</v>
      </c>
      <c r="AG49" s="324"/>
      <c r="AH49" s="3233"/>
      <c r="AI49" s="3202"/>
      <c r="AT49" s="3388"/>
      <c r="AV49">
        <f>COUNTIFS($D49:$AG49,"8",$D$4:$AG$4,"0")</f>
        <v>0</v>
      </c>
      <c r="AW49">
        <f>COUNTIFS($D49:$AG49,"9",$D$4:$AG$4,"0")</f>
        <v>0</v>
      </c>
      <c r="AX49">
        <f>COUNTIFS($D49:$AG49,"8",$D$4:$AG$4,"1")</f>
        <v>0</v>
      </c>
      <c r="AY49" cm="1">
        <f t="array" ref="AY49">COUNTIFS($D49:$AG49,"9",$D$4:$AG$4,"1")+SUM(COUNTIFS($D49:$AG49,{"8","9"},$D$4:$AG$4,"2"))+COUNTIFS($D49:$AG49,"8",$D$4:$AG$4,"3")</f>
        <v>0</v>
      </c>
      <c r="AZ49">
        <f>COUNTIFS($D49:$AG49,"9",$D$4:$AG$4,"3")</f>
        <v>0</v>
      </c>
      <c r="BA49">
        <f t="shared" si="1"/>
        <v>0</v>
      </c>
      <c r="BB49">
        <f>AV49*'Spreadsheet Key'!$A$27+AW49*'Spreadsheet Key'!$A$28+AX49*'Spreadsheet Key'!$A$29+AY49*'Spreadsheet Key'!$A$30+AZ49*'Spreadsheet Key'!$A$31</f>
        <v>0</v>
      </c>
    </row>
    <row r="50" spans="1:56" s="3211" customFormat="1">
      <c r="A50" s="3423" t="s">
        <v>108</v>
      </c>
      <c r="B50" s="3180" t="s">
        <v>1106</v>
      </c>
      <c r="C50" s="3180" t="str">
        <f t="shared" si="0"/>
        <v>OS1 LARA</v>
      </c>
      <c r="D50" s="3386">
        <v>1</v>
      </c>
      <c r="E50" s="3386">
        <v>1</v>
      </c>
      <c r="F50" s="3386">
        <v>2</v>
      </c>
      <c r="G50" s="3386">
        <v>2</v>
      </c>
      <c r="H50" s="3386">
        <v>2</v>
      </c>
      <c r="I50" s="3386">
        <v>2</v>
      </c>
      <c r="J50" s="3386">
        <v>0</v>
      </c>
      <c r="K50" s="3386">
        <v>0</v>
      </c>
      <c r="L50" s="3386">
        <v>2</v>
      </c>
      <c r="M50" s="3386">
        <v>2</v>
      </c>
      <c r="N50" s="3386">
        <v>2</v>
      </c>
      <c r="O50" s="3386">
        <v>2</v>
      </c>
      <c r="P50" s="3386">
        <v>2</v>
      </c>
      <c r="Q50" s="3386">
        <v>2</v>
      </c>
      <c r="R50" s="3386">
        <v>2</v>
      </c>
      <c r="S50" s="3386">
        <v>2</v>
      </c>
      <c r="T50" s="3386">
        <v>2</v>
      </c>
      <c r="U50" s="3386">
        <v>2</v>
      </c>
      <c r="V50" s="3386">
        <v>3</v>
      </c>
      <c r="W50" s="3386">
        <v>0</v>
      </c>
      <c r="X50" s="3386">
        <v>0</v>
      </c>
      <c r="Y50" s="3386">
        <v>0</v>
      </c>
      <c r="Z50" s="3386">
        <v>0</v>
      </c>
      <c r="AA50" s="3386">
        <v>0</v>
      </c>
      <c r="AB50" s="3386">
        <v>0</v>
      </c>
      <c r="AC50" s="3386">
        <v>0</v>
      </c>
      <c r="AD50" s="3386">
        <v>0</v>
      </c>
      <c r="AE50" s="3386">
        <v>0</v>
      </c>
      <c r="AF50" s="3386">
        <v>9</v>
      </c>
      <c r="AG50" s="3386">
        <v>0</v>
      </c>
      <c r="AH50" s="3387"/>
      <c r="AI50" s="3202">
        <v>0</v>
      </c>
      <c r="AJ50" cm="1">
        <f t="array" ref="AJ50">SUM(COUNTIFS($D50:$AG50,{"0","4","5","6","7","8","9"}))</f>
        <v>13</v>
      </c>
      <c r="AK50" cm="1">
        <f t="array" ref="AK50">SUM(COUNTIFS($D50:$AG50,{"0","4","5","6","7","8","9"},$D$4:$AG$4,"0"))</f>
        <v>5</v>
      </c>
      <c r="AL50" cm="1">
        <f t="array" ref="AL50">SUM(COUNTIFS($D50:$AG50,{"0","4","5","6","7","8","9"},$D$4:$AG$4,"1"))</f>
        <v>1</v>
      </c>
      <c r="AM50" cm="1">
        <f t="array" ref="AM50">SUM(COUNTIFS($D50:$AG50,{"0","4","5","6","7","8","9"},$D$4:$AG$4,"2"))</f>
        <v>4</v>
      </c>
      <c r="AN50" cm="1">
        <f t="array" ref="AN50">SUM(COUNTIFS($D50:$AG50,{"0","4","5","6","7","8","9"},$D$4:$AG$4,"3"))</f>
        <v>3</v>
      </c>
      <c r="AO50" cm="1">
        <f t="array" ref="AO50">SUM(COUNTIFS($D50:$AG50,{"1","2","3"}))</f>
        <v>17</v>
      </c>
      <c r="AP50" cm="1">
        <f t="array" ref="AP50">SUM(COUNTIFS($D50:$AG50,{"4","5","6"}))</f>
        <v>0</v>
      </c>
      <c r="AQ50">
        <f>AK50*'Spreadsheet Key'!$A$23 + AL50*'Spreadsheet Key'!$A$24 + AM50*'Spreadsheet Key'!$A$25 + AN50*'Spreadsheet Key'!$A$26</f>
        <v>620</v>
      </c>
      <c r="AR50">
        <f>AJ50/('JUN Statistics'!$B$30)*ABS(AI50-1)</f>
        <v>2.5948103792415168E-2</v>
      </c>
      <c r="AS50">
        <f t="shared" ref="AS50" si="41">AI50*AT50</f>
        <v>0</v>
      </c>
      <c r="AT50" s="3388">
        <f>AR50*'JUN Statistics'!$C$11</f>
        <v>31.673986227544908</v>
      </c>
      <c r="AU50"/>
      <c r="AV50">
        <f>COUNTIFS($D50:$AG50,"8",$D$4:$AG$4,"0")</f>
        <v>0</v>
      </c>
      <c r="AW50">
        <f>COUNTIFS($D50:$AG50,"9",$D$4:$AG$4,"0")</f>
        <v>0</v>
      </c>
      <c r="AX50">
        <f>COUNTIFS($D50:$AG50,"8",$D$4:$AG$4,"1")</f>
        <v>0</v>
      </c>
      <c r="AY50" cm="1">
        <f t="array" ref="AY50">COUNTIFS($D50:$AG50,"9",$D$4:$AG$4,"1")+SUM(COUNTIFS($D50:$AG50,{"8","9"},$D$4:$AG$4,"2"))+COUNTIFS($D50:$AG50,"8",$D$4:$AG$4,"3")</f>
        <v>0</v>
      </c>
      <c r="AZ50">
        <f>COUNTIFS($D50:$AG50,"9",$D$4:$AG$4,"3")</f>
        <v>1</v>
      </c>
      <c r="BA50">
        <f t="shared" si="1"/>
        <v>1</v>
      </c>
      <c r="BB50">
        <f>AV50*'Spreadsheet Key'!$A$27+AW50*'Spreadsheet Key'!$A$28+AX50*'Spreadsheet Key'!$A$29+AY50*'Spreadsheet Key'!$A$30+AZ50*'Spreadsheet Key'!$A$31</f>
        <v>20</v>
      </c>
      <c r="BC50"/>
      <c r="BD50">
        <f t="shared" ref="BD50" si="42">AT50-BB50</f>
        <v>11.673986227544908</v>
      </c>
    </row>
    <row r="51" spans="1:56" ht="15.75">
      <c r="A51" s="3208"/>
      <c r="B51" s="3208"/>
      <c r="C51" s="3180" t="str">
        <f t="shared" si="0"/>
        <v xml:space="preserve"> </v>
      </c>
      <c r="D51" s="3401" t="s">
        <v>1386</v>
      </c>
      <c r="E51" s="6174" t="s">
        <v>1232</v>
      </c>
      <c r="F51" s="6174"/>
      <c r="G51" s="6174"/>
      <c r="H51" s="3401" t="s">
        <v>1386</v>
      </c>
      <c r="I51" s="937"/>
      <c r="J51" s="937"/>
      <c r="K51" s="937"/>
      <c r="L51" s="3401" t="s">
        <v>1386</v>
      </c>
      <c r="M51" s="6434" t="s">
        <v>441</v>
      </c>
      <c r="N51" s="6434"/>
      <c r="O51" s="3401" t="s">
        <v>1386</v>
      </c>
      <c r="P51" s="937"/>
      <c r="Q51" s="937"/>
      <c r="R51" s="937" t="s">
        <v>720</v>
      </c>
      <c r="S51" s="937"/>
      <c r="T51" s="937"/>
      <c r="U51" s="937"/>
      <c r="V51" s="937"/>
      <c r="W51" s="937"/>
      <c r="X51" s="937"/>
      <c r="Y51" s="937"/>
      <c r="Z51" s="461" t="s">
        <v>720</v>
      </c>
      <c r="AA51" s="461"/>
      <c r="AB51" s="461"/>
      <c r="AC51" s="461" t="s">
        <v>722</v>
      </c>
      <c r="AD51" s="461"/>
      <c r="AE51" s="461"/>
      <c r="AF51" s="461"/>
      <c r="AG51" s="695"/>
      <c r="AH51" s="3233"/>
      <c r="AI51" s="3202"/>
      <c r="AT51" s="3388"/>
      <c r="AV51">
        <f>COUNTIFS($D51:$AG51,"8",$D$4:$AG$4,"0")</f>
        <v>0</v>
      </c>
      <c r="AW51">
        <f>COUNTIFS($D51:$AG51,"9",$D$4:$AG$4,"0")</f>
        <v>0</v>
      </c>
      <c r="AX51">
        <f>COUNTIFS($D51:$AG51,"8",$D$4:$AG$4,"1")</f>
        <v>0</v>
      </c>
      <c r="AY51" cm="1">
        <f t="array" ref="AY51">COUNTIFS($D51:$AG51,"9",$D$4:$AG$4,"1")+SUM(COUNTIFS($D51:$AG51,{"8","9"},$D$4:$AG$4,"2"))+COUNTIFS($D51:$AG51,"8",$D$4:$AG$4,"3")</f>
        <v>0</v>
      </c>
      <c r="AZ51">
        <f>COUNTIFS($D51:$AG51,"9",$D$4:$AG$4,"3")</f>
        <v>0</v>
      </c>
      <c r="BA51">
        <f t="shared" si="1"/>
        <v>0</v>
      </c>
      <c r="BB51">
        <f>AV51*'Spreadsheet Key'!$A$27+AW51*'Spreadsheet Key'!$A$28+AX51*'Spreadsheet Key'!$A$29+AY51*'Spreadsheet Key'!$A$30+AZ51*'Spreadsheet Key'!$A$31</f>
        <v>0</v>
      </c>
    </row>
    <row r="52" spans="1:56" s="3211" customFormat="1">
      <c r="A52" s="3180" t="s">
        <v>145</v>
      </c>
      <c r="B52" s="3180" t="s">
        <v>148</v>
      </c>
      <c r="C52" s="3180" t="str">
        <f t="shared" si="0"/>
        <v>ITC ANTERO</v>
      </c>
      <c r="D52" s="3386">
        <v>1</v>
      </c>
      <c r="E52" s="3386">
        <v>2</v>
      </c>
      <c r="F52" s="3386">
        <v>2</v>
      </c>
      <c r="G52" s="3386">
        <v>2</v>
      </c>
      <c r="H52" s="3386">
        <v>3</v>
      </c>
      <c r="I52" s="3386">
        <v>0</v>
      </c>
      <c r="J52" s="3386">
        <v>0</v>
      </c>
      <c r="K52" s="3386">
        <v>0</v>
      </c>
      <c r="L52" s="3386">
        <v>1</v>
      </c>
      <c r="M52" s="3386">
        <v>2</v>
      </c>
      <c r="N52" s="3386">
        <v>2</v>
      </c>
      <c r="O52" s="3386">
        <v>3</v>
      </c>
      <c r="P52" s="3386">
        <v>0</v>
      </c>
      <c r="Q52" s="3386">
        <v>0</v>
      </c>
      <c r="R52" s="3386">
        <v>8</v>
      </c>
      <c r="S52" s="3386">
        <v>0</v>
      </c>
      <c r="T52" s="3386">
        <v>0</v>
      </c>
      <c r="U52" s="3386">
        <v>0</v>
      </c>
      <c r="V52" s="3386">
        <v>0</v>
      </c>
      <c r="W52" s="3386">
        <v>0</v>
      </c>
      <c r="X52" s="3386">
        <v>0</v>
      </c>
      <c r="Y52" s="3386">
        <v>0</v>
      </c>
      <c r="Z52" s="3386">
        <v>8</v>
      </c>
      <c r="AA52" s="3386">
        <v>0</v>
      </c>
      <c r="AB52" s="3386">
        <v>0</v>
      </c>
      <c r="AC52" s="3386">
        <v>9</v>
      </c>
      <c r="AD52" s="3386">
        <v>0</v>
      </c>
      <c r="AE52" s="3386">
        <v>0</v>
      </c>
      <c r="AF52" s="3386">
        <v>0</v>
      </c>
      <c r="AG52" s="3386">
        <v>0</v>
      </c>
      <c r="AH52" s="3387"/>
      <c r="AI52" s="3202">
        <v>0</v>
      </c>
      <c r="AJ52" cm="1">
        <f t="array" ref="AJ52">SUM(COUNTIFS($D52:$AG52,{"0","4","5","6","7","8","9"}))</f>
        <v>21</v>
      </c>
      <c r="AK52" cm="1">
        <f t="array" ref="AK52">SUM(COUNTIFS($D52:$AG52,{"0","4","5","6","7","8","9"},$D$4:$AG$4,"0"))</f>
        <v>7</v>
      </c>
      <c r="AL52" cm="1">
        <f t="array" ref="AL52">SUM(COUNTIFS($D52:$AG52,{"0","4","5","6","7","8","9"},$D$4:$AG$4,"1"))</f>
        <v>4</v>
      </c>
      <c r="AM52" cm="1">
        <f t="array" ref="AM52">SUM(COUNTIFS($D52:$AG52,{"0","4","5","6","7","8","9"},$D$4:$AG$4,"2"))</f>
        <v>6</v>
      </c>
      <c r="AN52" cm="1">
        <f t="array" ref="AN52">SUM(COUNTIFS($D52:$AG52,{"0","4","5","6","7","8","9"},$D$4:$AG$4,"3"))</f>
        <v>4</v>
      </c>
      <c r="AO52" cm="1">
        <f t="array" ref="AO52">SUM(COUNTIFS($D52:$AG52,{"1","2","3"}))</f>
        <v>9</v>
      </c>
      <c r="AP52" cm="1">
        <f t="array" ref="AP52">SUM(COUNTIFS($D52:$AG52,{"4","5","6"}))</f>
        <v>0</v>
      </c>
      <c r="AQ52">
        <f>AK52*'Spreadsheet Key'!$A$23 + AL52*'Spreadsheet Key'!$A$24 + AM52*'Spreadsheet Key'!$A$25 + AN52*'Spreadsheet Key'!$A$26</f>
        <v>1026</v>
      </c>
      <c r="AR52">
        <f>AJ52/('JUN Statistics'!$B$30)*ABS(AI52-1)</f>
        <v>4.1916167664670656E-2</v>
      </c>
      <c r="AS52">
        <f t="shared" ref="AS52:AS108" si="43">AI52*AT52</f>
        <v>0</v>
      </c>
      <c r="AT52" s="3388">
        <f>AR52*'JUN Statistics'!$C$11</f>
        <v>51.165670059880235</v>
      </c>
      <c r="AU52"/>
      <c r="AV52">
        <f>COUNTIFS($D52:$AG52,"8",$D$4:$AG$4,"0")</f>
        <v>1</v>
      </c>
      <c r="AW52">
        <f>COUNTIFS($D52:$AG52,"9",$D$4:$AG$4,"0")</f>
        <v>1</v>
      </c>
      <c r="AX52">
        <f>COUNTIFS($D52:$AG52,"8",$D$4:$AG$4,"1")</f>
        <v>0</v>
      </c>
      <c r="AY52" cm="1">
        <f t="array" ref="AY52">COUNTIFS($D52:$AG52,"9",$D$4:$AG$4,"1")+SUM(COUNTIFS($D52:$AG52,{"8","9"},$D$4:$AG$4,"2"))+COUNTIFS($D52:$AG52,"8",$D$4:$AG$4,"3")</f>
        <v>1</v>
      </c>
      <c r="AZ52">
        <f>COUNTIFS($D52:$AG52,"9",$D$4:$AG$4,"3")</f>
        <v>0</v>
      </c>
      <c r="BA52">
        <f t="shared" si="1"/>
        <v>3</v>
      </c>
      <c r="BB52">
        <f>AV52*'Spreadsheet Key'!$A$27+AW52*'Spreadsheet Key'!$A$28+AX52*'Spreadsheet Key'!$A$29+AY52*'Spreadsheet Key'!$A$30+AZ52*'Spreadsheet Key'!$A$31</f>
        <v>58</v>
      </c>
      <c r="BC52"/>
      <c r="BD52">
        <f t="shared" ref="BD52" si="44">AT52-BB52</f>
        <v>-6.8343299401197655</v>
      </c>
    </row>
    <row r="53" spans="1:56">
      <c r="A53" s="3208"/>
      <c r="B53" s="3208"/>
      <c r="C53" s="3180" t="str">
        <f t="shared" si="0"/>
        <v xml:space="preserve"> </v>
      </c>
      <c r="D53" s="2"/>
      <c r="E53" s="3386" t="s">
        <v>720</v>
      </c>
      <c r="F53" s="2"/>
      <c r="G53" s="2"/>
      <c r="H53" s="2"/>
      <c r="I53" s="2" t="s">
        <v>720</v>
      </c>
      <c r="J53" s="2"/>
      <c r="K53" s="2"/>
      <c r="L53" s="779"/>
      <c r="M53" s="2" t="s">
        <v>722</v>
      </c>
      <c r="O53" s="2"/>
      <c r="P53" s="779"/>
      <c r="Q53" s="779"/>
      <c r="R53" s="2"/>
      <c r="S53" s="2"/>
      <c r="T53" s="2"/>
      <c r="U53" s="2"/>
      <c r="V53" s="2"/>
      <c r="W53" s="2"/>
      <c r="X53" s="2" t="s">
        <v>720</v>
      </c>
      <c r="Y53" s="2"/>
      <c r="Z53" s="2"/>
      <c r="AA53" s="2"/>
      <c r="AB53" s="2"/>
      <c r="AC53" s="2" t="s">
        <v>720</v>
      </c>
      <c r="AD53" s="2"/>
      <c r="AE53" s="2"/>
      <c r="AF53" s="2"/>
      <c r="AG53" s="696"/>
      <c r="AH53" s="3233"/>
      <c r="AI53" s="3202"/>
      <c r="AT53" s="3388"/>
      <c r="AV53">
        <f>COUNTIFS($D53:$AG53,"8",$D$4:$AG$4,"0")</f>
        <v>0</v>
      </c>
      <c r="AW53">
        <f>COUNTIFS($D53:$AG53,"9",$D$4:$AG$4,"0")</f>
        <v>0</v>
      </c>
      <c r="AX53">
        <f>COUNTIFS($D53:$AG53,"8",$D$4:$AG$4,"1")</f>
        <v>0</v>
      </c>
      <c r="AY53" cm="1">
        <f t="array" ref="AY53">COUNTIFS($D53:$AG53,"9",$D$4:$AG$4,"1")+SUM(COUNTIFS($D53:$AG53,{"8","9"},$D$4:$AG$4,"2"))+COUNTIFS($D53:$AG53,"8",$D$4:$AG$4,"3")</f>
        <v>0</v>
      </c>
      <c r="AZ53">
        <f>COUNTIFS($D53:$AG53,"9",$D$4:$AG$4,"3")</f>
        <v>0</v>
      </c>
      <c r="BA53">
        <f t="shared" si="1"/>
        <v>0</v>
      </c>
      <c r="BB53">
        <f>AV53*'Spreadsheet Key'!$A$27+AW53*'Spreadsheet Key'!$A$28+AX53*'Spreadsheet Key'!$A$29+AY53*'Spreadsheet Key'!$A$30+AZ53*'Spreadsheet Key'!$A$31</f>
        <v>0</v>
      </c>
    </row>
    <row r="54" spans="1:56" s="3211" customFormat="1">
      <c r="A54" s="3421" t="s">
        <v>1272</v>
      </c>
      <c r="B54" s="3180" t="s">
        <v>618</v>
      </c>
      <c r="C54" s="3180" t="str">
        <f t="shared" si="0"/>
        <v>ITCS VALENCIA</v>
      </c>
      <c r="D54" s="3386">
        <v>0</v>
      </c>
      <c r="E54" s="3386">
        <v>8</v>
      </c>
      <c r="F54" s="3386">
        <v>0</v>
      </c>
      <c r="G54" s="3386">
        <v>0</v>
      </c>
      <c r="H54" s="3386">
        <v>0</v>
      </c>
      <c r="I54" s="3386">
        <v>8</v>
      </c>
      <c r="J54" s="3386">
        <v>0</v>
      </c>
      <c r="K54" s="3386">
        <v>0</v>
      </c>
      <c r="L54" s="3386">
        <v>0</v>
      </c>
      <c r="M54" s="3386">
        <v>9</v>
      </c>
      <c r="N54" s="3386">
        <v>0</v>
      </c>
      <c r="O54" s="3386">
        <v>0</v>
      </c>
      <c r="P54" s="3386">
        <v>0</v>
      </c>
      <c r="Q54" s="3386">
        <v>0</v>
      </c>
      <c r="R54" s="3386">
        <v>0</v>
      </c>
      <c r="S54" s="3386">
        <v>0</v>
      </c>
      <c r="T54" s="3386">
        <v>0</v>
      </c>
      <c r="U54" s="3386">
        <v>0</v>
      </c>
      <c r="V54" s="3386">
        <v>0</v>
      </c>
      <c r="W54" s="3386">
        <v>0</v>
      </c>
      <c r="X54" s="3386">
        <v>8</v>
      </c>
      <c r="Y54" s="3386">
        <v>0</v>
      </c>
      <c r="Z54" s="3386">
        <v>0</v>
      </c>
      <c r="AA54" s="3386">
        <v>0</v>
      </c>
      <c r="AB54" s="3386">
        <v>0</v>
      </c>
      <c r="AC54" s="3386">
        <v>8</v>
      </c>
      <c r="AD54" s="3386">
        <v>0</v>
      </c>
      <c r="AE54" s="3386">
        <v>0</v>
      </c>
      <c r="AF54" s="3386">
        <v>0</v>
      </c>
      <c r="AG54" s="3386">
        <v>0</v>
      </c>
      <c r="AH54" s="3387"/>
      <c r="AI54" s="3202">
        <v>0</v>
      </c>
      <c r="AJ54" cm="1">
        <f t="array" ref="AJ54">SUM(COUNTIFS($D54:$AG54,{"0","4","5","6","7","8","9"}))</f>
        <v>30</v>
      </c>
      <c r="AK54" cm="1">
        <f t="array" ref="AK54">SUM(COUNTIFS($D54:$AG54,{"0","4","5","6","7","8","9"},$D$4:$AG$4,"0"))</f>
        <v>15</v>
      </c>
      <c r="AL54" cm="1">
        <f t="array" ref="AL54">SUM(COUNTIFS($D54:$AG54,{"0","4","5","6","7","8","9"},$D$4:$AG$4,"1"))</f>
        <v>4</v>
      </c>
      <c r="AM54" cm="1">
        <f t="array" ref="AM54">SUM(COUNTIFS($D54:$AG54,{"0","4","5","6","7","8","9"},$D$4:$AG$4,"2"))</f>
        <v>6</v>
      </c>
      <c r="AN54" cm="1">
        <f t="array" ref="AN54">SUM(COUNTIFS($D54:$AG54,{"0","4","5","6","7","8","9"},$D$4:$AG$4,"3"))</f>
        <v>5</v>
      </c>
      <c r="AO54" cm="1">
        <f t="array" ref="AO54">SUM(COUNTIFS($D54:$AG54,{"1","2","3"}))</f>
        <v>0</v>
      </c>
      <c r="AP54" cm="1">
        <f t="array" ref="AP54">SUM(COUNTIFS($D54:$AG54,{"4","5","6"}))</f>
        <v>0</v>
      </c>
      <c r="AQ54">
        <f>AK54*'Spreadsheet Key'!$A$23 + AL54*'Spreadsheet Key'!$A$24 + AM54*'Spreadsheet Key'!$A$25 + AN54*'Spreadsheet Key'!$A$26</f>
        <v>1258</v>
      </c>
      <c r="AR54">
        <f>AJ54/('JUN Statistics'!$B$30)*ABS(AI54-1)</f>
        <v>5.9880239520958084E-2</v>
      </c>
      <c r="AS54">
        <f t="shared" ref="AS54" si="45">AI54*AT54</f>
        <v>0</v>
      </c>
      <c r="AT54" s="3388">
        <f>AR54*'JUN Statistics'!$C$11</f>
        <v>73.09381437125748</v>
      </c>
      <c r="AU54"/>
      <c r="AV54">
        <f>COUNTIFS($D54:$AG54,"8",$D$4:$AG$4,"0")</f>
        <v>2</v>
      </c>
      <c r="AW54">
        <f>COUNTIFS($D54:$AG54,"9",$D$4:$AG$4,"0")</f>
        <v>1</v>
      </c>
      <c r="AX54">
        <f>COUNTIFS($D54:$AG54,"8",$D$4:$AG$4,"1")</f>
        <v>1</v>
      </c>
      <c r="AY54" cm="1">
        <f t="array" ref="AY54">COUNTIFS($D54:$AG54,"9",$D$4:$AG$4,"1")+SUM(COUNTIFS($D54:$AG54,{"8","9"},$D$4:$AG$4,"2"))+COUNTIFS($D54:$AG54,"8",$D$4:$AG$4,"3")</f>
        <v>1</v>
      </c>
      <c r="AZ54">
        <f>COUNTIFS($D54:$AG54,"9",$D$4:$AG$4,"3")</f>
        <v>0</v>
      </c>
      <c r="BA54">
        <f t="shared" si="1"/>
        <v>5</v>
      </c>
      <c r="BB54">
        <f>AV54*'Spreadsheet Key'!$A$27+AW54*'Spreadsheet Key'!$A$28+AX54*'Spreadsheet Key'!$A$29+AY54*'Spreadsheet Key'!$A$30+AZ54*'Spreadsheet Key'!$A$31</f>
        <v>86</v>
      </c>
      <c r="BC54"/>
      <c r="BD54">
        <f t="shared" ref="BD54" si="46">AT54-BB54</f>
        <v>-12.90618562874252</v>
      </c>
    </row>
    <row r="55" spans="1:56">
      <c r="A55" s="3208"/>
      <c r="B55" s="3208"/>
      <c r="C55" s="3180" t="str">
        <f t="shared" si="0"/>
        <v xml:space="preserve"> </v>
      </c>
      <c r="D55" s="2"/>
      <c r="E55" s="2"/>
      <c r="F55" s="2"/>
      <c r="G55" s="2"/>
      <c r="H55" s="2"/>
      <c r="I55" s="2"/>
      <c r="J55" s="2"/>
      <c r="K55" s="2"/>
      <c r="M55" s="2459" t="s">
        <v>1399</v>
      </c>
      <c r="N55" s="5774" t="s">
        <v>1400</v>
      </c>
      <c r="O55" s="5774"/>
      <c r="P55" s="5774"/>
      <c r="Q55" s="5774"/>
      <c r="R55" s="5774"/>
      <c r="S55" s="5774"/>
      <c r="T55" s="5774"/>
      <c r="U55" s="2459"/>
      <c r="V55" s="3397" t="s">
        <v>1401</v>
      </c>
      <c r="W55" s="3397"/>
      <c r="X55" s="3397"/>
      <c r="Y55" s="3397"/>
      <c r="Z55" s="3397"/>
      <c r="AA55" s="3397"/>
      <c r="AB55" s="3397"/>
      <c r="AC55" s="6429" t="s">
        <v>483</v>
      </c>
      <c r="AD55" s="6429"/>
      <c r="AE55" s="3397"/>
      <c r="AF55" s="3397"/>
      <c r="AG55" s="3398"/>
      <c r="AH55" s="3233"/>
      <c r="AI55" s="3202"/>
      <c r="AT55" s="3388"/>
      <c r="AV55">
        <f>COUNTIFS($D55:$AG55,"8",$D$4:$AG$4,"0")</f>
        <v>0</v>
      </c>
      <c r="AW55">
        <f>COUNTIFS($D55:$AG55,"9",$D$4:$AG$4,"0")</f>
        <v>0</v>
      </c>
      <c r="AX55">
        <f>COUNTIFS($D55:$AG55,"8",$D$4:$AG$4,"1")</f>
        <v>0</v>
      </c>
      <c r="AY55" cm="1">
        <f t="array" ref="AY55">COUNTIFS($D55:$AG55,"9",$D$4:$AG$4,"1")+SUM(COUNTIFS($D55:$AG55,{"8","9"},$D$4:$AG$4,"2"))+COUNTIFS($D55:$AG55,"8",$D$4:$AG$4,"3")</f>
        <v>0</v>
      </c>
      <c r="AZ55">
        <f>COUNTIFS($D55:$AG55,"9",$D$4:$AG$4,"3")</f>
        <v>0</v>
      </c>
      <c r="BA55">
        <f t="shared" si="1"/>
        <v>0</v>
      </c>
      <c r="BB55">
        <f>AV55*'Spreadsheet Key'!$A$27+AW55*'Spreadsheet Key'!$A$28+AX55*'Spreadsheet Key'!$A$29+AY55*'Spreadsheet Key'!$A$30+AZ55*'Spreadsheet Key'!$A$31</f>
        <v>0</v>
      </c>
    </row>
    <row r="56" spans="1:56" s="3211" customFormat="1">
      <c r="A56" s="3180" t="s">
        <v>149</v>
      </c>
      <c r="B56" s="3180" t="s">
        <v>151</v>
      </c>
      <c r="C56" s="3180" t="str">
        <f t="shared" si="0"/>
        <v>IT1 LUCAS</v>
      </c>
      <c r="D56" s="3386">
        <v>0</v>
      </c>
      <c r="E56" s="3386">
        <v>0</v>
      </c>
      <c r="F56" s="3386">
        <v>0</v>
      </c>
      <c r="G56" s="3386">
        <v>0</v>
      </c>
      <c r="H56" s="3386">
        <v>0</v>
      </c>
      <c r="I56" s="3386">
        <v>0</v>
      </c>
      <c r="J56" s="3386">
        <v>0</v>
      </c>
      <c r="K56" s="3386">
        <v>0</v>
      </c>
      <c r="L56" s="3386">
        <v>0</v>
      </c>
      <c r="M56" s="3386">
        <v>2</v>
      </c>
      <c r="N56" s="3386">
        <v>1</v>
      </c>
      <c r="O56" s="3386">
        <v>2</v>
      </c>
      <c r="P56" s="3386">
        <v>2</v>
      </c>
      <c r="Q56" s="3386">
        <v>2</v>
      </c>
      <c r="R56" s="3386">
        <v>2</v>
      </c>
      <c r="S56" s="3386">
        <v>2</v>
      </c>
      <c r="T56" s="3386">
        <v>2</v>
      </c>
      <c r="U56" s="3386">
        <v>2</v>
      </c>
      <c r="V56" s="3386">
        <v>2</v>
      </c>
      <c r="W56" s="3386">
        <v>2</v>
      </c>
      <c r="X56" s="3386">
        <v>2</v>
      </c>
      <c r="Y56" s="3386">
        <v>2</v>
      </c>
      <c r="Z56" s="3386">
        <v>2</v>
      </c>
      <c r="AA56" s="3386">
        <v>2</v>
      </c>
      <c r="AB56" s="3386">
        <v>2</v>
      </c>
      <c r="AC56" s="3386">
        <v>2</v>
      </c>
      <c r="AD56" s="3386">
        <v>2</v>
      </c>
      <c r="AE56" s="3386">
        <v>2</v>
      </c>
      <c r="AF56" s="3386">
        <v>2</v>
      </c>
      <c r="AG56" s="3386">
        <v>2</v>
      </c>
      <c r="AH56" s="3387"/>
      <c r="AI56" s="3202">
        <v>0</v>
      </c>
      <c r="AJ56" cm="1">
        <f t="array" ref="AJ56">SUM(COUNTIFS($D56:$AG56,{"0","4","5","6","7","8","9"}))</f>
        <v>9</v>
      </c>
      <c r="AK56" cm="1">
        <f t="array" ref="AK56">SUM(COUNTIFS($D56:$AG56,{"0","4","5","6","7","8","9"},$D$4:$AG$4,"0"))</f>
        <v>5</v>
      </c>
      <c r="AL56" cm="1">
        <f t="array" ref="AL56">SUM(COUNTIFS($D56:$AG56,{"0","4","5","6","7","8","9"},$D$4:$AG$4,"1"))</f>
        <v>1</v>
      </c>
      <c r="AM56" cm="1">
        <f t="array" ref="AM56">SUM(COUNTIFS($D56:$AG56,{"0","4","5","6","7","8","9"},$D$4:$AG$4,"2"))</f>
        <v>1</v>
      </c>
      <c r="AN56" cm="1">
        <f t="array" ref="AN56">SUM(COUNTIFS($D56:$AG56,{"0","4","5","6","7","8","9"},$D$4:$AG$4,"3"))</f>
        <v>2</v>
      </c>
      <c r="AO56" cm="1">
        <f t="array" ref="AO56">SUM(COUNTIFS($D56:$AG56,{"1","2","3"}))</f>
        <v>21</v>
      </c>
      <c r="AP56" cm="1">
        <f t="array" ref="AP56">SUM(COUNTIFS($D56:$AG56,{"4","5","6"}))</f>
        <v>0</v>
      </c>
      <c r="AQ56">
        <f>AK56*'Spreadsheet Key'!$A$23 + AL56*'Spreadsheet Key'!$A$24 + AM56*'Spreadsheet Key'!$A$25 + AN56*'Spreadsheet Key'!$A$26</f>
        <v>348</v>
      </c>
      <c r="AR56">
        <f>AJ56/('JUN Statistics'!$B$30)*ABS(AI56-1)</f>
        <v>1.7964071856287425E-2</v>
      </c>
      <c r="AS56">
        <f t="shared" ref="AS56:AS112" si="47">AI56*AT56</f>
        <v>0</v>
      </c>
      <c r="AT56" s="3388">
        <f>AR56*'JUN Statistics'!$C$11</f>
        <v>21.928144311377245</v>
      </c>
      <c r="AU56"/>
      <c r="AV56">
        <f>COUNTIFS($D56:$AG56,"8",$D$4:$AG$4,"0")</f>
        <v>0</v>
      </c>
      <c r="AW56">
        <f>COUNTIFS($D56:$AG56,"9",$D$4:$AG$4,"0")</f>
        <v>0</v>
      </c>
      <c r="AX56">
        <f>COUNTIFS($D56:$AG56,"8",$D$4:$AG$4,"1")</f>
        <v>0</v>
      </c>
      <c r="AY56" cm="1">
        <f t="array" ref="AY56">COUNTIFS($D56:$AG56,"9",$D$4:$AG$4,"1")+SUM(COUNTIFS($D56:$AG56,{"8","9"},$D$4:$AG$4,"2"))+COUNTIFS($D56:$AG56,"8",$D$4:$AG$4,"3")</f>
        <v>0</v>
      </c>
      <c r="AZ56">
        <f>COUNTIFS($D56:$AG56,"9",$D$4:$AG$4,"3")</f>
        <v>0</v>
      </c>
      <c r="BA56">
        <f t="shared" si="1"/>
        <v>0</v>
      </c>
      <c r="BB56">
        <f>AV56*'Spreadsheet Key'!$A$27+AW56*'Spreadsheet Key'!$A$28+AX56*'Spreadsheet Key'!$A$29+AY56*'Spreadsheet Key'!$A$30+AZ56*'Spreadsheet Key'!$A$31</f>
        <v>0</v>
      </c>
      <c r="BC56"/>
      <c r="BD56">
        <f t="shared" ref="BD56" si="48">AT56-BB56</f>
        <v>21.928144311377245</v>
      </c>
    </row>
    <row r="57" spans="1:56" ht="15.75">
      <c r="A57" s="3208"/>
      <c r="B57" s="778"/>
      <c r="C57" s="778"/>
      <c r="D57" s="3402" t="s">
        <v>1386</v>
      </c>
      <c r="E57" s="6399" t="s">
        <v>1232</v>
      </c>
      <c r="F57" s="6399"/>
      <c r="G57" s="6399"/>
      <c r="H57" s="3402" t="s">
        <v>1386</v>
      </c>
      <c r="I57" s="776"/>
      <c r="J57" s="776"/>
      <c r="K57" s="776"/>
      <c r="L57" s="3402" t="s">
        <v>1386</v>
      </c>
      <c r="M57" s="6400" t="s">
        <v>441</v>
      </c>
      <c r="N57" s="6400"/>
      <c r="O57" s="3402" t="s">
        <v>1386</v>
      </c>
      <c r="P57" s="3403" t="s">
        <v>1402</v>
      </c>
      <c r="Q57" s="776"/>
      <c r="R57" s="776"/>
      <c r="S57" s="6401" t="s">
        <v>1402</v>
      </c>
      <c r="T57" s="6402"/>
      <c r="U57" s="6403"/>
      <c r="V57" s="2" t="s">
        <v>720</v>
      </c>
      <c r="W57" s="776"/>
      <c r="X57" s="776"/>
      <c r="Y57" s="3402" t="s">
        <v>1386</v>
      </c>
      <c r="Z57" s="6404" t="s">
        <v>1388</v>
      </c>
      <c r="AA57" s="6404"/>
      <c r="AB57" s="6404"/>
      <c r="AC57" s="6404"/>
      <c r="AD57" s="6404"/>
      <c r="AE57" s="6404"/>
      <c r="AF57" s="6404"/>
      <c r="AG57" s="6405"/>
      <c r="AH57" s="3233"/>
      <c r="AI57" s="3202"/>
      <c r="AT57" s="3388"/>
      <c r="AV57">
        <f>COUNTIFS($D57:$AG57,"8",$D$4:$AG$4,"0")</f>
        <v>0</v>
      </c>
      <c r="AW57">
        <f>COUNTIFS($D57:$AG57,"9",$D$4:$AG$4,"0")</f>
        <v>0</v>
      </c>
      <c r="AX57">
        <f>COUNTIFS($D57:$AG57,"8",$D$4:$AG$4,"1")</f>
        <v>0</v>
      </c>
      <c r="AY57" cm="1">
        <f t="array" ref="AY57">COUNTIFS($D57:$AG57,"9",$D$4:$AG$4,"1")+SUM(COUNTIFS($D57:$AG57,{"8","9"},$D$4:$AG$4,"2"))+COUNTIFS($D57:$AG57,"8",$D$4:$AG$4,"3")</f>
        <v>0</v>
      </c>
      <c r="AZ57">
        <f>COUNTIFS($D57:$AG57,"9",$D$4:$AG$4,"3")</f>
        <v>0</v>
      </c>
      <c r="BA57">
        <f t="shared" si="1"/>
        <v>0</v>
      </c>
      <c r="BB57">
        <f>AV57*'Spreadsheet Key'!$A$27+AW57*'Spreadsheet Key'!$A$28+AX57*'Spreadsheet Key'!$A$29+AY57*'Spreadsheet Key'!$A$30+AZ57*'Spreadsheet Key'!$A$31</f>
        <v>0</v>
      </c>
    </row>
    <row r="58" spans="1:56" s="3211" customFormat="1">
      <c r="A58" s="3423" t="s">
        <v>77</v>
      </c>
      <c r="B58" s="3180" t="s">
        <v>1005</v>
      </c>
      <c r="C58" s="3180" t="str">
        <f t="shared" si="0"/>
        <v>LCDR DESORMIER</v>
      </c>
      <c r="D58" s="3386">
        <v>1</v>
      </c>
      <c r="E58" s="3386">
        <v>2</v>
      </c>
      <c r="F58" s="3386">
        <v>2</v>
      </c>
      <c r="G58" s="3386">
        <v>2</v>
      </c>
      <c r="H58" s="3386">
        <v>3</v>
      </c>
      <c r="I58" s="3386">
        <v>0</v>
      </c>
      <c r="J58" s="3386">
        <v>0</v>
      </c>
      <c r="K58" s="3386">
        <v>0</v>
      </c>
      <c r="L58" s="3386">
        <v>1</v>
      </c>
      <c r="M58" s="3386">
        <v>2</v>
      </c>
      <c r="N58" s="3386">
        <v>2</v>
      </c>
      <c r="O58" s="3386">
        <v>3</v>
      </c>
      <c r="P58" s="3386">
        <v>7</v>
      </c>
      <c r="Q58" s="3386">
        <v>0</v>
      </c>
      <c r="R58" s="3386">
        <v>0</v>
      </c>
      <c r="S58" s="3386">
        <v>7</v>
      </c>
      <c r="T58" s="3386">
        <v>7</v>
      </c>
      <c r="U58" s="3386">
        <v>7</v>
      </c>
      <c r="V58" s="3386">
        <v>8</v>
      </c>
      <c r="W58" s="3386">
        <v>0</v>
      </c>
      <c r="X58" s="3386">
        <v>0</v>
      </c>
      <c r="Y58" s="3386">
        <v>1</v>
      </c>
      <c r="Z58" s="3386">
        <v>2</v>
      </c>
      <c r="AA58" s="3386">
        <v>2</v>
      </c>
      <c r="AB58" s="3386">
        <v>2</v>
      </c>
      <c r="AC58" s="3386">
        <v>2</v>
      </c>
      <c r="AD58" s="3386">
        <v>2</v>
      </c>
      <c r="AE58" s="3386">
        <v>2</v>
      </c>
      <c r="AF58" s="3386">
        <v>2</v>
      </c>
      <c r="AG58" s="3386">
        <v>2</v>
      </c>
      <c r="AH58" s="3387"/>
      <c r="AI58" s="3202">
        <v>1</v>
      </c>
      <c r="AJ58" cm="1">
        <f t="array" ref="AJ58">SUM(COUNTIFS($D58:$AG58,{"0","4","5","6","7","8","9"}))</f>
        <v>12</v>
      </c>
      <c r="AK58" cm="1">
        <f t="array" ref="AK58">SUM(COUNTIFS($D58:$AG58,{"0","4","5","6","7","8","9"},$D$4:$AG$4,"0"))</f>
        <v>2</v>
      </c>
      <c r="AL58" cm="1">
        <f t="array" ref="AL58">SUM(COUNTIFS($D58:$AG58,{"0","4","5","6","7","8","9"},$D$4:$AG$4,"1"))</f>
        <v>3</v>
      </c>
      <c r="AM58" cm="1">
        <f t="array" ref="AM58">SUM(COUNTIFS($D58:$AG58,{"0","4","5","6","7","8","9"},$D$4:$AG$4,"2"))</f>
        <v>5</v>
      </c>
      <c r="AN58" cm="1">
        <f t="array" ref="AN58">SUM(COUNTIFS($D58:$AG58,{"0","4","5","6","7","8","9"},$D$4:$AG$4,"3"))</f>
        <v>2</v>
      </c>
      <c r="AO58" cm="1">
        <f t="array" ref="AO58">SUM(COUNTIFS($D58:$AG58,{"1","2","3"}))</f>
        <v>18</v>
      </c>
      <c r="AP58" cm="1">
        <f t="array" ref="AP58">SUM(COUNTIFS($D58:$AG58,{"4","5","6"}))</f>
        <v>0</v>
      </c>
      <c r="AQ58">
        <f>AK58*'Spreadsheet Key'!$A$23 + AL58*'Spreadsheet Key'!$A$24 + AM58*'Spreadsheet Key'!$A$25 + AN58*'Spreadsheet Key'!$A$26</f>
        <v>678</v>
      </c>
      <c r="AR58">
        <f>AJ58/('JUN Statistics'!$B$30)*ABS(AI58-1)</f>
        <v>0</v>
      </c>
      <c r="AS58">
        <f>AI58*AT58</f>
        <v>11.200000000000001</v>
      </c>
      <c r="AT58" s="3388">
        <f>(AJ58/'JUN Statistics'!$B$6)*'Spreadsheet Key'!$A$32</f>
        <v>11.200000000000001</v>
      </c>
      <c r="AU58"/>
      <c r="AV58">
        <f>COUNTIFS($D58:$AG58,"8",$D$4:$AG$4,"0")</f>
        <v>0</v>
      </c>
      <c r="AW58">
        <f>COUNTIFS($D58:$AG58,"9",$D$4:$AG$4,"0")</f>
        <v>0</v>
      </c>
      <c r="AX58">
        <f>COUNTIFS($D58:$AG58,"8",$D$4:$AG$4,"1")</f>
        <v>0</v>
      </c>
      <c r="AY58" cm="1">
        <f t="array" ref="AY58">COUNTIFS($D58:$AG58,"9",$D$4:$AG$4,"1")+SUM(COUNTIFS($D58:$AG58,{"8","9"},$D$4:$AG$4,"2"))+COUNTIFS($D58:$AG58,"8",$D$4:$AG$4,"3")</f>
        <v>1</v>
      </c>
      <c r="AZ58">
        <f>COUNTIFS($D58:$AG58,"9",$D$4:$AG$4,"3")</f>
        <v>0</v>
      </c>
      <c r="BA58">
        <f t="shared" si="1"/>
        <v>1</v>
      </c>
      <c r="BB58">
        <f>AV58*'Spreadsheet Key'!$A$27+AW58*'Spreadsheet Key'!$A$28+AX58*'Spreadsheet Key'!$A$29+AY58*'Spreadsheet Key'!$A$30+AZ58*'Spreadsheet Key'!$A$31</f>
        <v>36</v>
      </c>
      <c r="BC58"/>
      <c r="BD58">
        <f t="shared" ref="BD58" si="49">AT58-BB58</f>
        <v>-24.799999999999997</v>
      </c>
    </row>
    <row r="59" spans="1:56">
      <c r="A59" s="3208"/>
      <c r="B59" s="3208"/>
      <c r="C59" s="3180" t="str">
        <f t="shared" si="0"/>
        <v xml:space="preserve"> </v>
      </c>
      <c r="D59" s="2"/>
      <c r="E59" s="6408" t="s">
        <v>1403</v>
      </c>
      <c r="F59" s="6408"/>
      <c r="G59" s="6408"/>
      <c r="H59" s="6408"/>
      <c r="J59" s="2" t="s">
        <v>722</v>
      </c>
      <c r="K59" s="2"/>
      <c r="L59" s="2"/>
      <c r="N59" s="2" t="s">
        <v>722</v>
      </c>
      <c r="O59" s="2"/>
      <c r="P59" s="2"/>
      <c r="Q59" s="2" t="s">
        <v>720</v>
      </c>
      <c r="R59" s="2"/>
      <c r="S59" s="2"/>
      <c r="T59" s="2"/>
      <c r="U59" s="2"/>
      <c r="V59" s="2"/>
      <c r="W59" s="2"/>
      <c r="X59" s="2"/>
      <c r="Y59" s="2"/>
      <c r="Z59" s="6189" t="s">
        <v>1390</v>
      </c>
      <c r="AA59" s="6189"/>
      <c r="AB59" s="6189"/>
      <c r="AC59" s="6189"/>
      <c r="AD59" s="6189"/>
      <c r="AE59" s="2"/>
      <c r="AF59" s="2"/>
      <c r="AG59" s="696"/>
      <c r="AH59" s="3233"/>
      <c r="AI59" s="3202"/>
      <c r="AT59" s="3388"/>
      <c r="AV59">
        <f>COUNTIFS($D59:$AG59,"8",$D$4:$AG$4,"0")</f>
        <v>0</v>
      </c>
      <c r="AW59">
        <f>COUNTIFS($D59:$AG59,"9",$D$4:$AG$4,"0")</f>
        <v>0</v>
      </c>
      <c r="AX59">
        <f>COUNTIFS($D59:$AG59,"8",$D$4:$AG$4,"1")</f>
        <v>0</v>
      </c>
      <c r="AY59" cm="1">
        <f t="array" ref="AY59">COUNTIFS($D59:$AG59,"9",$D$4:$AG$4,"1")+SUM(COUNTIFS($D59:$AG59,{"8","9"},$D$4:$AG$4,"2"))+COUNTIFS($D59:$AG59,"8",$D$4:$AG$4,"3")</f>
        <v>0</v>
      </c>
      <c r="AZ59">
        <f>COUNTIFS($D59:$AG59,"9",$D$4:$AG$4,"3")</f>
        <v>0</v>
      </c>
      <c r="BA59">
        <f t="shared" si="1"/>
        <v>0</v>
      </c>
      <c r="BB59">
        <f>AV59*'Spreadsheet Key'!$A$27+AW59*'Spreadsheet Key'!$A$28+AX59*'Spreadsheet Key'!$A$29+AY59*'Spreadsheet Key'!$A$30+AZ59*'Spreadsheet Key'!$A$31</f>
        <v>0</v>
      </c>
    </row>
    <row r="60" spans="1:56" s="3211" customFormat="1">
      <c r="A60" s="3421" t="s">
        <v>602</v>
      </c>
      <c r="B60" s="3216" t="s">
        <v>660</v>
      </c>
      <c r="C60" s="3180" t="str">
        <f t="shared" si="0"/>
        <v>BMC FUENTES</v>
      </c>
      <c r="D60" s="3386">
        <v>0</v>
      </c>
      <c r="E60" s="3386">
        <v>7</v>
      </c>
      <c r="F60" s="3386">
        <v>7</v>
      </c>
      <c r="G60" s="3386">
        <v>7</v>
      </c>
      <c r="H60" s="3386">
        <v>7</v>
      </c>
      <c r="I60" s="3386">
        <v>0</v>
      </c>
      <c r="J60" s="3386">
        <v>9</v>
      </c>
      <c r="K60" s="3386">
        <v>0</v>
      </c>
      <c r="L60" s="3386">
        <v>0</v>
      </c>
      <c r="M60" s="3386">
        <v>0</v>
      </c>
      <c r="N60" s="3386">
        <v>9</v>
      </c>
      <c r="O60" s="3386">
        <v>0</v>
      </c>
      <c r="P60" s="3386">
        <v>0</v>
      </c>
      <c r="Q60" s="3386">
        <v>8</v>
      </c>
      <c r="R60" s="3386">
        <v>0</v>
      </c>
      <c r="S60" s="3386">
        <v>0</v>
      </c>
      <c r="T60" s="3386">
        <v>0</v>
      </c>
      <c r="U60" s="3386">
        <v>0</v>
      </c>
      <c r="V60" s="3386">
        <v>0</v>
      </c>
      <c r="W60" s="3386">
        <v>0</v>
      </c>
      <c r="X60" s="3386">
        <v>0</v>
      </c>
      <c r="Y60" s="3386">
        <v>0</v>
      </c>
      <c r="Z60" s="3386">
        <v>7</v>
      </c>
      <c r="AA60" s="3386">
        <v>7</v>
      </c>
      <c r="AB60" s="3386">
        <v>7</v>
      </c>
      <c r="AC60" s="3386">
        <v>7</v>
      </c>
      <c r="AD60" s="3386">
        <v>7</v>
      </c>
      <c r="AE60" s="3386">
        <v>0</v>
      </c>
      <c r="AF60" s="3386">
        <v>0</v>
      </c>
      <c r="AG60" s="3386">
        <v>0</v>
      </c>
      <c r="AH60" s="3387"/>
      <c r="AI60" s="3202">
        <v>0</v>
      </c>
      <c r="AJ60" cm="1">
        <f t="array" ref="AJ60">SUM(COUNTIFS($D60:$AG60,{"0","4","5","6","7","8","9"}))</f>
        <v>30</v>
      </c>
      <c r="AK60" cm="1">
        <f t="array" ref="AK60">SUM(COUNTIFS($D60:$AG60,{"0","4","5","6","7","8","9"},$D$4:$AG$4,"0"))</f>
        <v>15</v>
      </c>
      <c r="AL60" cm="1">
        <f t="array" ref="AL60">SUM(COUNTIFS($D60:$AG60,{"0","4","5","6","7","8","9"},$D$4:$AG$4,"1"))</f>
        <v>4</v>
      </c>
      <c r="AM60" cm="1">
        <f t="array" ref="AM60">SUM(COUNTIFS($D60:$AG60,{"0","4","5","6","7","8","9"},$D$4:$AG$4,"2"))</f>
        <v>6</v>
      </c>
      <c r="AN60" cm="1">
        <f t="array" ref="AN60">SUM(COUNTIFS($D60:$AG60,{"0","4","5","6","7","8","9"},$D$4:$AG$4,"3"))</f>
        <v>5</v>
      </c>
      <c r="AO60" cm="1">
        <f t="array" ref="AO60">SUM(COUNTIFS($D60:$AG60,{"1","2","3"}))</f>
        <v>0</v>
      </c>
      <c r="AP60" cm="1">
        <f t="array" ref="AP60">SUM(COUNTIFS($D60:$AG60,{"4","5","6"}))</f>
        <v>0</v>
      </c>
      <c r="AQ60">
        <f>AK60*'Spreadsheet Key'!$A$23 + AL60*'Spreadsheet Key'!$A$24 + AM60*'Spreadsheet Key'!$A$25 + AN60*'Spreadsheet Key'!$A$26</f>
        <v>1258</v>
      </c>
      <c r="AR60">
        <f>AJ60/('JUN Statistics'!$B$30)*ABS(AI60-1)</f>
        <v>5.9880239520958084E-2</v>
      </c>
      <c r="AS60">
        <f t="shared" ref="AS60:AS116" si="50">AI60*AT60</f>
        <v>0</v>
      </c>
      <c r="AT60" s="3388">
        <f>AR60*'JUN Statistics'!$C$11</f>
        <v>73.09381437125748</v>
      </c>
      <c r="AU60"/>
      <c r="AV60">
        <f>COUNTIFS($D60:$AG60,"8",$D$4:$AG$4,"0")</f>
        <v>0</v>
      </c>
      <c r="AW60">
        <f>COUNTIFS($D60:$AG60,"9",$D$4:$AG$4,"0")</f>
        <v>1</v>
      </c>
      <c r="AX60">
        <f>COUNTIFS($D60:$AG60,"8",$D$4:$AG$4,"1")</f>
        <v>0</v>
      </c>
      <c r="AY60" cm="1">
        <f t="array" ref="AY60">COUNTIFS($D60:$AG60,"9",$D$4:$AG$4,"1")+SUM(COUNTIFS($D60:$AG60,{"8","9"},$D$4:$AG$4,"2"))+COUNTIFS($D60:$AG60,"8",$D$4:$AG$4,"3")</f>
        <v>2</v>
      </c>
      <c r="AZ60">
        <f>COUNTIFS($D60:$AG60,"9",$D$4:$AG$4,"3")</f>
        <v>0</v>
      </c>
      <c r="BA60">
        <f t="shared" si="1"/>
        <v>3</v>
      </c>
      <c r="BB60">
        <f>AV60*'Spreadsheet Key'!$A$27+AW60*'Spreadsheet Key'!$A$28+AX60*'Spreadsheet Key'!$A$29+AY60*'Spreadsheet Key'!$A$30+AZ60*'Spreadsheet Key'!$A$31</f>
        <v>84</v>
      </c>
      <c r="BC60"/>
      <c r="BD60">
        <f t="shared" ref="BD60" si="51">AT60-BB60</f>
        <v>-10.90618562874252</v>
      </c>
    </row>
    <row r="61" spans="1:56" ht="15.75">
      <c r="A61" s="3208"/>
      <c r="B61" s="3208"/>
      <c r="C61" s="3180" t="str">
        <f t="shared" si="0"/>
        <v xml:space="preserve"> </v>
      </c>
      <c r="D61" s="3406" t="s">
        <v>1386</v>
      </c>
      <c r="E61" s="6258" t="s">
        <v>1232</v>
      </c>
      <c r="F61" s="6258"/>
      <c r="G61" s="6258"/>
      <c r="H61" s="3406" t="s">
        <v>1386</v>
      </c>
      <c r="I61" s="323"/>
      <c r="J61" s="323"/>
      <c r="K61" s="6685"/>
      <c r="L61" s="6685"/>
      <c r="M61" s="6685"/>
      <c r="N61" s="6685"/>
      <c r="O61" s="2" t="s">
        <v>722</v>
      </c>
      <c r="P61" s="323"/>
      <c r="Q61" s="323"/>
      <c r="R61" s="323"/>
      <c r="S61" s="3405"/>
      <c r="T61" s="2" t="s">
        <v>720</v>
      </c>
      <c r="U61" s="3471"/>
      <c r="V61" s="6409" t="s">
        <v>1404</v>
      </c>
      <c r="W61" s="6410"/>
      <c r="X61" s="6411"/>
      <c r="Y61" s="3406" t="s">
        <v>1386</v>
      </c>
      <c r="Z61" s="6406" t="s">
        <v>1388</v>
      </c>
      <c r="AA61" s="6406"/>
      <c r="AB61" s="6406"/>
      <c r="AC61" s="6406"/>
      <c r="AD61" s="6406"/>
      <c r="AE61" s="6406"/>
      <c r="AF61" s="6406"/>
      <c r="AG61" s="6407"/>
      <c r="AH61" s="3233"/>
      <c r="AI61" s="3202"/>
      <c r="AT61" s="3388"/>
      <c r="AV61">
        <f>COUNTIFS($D61:$AG61,"8",$D$4:$AG$4,"0")</f>
        <v>0</v>
      </c>
      <c r="AW61">
        <f>COUNTIFS($D61:$AG61,"9",$D$4:$AG$4,"0")</f>
        <v>0</v>
      </c>
      <c r="AX61">
        <f>COUNTIFS($D61:$AG61,"8",$D$4:$AG$4,"1")</f>
        <v>0</v>
      </c>
      <c r="AY61" cm="1">
        <f t="array" ref="AY61">COUNTIFS($D61:$AG61,"9",$D$4:$AG$4,"1")+SUM(COUNTIFS($D61:$AG61,{"8","9"},$D$4:$AG$4,"2"))+COUNTIFS($D61:$AG61,"8",$D$4:$AG$4,"3")</f>
        <v>0</v>
      </c>
      <c r="AZ61">
        <f>COUNTIFS($D61:$AG61,"9",$D$4:$AG$4,"3")</f>
        <v>0</v>
      </c>
      <c r="BA61">
        <f t="shared" si="1"/>
        <v>0</v>
      </c>
      <c r="BB61">
        <f>AV61*'Spreadsheet Key'!$A$27+AW61*'Spreadsheet Key'!$A$28+AX61*'Spreadsheet Key'!$A$29+AY61*'Spreadsheet Key'!$A$30+AZ61*'Spreadsheet Key'!$A$31</f>
        <v>0</v>
      </c>
    </row>
    <row r="62" spans="1:56" s="3211" customFormat="1">
      <c r="A62" s="3423" t="s">
        <v>81</v>
      </c>
      <c r="B62" s="3180" t="s">
        <v>396</v>
      </c>
      <c r="C62" s="3180" t="str">
        <f t="shared" si="0"/>
        <v>LTJG MOORE</v>
      </c>
      <c r="D62" s="3386">
        <v>1</v>
      </c>
      <c r="E62" s="3386">
        <v>2</v>
      </c>
      <c r="F62" s="3386">
        <v>2</v>
      </c>
      <c r="G62" s="3386">
        <v>2</v>
      </c>
      <c r="H62" s="3386">
        <v>3</v>
      </c>
      <c r="I62" s="3386">
        <v>0</v>
      </c>
      <c r="J62" s="3386">
        <v>0</v>
      </c>
      <c r="K62" s="3386">
        <v>0</v>
      </c>
      <c r="L62" s="3386">
        <v>0</v>
      </c>
      <c r="M62" s="3386">
        <v>0</v>
      </c>
      <c r="N62" s="3386">
        <v>0</v>
      </c>
      <c r="O62" s="3386">
        <v>9</v>
      </c>
      <c r="P62" s="3386">
        <v>0</v>
      </c>
      <c r="Q62" s="3386">
        <v>0</v>
      </c>
      <c r="R62" s="3386">
        <v>0</v>
      </c>
      <c r="S62" s="3386">
        <v>0</v>
      </c>
      <c r="T62" s="3386">
        <v>8</v>
      </c>
      <c r="U62" s="3386">
        <v>0</v>
      </c>
      <c r="V62" s="3386">
        <v>4</v>
      </c>
      <c r="W62" s="3386">
        <v>5</v>
      </c>
      <c r="X62" s="3386">
        <v>6</v>
      </c>
      <c r="Y62" s="3386">
        <v>1</v>
      </c>
      <c r="Z62" s="3386">
        <v>2</v>
      </c>
      <c r="AA62" s="3386">
        <v>2</v>
      </c>
      <c r="AB62" s="3386">
        <v>2</v>
      </c>
      <c r="AC62" s="3386">
        <v>2</v>
      </c>
      <c r="AD62" s="3386">
        <v>2</v>
      </c>
      <c r="AE62" s="3386">
        <v>2</v>
      </c>
      <c r="AF62" s="3386">
        <v>2</v>
      </c>
      <c r="AG62" s="3386">
        <v>2</v>
      </c>
      <c r="AH62" s="3387"/>
      <c r="AI62" s="3202">
        <v>0</v>
      </c>
      <c r="AJ62" cm="1">
        <f t="array" ref="AJ62">SUM(COUNTIFS($D62:$AG62,{"0","4","5","6","7","8","9"}))</f>
        <v>16</v>
      </c>
      <c r="AK62" cm="1">
        <f t="array" ref="AK62">SUM(COUNTIFS($D62:$AG62,{"0","4","5","6","7","8","9"},$D$4:$AG$4,"0"))</f>
        <v>6</v>
      </c>
      <c r="AL62" cm="1">
        <f t="array" ref="AL62">SUM(COUNTIFS($D62:$AG62,{"0","4","5","6","7","8","9"},$D$4:$AG$4,"1"))</f>
        <v>3</v>
      </c>
      <c r="AM62" cm="1">
        <f t="array" ref="AM62">SUM(COUNTIFS($D62:$AG62,{"0","4","5","6","7","8","9"},$D$4:$AG$4,"2"))</f>
        <v>5</v>
      </c>
      <c r="AN62" cm="1">
        <f t="array" ref="AN62">SUM(COUNTIFS($D62:$AG62,{"0","4","5","6","7","8","9"},$D$4:$AG$4,"3"))</f>
        <v>2</v>
      </c>
      <c r="AO62" cm="1">
        <f t="array" ref="AO62">SUM(COUNTIFS($D62:$AG62,{"1","2","3"}))</f>
        <v>14</v>
      </c>
      <c r="AP62" cm="1">
        <f t="array" ref="AP62">SUM(COUNTIFS($D62:$AG62,{"4","5","6"}))</f>
        <v>3</v>
      </c>
      <c r="AQ62">
        <f>AK62*'Spreadsheet Key'!$A$23 + AL62*'Spreadsheet Key'!$A$24 + AM62*'Spreadsheet Key'!$A$25 + AN62*'Spreadsheet Key'!$A$26</f>
        <v>766</v>
      </c>
      <c r="AR62">
        <f>AJ62/('JUN Statistics'!$B$30)*ABS(AI62-1)</f>
        <v>3.1936127744510975E-2</v>
      </c>
      <c r="AS62">
        <v>0</v>
      </c>
      <c r="AT62" s="3388">
        <f>AR62*'JUN Statistics'!$C$11</f>
        <v>38.983367664670652</v>
      </c>
      <c r="AU62"/>
      <c r="AV62">
        <f>COUNTIFS($D62:$AG62,"8",$D$4:$AG$4,"0")</f>
        <v>1</v>
      </c>
      <c r="AW62">
        <f>COUNTIFS($D62:$AG62,"9",$D$4:$AG$4,"0")</f>
        <v>1</v>
      </c>
      <c r="AX62">
        <f>COUNTIFS($D62:$AG62,"8",$D$4:$AG$4,"1")</f>
        <v>0</v>
      </c>
      <c r="AY62" cm="1">
        <f t="array" ref="AY62">COUNTIFS($D62:$AG62,"9",$D$4:$AG$4,"1")+SUM(COUNTIFS($D62:$AG62,{"8","9"},$D$4:$AG$4,"2"))+COUNTIFS($D62:$AG62,"8",$D$4:$AG$4,"3")</f>
        <v>0</v>
      </c>
      <c r="AZ62">
        <f>COUNTIFS($D62:$AG62,"9",$D$4:$AG$4,"3")</f>
        <v>0</v>
      </c>
      <c r="BA62">
        <f t="shared" si="1"/>
        <v>2</v>
      </c>
      <c r="BB62">
        <f>AV62*'Spreadsheet Key'!$A$27+AW62*'Spreadsheet Key'!$A$28+AX62*'Spreadsheet Key'!$A$29+AY62*'Spreadsheet Key'!$A$30+AZ62*'Spreadsheet Key'!$A$31</f>
        <v>22</v>
      </c>
      <c r="BC62"/>
      <c r="BD62">
        <f t="shared" ref="BD62" si="52">AT62-BB62</f>
        <v>16.983367664670652</v>
      </c>
    </row>
    <row r="63" spans="1:56">
      <c r="A63" s="3208"/>
      <c r="B63" s="3208"/>
      <c r="C63" s="3180" t="str">
        <f t="shared" si="0"/>
        <v xml:space="preserve"> </v>
      </c>
      <c r="D63" s="6686"/>
      <c r="E63" s="6686"/>
      <c r="F63" s="6686"/>
      <c r="G63" s="6686"/>
      <c r="H63" s="6686"/>
      <c r="I63" s="6686"/>
      <c r="J63" s="3522" t="s">
        <v>1386</v>
      </c>
      <c r="K63" s="6435" t="s">
        <v>754</v>
      </c>
      <c r="L63" s="6435"/>
      <c r="M63" s="6435"/>
      <c r="N63" s="3522" t="s">
        <v>1386</v>
      </c>
      <c r="O63" s="3523"/>
      <c r="P63" s="461" t="s">
        <v>720</v>
      </c>
      <c r="Q63" s="461"/>
      <c r="R63" s="461"/>
      <c r="S63" s="461"/>
      <c r="T63" s="6426" t="s">
        <v>482</v>
      </c>
      <c r="U63" s="6427"/>
      <c r="V63" s="6427"/>
      <c r="W63" s="6427"/>
      <c r="X63" s="6427"/>
      <c r="Y63" s="6427"/>
      <c r="Z63" s="6427"/>
      <c r="AA63" s="6427"/>
      <c r="AB63" s="6427"/>
      <c r="AC63" s="6427"/>
      <c r="AD63" s="6427"/>
      <c r="AE63" s="6427"/>
      <c r="AF63" s="6427"/>
      <c r="AG63" s="6428"/>
      <c r="AH63" s="3233"/>
      <c r="AI63" s="3202"/>
      <c r="AT63" s="3388"/>
      <c r="AV63">
        <f>COUNTIFS($D63:$AG63,"8",$D$4:$AG$4,"0")</f>
        <v>0</v>
      </c>
      <c r="AW63">
        <f>COUNTIFS($D63:$AG63,"9",$D$4:$AG$4,"0")</f>
        <v>0</v>
      </c>
      <c r="AX63">
        <f>COUNTIFS($D63:$AG63,"8",$D$4:$AG$4,"1")</f>
        <v>0</v>
      </c>
      <c r="AY63" cm="1">
        <f t="array" ref="AY63">COUNTIFS($D63:$AG63,"9",$D$4:$AG$4,"1")+SUM(COUNTIFS($D63:$AG63,{"8","9"},$D$4:$AG$4,"2"))+COUNTIFS($D63:$AG63,"8",$D$4:$AG$4,"3")</f>
        <v>0</v>
      </c>
      <c r="AZ63">
        <f>COUNTIFS($D63:$AG63,"9",$D$4:$AG$4,"3")</f>
        <v>0</v>
      </c>
      <c r="BA63">
        <f t="shared" si="1"/>
        <v>0</v>
      </c>
      <c r="BB63">
        <f>AV63*'Spreadsheet Key'!$A$27+AW63*'Spreadsheet Key'!$A$28+AX63*'Spreadsheet Key'!$A$29+AY63*'Spreadsheet Key'!$A$30+AZ63*'Spreadsheet Key'!$A$31</f>
        <v>0</v>
      </c>
    </row>
    <row r="64" spans="1:56" s="3211" customFormat="1">
      <c r="A64" s="3180" t="s">
        <v>95</v>
      </c>
      <c r="B64" s="3180" t="s">
        <v>303</v>
      </c>
      <c r="C64" s="3180" t="str">
        <f t="shared" si="0"/>
        <v>LT PARRA</v>
      </c>
      <c r="D64" s="3386">
        <v>0</v>
      </c>
      <c r="E64" s="3386">
        <v>0</v>
      </c>
      <c r="F64" s="3386">
        <v>0</v>
      </c>
      <c r="G64" s="3386">
        <v>0</v>
      </c>
      <c r="H64" s="3386">
        <v>0</v>
      </c>
      <c r="I64" s="3386">
        <v>0</v>
      </c>
      <c r="J64" s="3386">
        <v>0</v>
      </c>
      <c r="K64" s="3386">
        <v>0</v>
      </c>
      <c r="L64" s="3386">
        <v>0</v>
      </c>
      <c r="M64" s="3386">
        <v>0</v>
      </c>
      <c r="N64" s="3386">
        <v>0</v>
      </c>
      <c r="O64" s="3386">
        <v>0</v>
      </c>
      <c r="P64" s="3386">
        <v>8</v>
      </c>
      <c r="Q64" s="3386">
        <v>0</v>
      </c>
      <c r="R64" s="3386">
        <v>0</v>
      </c>
      <c r="S64" s="3386">
        <v>0</v>
      </c>
      <c r="T64" s="3386">
        <v>1</v>
      </c>
      <c r="U64" s="3386">
        <v>2</v>
      </c>
      <c r="V64" s="3386">
        <v>2</v>
      </c>
      <c r="W64" s="3386">
        <v>2</v>
      </c>
      <c r="X64" s="3386">
        <v>2</v>
      </c>
      <c r="Y64" s="3386">
        <v>2</v>
      </c>
      <c r="Z64" s="3386">
        <v>2</v>
      </c>
      <c r="AA64" s="3386">
        <v>2</v>
      </c>
      <c r="AB64" s="3386">
        <v>2</v>
      </c>
      <c r="AC64" s="3386">
        <v>2</v>
      </c>
      <c r="AD64" s="3386">
        <v>2</v>
      </c>
      <c r="AE64" s="3386">
        <v>2</v>
      </c>
      <c r="AF64" s="3386">
        <v>2</v>
      </c>
      <c r="AG64" s="3386">
        <v>2</v>
      </c>
      <c r="AH64" s="3387"/>
      <c r="AI64" s="3202">
        <v>0</v>
      </c>
      <c r="AJ64" cm="1">
        <f t="array" ref="AJ64">SUM(COUNTIFS($D64:$AG64,{"0","4","5","6","7","8","9"}))</f>
        <v>16</v>
      </c>
      <c r="AK64" cm="1">
        <f t="array" ref="AK64">SUM(COUNTIFS($D64:$AG64,{"0","4","5","6","7","8","9"},$D$4:$AG$4,"0"))</f>
        <v>9</v>
      </c>
      <c r="AL64" cm="1">
        <f t="array" ref="AL64">SUM(COUNTIFS($D64:$AG64,{"0","4","5","6","7","8","9"},$D$4:$AG$4,"1"))</f>
        <v>2</v>
      </c>
      <c r="AM64" cm="1">
        <f t="array" ref="AM64">SUM(COUNTIFS($D64:$AG64,{"0","4","5","6","7","8","9"},$D$4:$AG$4,"2"))</f>
        <v>2</v>
      </c>
      <c r="AN64" cm="1">
        <f t="array" ref="AN64">SUM(COUNTIFS($D64:$AG64,{"0","4","5","6","7","8","9"},$D$4:$AG$4,"3"))</f>
        <v>3</v>
      </c>
      <c r="AO64" cm="1">
        <f t="array" ref="AO64">SUM(COUNTIFS($D64:$AG64,{"1","2","3"}))</f>
        <v>14</v>
      </c>
      <c r="AP64" cm="1">
        <f t="array" ref="AP64">SUM(COUNTIFS($D64:$AG64,{"4","5","6"}))</f>
        <v>0</v>
      </c>
      <c r="AQ64">
        <f>AK64*'Spreadsheet Key'!$A$23 + AL64*'Spreadsheet Key'!$A$24 + AM64*'Spreadsheet Key'!$A$25 + AN64*'Spreadsheet Key'!$A$26</f>
        <v>618</v>
      </c>
      <c r="AR64">
        <f>AJ64/('JUN Statistics'!$B$30)*ABS(AI64-1)</f>
        <v>3.1936127744510975E-2</v>
      </c>
      <c r="AS64">
        <f t="shared" ref="AS64:AS120" si="53">AI64*AT64</f>
        <v>0</v>
      </c>
      <c r="AT64" s="3388">
        <f>AR64*'JUN Statistics'!$C$11</f>
        <v>38.983367664670652</v>
      </c>
      <c r="AU64"/>
      <c r="AV64">
        <f>COUNTIFS($D64:$AG64,"8",$D$4:$AG$4,"0")</f>
        <v>0</v>
      </c>
      <c r="AW64">
        <f>COUNTIFS($D64:$AG64,"9",$D$4:$AG$4,"0")</f>
        <v>0</v>
      </c>
      <c r="AX64">
        <f>COUNTIFS($D64:$AG64,"8",$D$4:$AG$4,"1")</f>
        <v>1</v>
      </c>
      <c r="AY64" cm="1">
        <f t="array" ref="AY64">COUNTIFS($D64:$AG64,"9",$D$4:$AG$4,"1")+SUM(COUNTIFS($D64:$AG64,{"8","9"},$D$4:$AG$4,"2"))+COUNTIFS($D64:$AG64,"8",$D$4:$AG$4,"3")</f>
        <v>0</v>
      </c>
      <c r="AZ64">
        <f>COUNTIFS($D64:$AG64,"9",$D$4:$AG$4,"3")</f>
        <v>0</v>
      </c>
      <c r="BA64">
        <f t="shared" si="1"/>
        <v>1</v>
      </c>
      <c r="BB64">
        <f>AV64*'Spreadsheet Key'!$A$27+AW64*'Spreadsheet Key'!$A$28+AX64*'Spreadsheet Key'!$A$29+AY64*'Spreadsheet Key'!$A$30+AZ64*'Spreadsheet Key'!$A$31</f>
        <v>18</v>
      </c>
      <c r="BC64"/>
      <c r="BD64">
        <f t="shared" ref="BD64" si="54">AT64-BB64</f>
        <v>20.983367664670652</v>
      </c>
    </row>
    <row r="65" spans="1:56" ht="15.75" customHeight="1">
      <c r="A65" s="3208"/>
      <c r="B65" s="3208"/>
      <c r="C65" s="3180" t="str">
        <f t="shared" si="0"/>
        <v xml:space="preserve"> </v>
      </c>
      <c r="D65" s="3406" t="s">
        <v>1386</v>
      </c>
      <c r="E65" s="3406" t="s">
        <v>1386</v>
      </c>
      <c r="F65" s="3406" t="s">
        <v>1386</v>
      </c>
      <c r="G65" s="6684"/>
      <c r="H65" s="6684"/>
      <c r="I65" s="3524"/>
      <c r="J65" s="3524"/>
      <c r="K65" s="3524"/>
      <c r="L65" s="6684"/>
      <c r="M65" s="6684"/>
      <c r="N65" s="6684"/>
      <c r="O65" s="3524"/>
      <c r="P65" s="3524"/>
      <c r="Q65" s="3524"/>
      <c r="R65" s="3524"/>
      <c r="S65" s="2" t="s">
        <v>720</v>
      </c>
      <c r="T65" s="779"/>
      <c r="U65" s="779"/>
      <c r="V65" s="6423" t="s">
        <v>1405</v>
      </c>
      <c r="W65" s="6424"/>
      <c r="X65" s="6424"/>
      <c r="Y65" s="6425"/>
      <c r="Z65" s="779"/>
      <c r="AA65" s="779"/>
      <c r="AB65" s="779"/>
      <c r="AC65" s="779"/>
      <c r="AD65" s="779"/>
      <c r="AE65" s="2" t="s">
        <v>720</v>
      </c>
      <c r="AF65" s="779"/>
      <c r="AG65" s="804"/>
      <c r="AH65" s="3233"/>
      <c r="AI65" s="3202"/>
      <c r="AT65" s="3388"/>
      <c r="AV65">
        <f>COUNTIFS($D65:$AG65,"8",$D$4:$AG$4,"0")</f>
        <v>0</v>
      </c>
      <c r="AW65">
        <f>COUNTIFS($D65:$AG65,"9",$D$4:$AG$4,"0")</f>
        <v>0</v>
      </c>
      <c r="AX65">
        <f>COUNTIFS($D65:$AG65,"8",$D$4:$AG$4,"1")</f>
        <v>0</v>
      </c>
      <c r="AY65" cm="1">
        <f t="array" ref="AY65">COUNTIFS($D65:$AG65,"9",$D$4:$AG$4,"1")+SUM(COUNTIFS($D65:$AG65,{"8","9"},$D$4:$AG$4,"2"))+COUNTIFS($D65:$AG65,"8",$D$4:$AG$4,"3")</f>
        <v>0</v>
      </c>
      <c r="AZ65">
        <f>COUNTIFS($D65:$AG65,"9",$D$4:$AG$4,"3")</f>
        <v>0</v>
      </c>
      <c r="BA65">
        <f t="shared" si="1"/>
        <v>0</v>
      </c>
      <c r="BB65">
        <f>AV65*'Spreadsheet Key'!$A$27+AW65*'Spreadsheet Key'!$A$28+AX65*'Spreadsheet Key'!$A$29+AY65*'Spreadsheet Key'!$A$30+AZ65*'Spreadsheet Key'!$A$31</f>
        <v>0</v>
      </c>
    </row>
    <row r="66" spans="1:56" s="3211" customFormat="1">
      <c r="A66" s="3421" t="s">
        <v>155</v>
      </c>
      <c r="B66" s="3187" t="s">
        <v>532</v>
      </c>
      <c r="C66" s="3180" t="str">
        <f t="shared" si="0"/>
        <v>GMC BARTELMEY</v>
      </c>
      <c r="D66" s="3386">
        <v>1</v>
      </c>
      <c r="E66" s="3386">
        <v>1</v>
      </c>
      <c r="F66" s="3386">
        <v>3</v>
      </c>
      <c r="G66" s="3386">
        <v>0</v>
      </c>
      <c r="H66" s="3386">
        <v>0</v>
      </c>
      <c r="I66" s="3386">
        <v>0</v>
      </c>
      <c r="J66" s="3386">
        <v>0</v>
      </c>
      <c r="K66" s="3386">
        <v>0</v>
      </c>
      <c r="L66" s="3386">
        <v>0</v>
      </c>
      <c r="M66" s="3386">
        <v>0</v>
      </c>
      <c r="N66" s="3386">
        <v>0</v>
      </c>
      <c r="O66" s="3386">
        <v>0</v>
      </c>
      <c r="P66" s="3386">
        <v>0</v>
      </c>
      <c r="Q66" s="3386">
        <v>0</v>
      </c>
      <c r="R66" s="3386">
        <v>0</v>
      </c>
      <c r="S66" s="3386">
        <v>8</v>
      </c>
      <c r="T66" s="3386">
        <v>0</v>
      </c>
      <c r="U66" s="3386">
        <v>0</v>
      </c>
      <c r="V66" s="3386">
        <v>4</v>
      </c>
      <c r="W66" s="3386">
        <v>5</v>
      </c>
      <c r="X66" s="3386">
        <v>5</v>
      </c>
      <c r="Y66" s="3386">
        <v>6</v>
      </c>
      <c r="Z66" s="3386">
        <v>0</v>
      </c>
      <c r="AA66" s="3386">
        <v>0</v>
      </c>
      <c r="AB66" s="3386">
        <v>0</v>
      </c>
      <c r="AC66" s="3386">
        <v>0</v>
      </c>
      <c r="AD66" s="3386">
        <v>0</v>
      </c>
      <c r="AE66" s="3386">
        <v>8</v>
      </c>
      <c r="AF66" s="3386">
        <v>0</v>
      </c>
      <c r="AG66" s="3386">
        <v>0</v>
      </c>
      <c r="AH66" s="3387"/>
      <c r="AI66" s="3202">
        <v>0</v>
      </c>
      <c r="AJ66" cm="1">
        <f t="array" ref="AJ66">SUM(COUNTIFS($D66:$AG66,{"0","4","5","6","7","8","9"}))</f>
        <v>27</v>
      </c>
      <c r="AK66" cm="1">
        <f t="array" ref="AK66">SUM(COUNTIFS($D66:$AG66,{"0","4","5","6","7","8","9"},$D$4:$AG$4,"0"))</f>
        <v>13</v>
      </c>
      <c r="AL66" cm="1">
        <f t="array" ref="AL66">SUM(COUNTIFS($D66:$AG66,{"0","4","5","6","7","8","9"},$D$4:$AG$4,"1"))</f>
        <v>4</v>
      </c>
      <c r="AM66" cm="1">
        <f t="array" ref="AM66">SUM(COUNTIFS($D66:$AG66,{"0","4","5","6","7","8","9"},$D$4:$AG$4,"2"))</f>
        <v>6</v>
      </c>
      <c r="AN66" cm="1">
        <f t="array" ref="AN66">SUM(COUNTIFS($D66:$AG66,{"0","4","5","6","7","8","9"},$D$4:$AG$4,"3"))</f>
        <v>4</v>
      </c>
      <c r="AO66" cm="1">
        <f t="array" ref="AO66">SUM(COUNTIFS($D66:$AG66,{"1","2","3"}))</f>
        <v>3</v>
      </c>
      <c r="AP66" cm="1">
        <f t="array" ref="AP66">SUM(COUNTIFS($D66:$AG66,{"4","5","6"}))</f>
        <v>4</v>
      </c>
      <c r="AQ66">
        <f>AK66*'Spreadsheet Key'!$A$23 + AL66*'Spreadsheet Key'!$A$24 + AM66*'Spreadsheet Key'!$A$25 + AN66*'Spreadsheet Key'!$A$26</f>
        <v>1158</v>
      </c>
      <c r="AR66">
        <f>AJ66/('JUN Statistics'!$B$30)*ABS(AI66-1)</f>
        <v>5.3892215568862277E-2</v>
      </c>
      <c r="AS66">
        <f t="shared" ref="AS66" si="55">AI66*AT66</f>
        <v>0</v>
      </c>
      <c r="AT66" s="3388">
        <f>AR66*'JUN Statistics'!$C$11</f>
        <v>65.784432934131743</v>
      </c>
      <c r="AU66"/>
      <c r="AV66">
        <f>COUNTIFS($D66:$AG66,"8",$D$4:$AG$4,"0")</f>
        <v>1</v>
      </c>
      <c r="AW66">
        <f>COUNTIFS($D66:$AG66,"9",$D$4:$AG$4,"0")</f>
        <v>0</v>
      </c>
      <c r="AX66">
        <f>COUNTIFS($D66:$AG66,"8",$D$4:$AG$4,"1")</f>
        <v>0</v>
      </c>
      <c r="AY66" cm="1">
        <f t="array" ref="AY66">COUNTIFS($D66:$AG66,"9",$D$4:$AG$4,"1")+SUM(COUNTIFS($D66:$AG66,{"8","9"},$D$4:$AG$4,"2"))+COUNTIFS($D66:$AG66,"8",$D$4:$AG$4,"3")</f>
        <v>1</v>
      </c>
      <c r="AZ66">
        <f>COUNTIFS($D66:$AG66,"9",$D$4:$AG$4,"3")</f>
        <v>0</v>
      </c>
      <c r="BA66">
        <f t="shared" si="1"/>
        <v>2</v>
      </c>
      <c r="BB66">
        <f>AV66*'Spreadsheet Key'!$A$27+AW66*'Spreadsheet Key'!$A$28+AX66*'Spreadsheet Key'!$A$29+AY66*'Spreadsheet Key'!$A$30+AZ66*'Spreadsheet Key'!$A$31</f>
        <v>46</v>
      </c>
      <c r="BC66"/>
      <c r="BD66">
        <f t="shared" ref="BD66" si="56">AT66-BB66</f>
        <v>19.784432934131743</v>
      </c>
    </row>
    <row r="67" spans="1:56">
      <c r="B67" s="916" t="s">
        <v>720</v>
      </c>
      <c r="C67" s="916"/>
      <c r="D67">
        <f t="shared" ref="D67:AG67" si="57">COUNTIF(D$5:D$66,"D")</f>
        <v>1</v>
      </c>
      <c r="E67">
        <f t="shared" si="57"/>
        <v>1</v>
      </c>
      <c r="F67">
        <f t="shared" si="57"/>
        <v>1</v>
      </c>
      <c r="G67">
        <f t="shared" si="57"/>
        <v>1</v>
      </c>
      <c r="H67">
        <f t="shared" si="57"/>
        <v>1</v>
      </c>
      <c r="I67">
        <f t="shared" si="57"/>
        <v>1</v>
      </c>
      <c r="J67">
        <f t="shared" si="57"/>
        <v>1</v>
      </c>
      <c r="K67">
        <f t="shared" si="57"/>
        <v>1</v>
      </c>
      <c r="L67">
        <f t="shared" si="57"/>
        <v>1</v>
      </c>
      <c r="M67">
        <f t="shared" si="57"/>
        <v>1</v>
      </c>
      <c r="N67">
        <f t="shared" si="57"/>
        <v>1</v>
      </c>
      <c r="O67">
        <f t="shared" si="57"/>
        <v>1</v>
      </c>
      <c r="P67">
        <f t="shared" si="57"/>
        <v>1</v>
      </c>
      <c r="Q67">
        <f t="shared" si="57"/>
        <v>1</v>
      </c>
      <c r="R67">
        <f t="shared" si="57"/>
        <v>1</v>
      </c>
      <c r="S67">
        <f t="shared" si="57"/>
        <v>1</v>
      </c>
      <c r="T67">
        <f t="shared" si="57"/>
        <v>1</v>
      </c>
      <c r="U67">
        <f t="shared" si="57"/>
        <v>1</v>
      </c>
      <c r="V67">
        <f t="shared" si="57"/>
        <v>1</v>
      </c>
      <c r="W67">
        <f t="shared" si="57"/>
        <v>1</v>
      </c>
      <c r="X67">
        <f t="shared" si="57"/>
        <v>1</v>
      </c>
      <c r="Y67">
        <f t="shared" si="57"/>
        <v>1</v>
      </c>
      <c r="Z67">
        <f t="shared" si="57"/>
        <v>1</v>
      </c>
      <c r="AA67">
        <f t="shared" si="57"/>
        <v>1</v>
      </c>
      <c r="AB67">
        <f t="shared" si="57"/>
        <v>1</v>
      </c>
      <c r="AC67">
        <f t="shared" si="57"/>
        <v>1</v>
      </c>
      <c r="AD67">
        <f t="shared" si="57"/>
        <v>1</v>
      </c>
      <c r="AE67">
        <f>COUNTIF(AE$5:AE$66,"D")</f>
        <v>1</v>
      </c>
      <c r="AF67">
        <f t="shared" si="57"/>
        <v>1</v>
      </c>
      <c r="AG67">
        <f t="shared" si="57"/>
        <v>1</v>
      </c>
      <c r="AR67">
        <f>SUM(AR6:AR66)</f>
        <v>1.0000000000000002</v>
      </c>
      <c r="AS67">
        <f>SUM(AS6:AS66)</f>
        <v>37.333333333333336</v>
      </c>
      <c r="AT67" s="3388">
        <f>SUM(AT6:AT66)</f>
        <v>1258.000033333333</v>
      </c>
      <c r="AV67">
        <f t="shared" ref="AV67:BA67" si="58">SUM(AV6:AV66)</f>
        <v>15</v>
      </c>
      <c r="AW67">
        <f t="shared" si="58"/>
        <v>15</v>
      </c>
      <c r="AX67">
        <f t="shared" si="58"/>
        <v>4</v>
      </c>
      <c r="AY67">
        <f t="shared" si="58"/>
        <v>21</v>
      </c>
      <c r="AZ67">
        <f t="shared" si="58"/>
        <v>5</v>
      </c>
      <c r="BA67">
        <f t="shared" si="58"/>
        <v>60</v>
      </c>
      <c r="BB67">
        <f>SUM(BB6:BB66)</f>
        <v>1258</v>
      </c>
      <c r="BD67">
        <f>SUM(BD6:BD66)</f>
        <v>3.3333333341545313E-5</v>
      </c>
    </row>
    <row r="68" spans="1:56">
      <c r="B68" s="916">
        <v>8</v>
      </c>
      <c r="C68" s="916"/>
      <c r="D68">
        <f t="shared" ref="D68:AG68" si="59">COUNTIF(D$6:D$66,8)</f>
        <v>1</v>
      </c>
      <c r="E68">
        <f t="shared" si="59"/>
        <v>1</v>
      </c>
      <c r="F68">
        <f t="shared" si="59"/>
        <v>1</v>
      </c>
      <c r="G68">
        <f t="shared" si="59"/>
        <v>1</v>
      </c>
      <c r="H68">
        <f t="shared" si="59"/>
        <v>1</v>
      </c>
      <c r="I68">
        <f t="shared" si="59"/>
        <v>1</v>
      </c>
      <c r="J68">
        <f t="shared" si="59"/>
        <v>1</v>
      </c>
      <c r="K68">
        <f t="shared" si="59"/>
        <v>1</v>
      </c>
      <c r="L68">
        <f t="shared" si="59"/>
        <v>1</v>
      </c>
      <c r="M68">
        <f t="shared" si="59"/>
        <v>1</v>
      </c>
      <c r="N68">
        <f t="shared" si="59"/>
        <v>1</v>
      </c>
      <c r="O68">
        <f t="shared" si="59"/>
        <v>1</v>
      </c>
      <c r="P68">
        <f t="shared" si="59"/>
        <v>1</v>
      </c>
      <c r="Q68">
        <f t="shared" si="59"/>
        <v>1</v>
      </c>
      <c r="R68">
        <f t="shared" si="59"/>
        <v>1</v>
      </c>
      <c r="S68">
        <f t="shared" si="59"/>
        <v>1</v>
      </c>
      <c r="T68">
        <f t="shared" si="59"/>
        <v>1</v>
      </c>
      <c r="U68">
        <f t="shared" si="59"/>
        <v>1</v>
      </c>
      <c r="V68">
        <f t="shared" si="59"/>
        <v>1</v>
      </c>
      <c r="W68">
        <f t="shared" si="59"/>
        <v>1</v>
      </c>
      <c r="X68">
        <f t="shared" si="59"/>
        <v>1</v>
      </c>
      <c r="Y68">
        <f t="shared" si="59"/>
        <v>1</v>
      </c>
      <c r="Z68">
        <f t="shared" si="59"/>
        <v>1</v>
      </c>
      <c r="AA68">
        <f t="shared" si="59"/>
        <v>1</v>
      </c>
      <c r="AB68">
        <f t="shared" si="59"/>
        <v>1</v>
      </c>
      <c r="AC68">
        <f t="shared" si="59"/>
        <v>1</v>
      </c>
      <c r="AD68">
        <f t="shared" si="59"/>
        <v>1</v>
      </c>
      <c r="AE68">
        <f>COUNTIF(AE$6:AE$66,8)</f>
        <v>1</v>
      </c>
      <c r="AF68">
        <f t="shared" si="59"/>
        <v>1</v>
      </c>
      <c r="AG68">
        <f t="shared" si="59"/>
        <v>1</v>
      </c>
      <c r="AR68" t="s">
        <v>1214</v>
      </c>
      <c r="AS68">
        <f>SUM(AS6:AS66)</f>
        <v>37.333333333333336</v>
      </c>
      <c r="BB68">
        <f>SUM(AV67*'Spreadsheet Key'!A27+'JUN STWO Watchbill'!AW67*'Spreadsheet Key'!A28+'JUN STWO Watchbill'!AX67*'Spreadsheet Key'!A29+'JUN STWO Watchbill'!AY67*'Spreadsheet Key'!A30+'JUN STWO Watchbill'!AZ67*'Spreadsheet Key'!A31)</f>
        <v>1258</v>
      </c>
      <c r="BD68">
        <f>STDEV(BD6:BD66)</f>
        <v>15.496448657263391</v>
      </c>
    </row>
    <row r="69" spans="1:56">
      <c r="B69" s="916" t="s">
        <v>722</v>
      </c>
      <c r="C69" s="916"/>
      <c r="D69">
        <f t="shared" ref="D69:AG69" si="60">COUNTIF(D$5:D$66,"N")</f>
        <v>1</v>
      </c>
      <c r="E69">
        <f t="shared" si="60"/>
        <v>1</v>
      </c>
      <c r="F69">
        <f t="shared" si="60"/>
        <v>1</v>
      </c>
      <c r="G69">
        <f t="shared" si="60"/>
        <v>1</v>
      </c>
      <c r="H69">
        <f t="shared" si="60"/>
        <v>1</v>
      </c>
      <c r="I69">
        <f t="shared" si="60"/>
        <v>1</v>
      </c>
      <c r="J69">
        <f t="shared" si="60"/>
        <v>1</v>
      </c>
      <c r="K69">
        <f t="shared" si="60"/>
        <v>1</v>
      </c>
      <c r="L69">
        <f t="shared" si="60"/>
        <v>1</v>
      </c>
      <c r="M69">
        <f t="shared" si="60"/>
        <v>1</v>
      </c>
      <c r="N69">
        <f t="shared" si="60"/>
        <v>1</v>
      </c>
      <c r="O69">
        <f t="shared" si="60"/>
        <v>1</v>
      </c>
      <c r="P69">
        <f t="shared" si="60"/>
        <v>1</v>
      </c>
      <c r="Q69">
        <f t="shared" si="60"/>
        <v>1</v>
      </c>
      <c r="R69">
        <f t="shared" si="60"/>
        <v>1</v>
      </c>
      <c r="S69">
        <f t="shared" si="60"/>
        <v>1</v>
      </c>
      <c r="T69">
        <f t="shared" si="60"/>
        <v>1</v>
      </c>
      <c r="U69">
        <f t="shared" si="60"/>
        <v>1</v>
      </c>
      <c r="V69">
        <f t="shared" si="60"/>
        <v>1</v>
      </c>
      <c r="W69">
        <f t="shared" si="60"/>
        <v>1</v>
      </c>
      <c r="X69">
        <f t="shared" si="60"/>
        <v>1</v>
      </c>
      <c r="Y69">
        <f t="shared" si="60"/>
        <v>1</v>
      </c>
      <c r="Z69">
        <f t="shared" si="60"/>
        <v>1</v>
      </c>
      <c r="AA69">
        <f t="shared" si="60"/>
        <v>1</v>
      </c>
      <c r="AB69">
        <f t="shared" si="60"/>
        <v>1</v>
      </c>
      <c r="AC69">
        <f t="shared" si="60"/>
        <v>1</v>
      </c>
      <c r="AD69">
        <f t="shared" si="60"/>
        <v>1</v>
      </c>
      <c r="AE69">
        <f>COUNTIF(AE$5:AE$66,"N")</f>
        <v>1</v>
      </c>
      <c r="AF69">
        <f t="shared" si="60"/>
        <v>1</v>
      </c>
      <c r="AG69">
        <f t="shared" si="60"/>
        <v>1</v>
      </c>
    </row>
    <row r="70" spans="1:56">
      <c r="B70" s="916">
        <v>9</v>
      </c>
      <c r="C70" s="916"/>
      <c r="D70">
        <f t="shared" ref="D70:AG70" si="61">COUNTIF(D$6:D$66,9)</f>
        <v>1</v>
      </c>
      <c r="E70">
        <f t="shared" si="61"/>
        <v>1</v>
      </c>
      <c r="F70">
        <f t="shared" si="61"/>
        <v>1</v>
      </c>
      <c r="G70">
        <f t="shared" si="61"/>
        <v>1</v>
      </c>
      <c r="H70">
        <f t="shared" si="61"/>
        <v>1</v>
      </c>
      <c r="I70">
        <f t="shared" si="61"/>
        <v>1</v>
      </c>
      <c r="J70">
        <f t="shared" si="61"/>
        <v>1</v>
      </c>
      <c r="K70">
        <f t="shared" si="61"/>
        <v>1</v>
      </c>
      <c r="L70">
        <f t="shared" si="61"/>
        <v>1</v>
      </c>
      <c r="M70">
        <f t="shared" si="61"/>
        <v>1</v>
      </c>
      <c r="N70">
        <f t="shared" si="61"/>
        <v>1</v>
      </c>
      <c r="O70">
        <f t="shared" si="61"/>
        <v>1</v>
      </c>
      <c r="P70">
        <f t="shared" si="61"/>
        <v>1</v>
      </c>
      <c r="Q70">
        <f t="shared" si="61"/>
        <v>1</v>
      </c>
      <c r="R70">
        <f t="shared" si="61"/>
        <v>1</v>
      </c>
      <c r="S70">
        <f t="shared" si="61"/>
        <v>1</v>
      </c>
      <c r="T70">
        <f t="shared" si="61"/>
        <v>1</v>
      </c>
      <c r="U70">
        <f t="shared" si="61"/>
        <v>1</v>
      </c>
      <c r="V70">
        <f t="shared" si="61"/>
        <v>1</v>
      </c>
      <c r="W70">
        <f t="shared" si="61"/>
        <v>1</v>
      </c>
      <c r="X70">
        <f t="shared" si="61"/>
        <v>1</v>
      </c>
      <c r="Y70">
        <f t="shared" si="61"/>
        <v>1</v>
      </c>
      <c r="Z70">
        <f t="shared" si="61"/>
        <v>1</v>
      </c>
      <c r="AA70">
        <f t="shared" si="61"/>
        <v>1</v>
      </c>
      <c r="AB70">
        <f t="shared" si="61"/>
        <v>1</v>
      </c>
      <c r="AC70">
        <f t="shared" si="61"/>
        <v>1</v>
      </c>
      <c r="AD70">
        <f t="shared" si="61"/>
        <v>1</v>
      </c>
      <c r="AE70">
        <f>COUNTIF(AE$6:AE$66,9)</f>
        <v>1</v>
      </c>
      <c r="AF70">
        <f t="shared" si="61"/>
        <v>1</v>
      </c>
      <c r="AG70">
        <f t="shared" si="61"/>
        <v>1</v>
      </c>
    </row>
    <row r="71" spans="1:56">
      <c r="A71" t="s">
        <v>1151</v>
      </c>
    </row>
    <row r="72" spans="1:56">
      <c r="A72" t="s">
        <v>1152</v>
      </c>
    </row>
    <row r="73" spans="1:56">
      <c r="A73" t="s">
        <v>1153</v>
      </c>
    </row>
    <row r="74" spans="1:56">
      <c r="A74" t="s">
        <v>1154</v>
      </c>
    </row>
    <row r="76" spans="1:56">
      <c r="AT76" cm="1">
        <f t="array" ref="AT76">SUM(AI6:AI66*AT6:AT66)</f>
        <v>37.333333333333336</v>
      </c>
    </row>
  </sheetData>
  <mergeCells count="47">
    <mergeCell ref="A4:B4"/>
    <mergeCell ref="Y23:AB23"/>
    <mergeCell ref="M9:N9"/>
    <mergeCell ref="Z9:AG9"/>
    <mergeCell ref="Z15:AE15"/>
    <mergeCell ref="AJ1:BH1"/>
    <mergeCell ref="A2:B2"/>
    <mergeCell ref="A3:B3"/>
    <mergeCell ref="AJ3:AT3"/>
    <mergeCell ref="AV3:BB3"/>
    <mergeCell ref="A1:B1"/>
    <mergeCell ref="D1:AG1"/>
    <mergeCell ref="O9:W9"/>
    <mergeCell ref="W21:AG21"/>
    <mergeCell ref="U5:AG5"/>
    <mergeCell ref="V65:Y65"/>
    <mergeCell ref="T63:AG63"/>
    <mergeCell ref="Z59:AD59"/>
    <mergeCell ref="AC55:AD55"/>
    <mergeCell ref="Z33:AD33"/>
    <mergeCell ref="F33:X33"/>
    <mergeCell ref="F39:X39"/>
    <mergeCell ref="E51:G51"/>
    <mergeCell ref="M51:N51"/>
    <mergeCell ref="E45:G45"/>
    <mergeCell ref="F41:X41"/>
    <mergeCell ref="M45:N45"/>
    <mergeCell ref="K63:M63"/>
    <mergeCell ref="E61:G61"/>
    <mergeCell ref="Z61:AG61"/>
    <mergeCell ref="E59:H59"/>
    <mergeCell ref="V61:X61"/>
    <mergeCell ref="Z17:AD17"/>
    <mergeCell ref="D27:S27"/>
    <mergeCell ref="U35:AA35"/>
    <mergeCell ref="D29:L29"/>
    <mergeCell ref="E57:G57"/>
    <mergeCell ref="M57:N57"/>
    <mergeCell ref="S57:U57"/>
    <mergeCell ref="Z57:AG57"/>
    <mergeCell ref="N55:T55"/>
    <mergeCell ref="V45:Y45"/>
    <mergeCell ref="E43:Z43"/>
    <mergeCell ref="D47:E47"/>
    <mergeCell ref="F47:U47"/>
    <mergeCell ref="D49:E49"/>
    <mergeCell ref="F49:U49"/>
  </mergeCells>
  <conditionalFormatting sqref="BD1:BD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7:BD7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6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7:AG70">
    <cfRule type="cellIs" dxfId="121" priority="22" operator="equal">
      <formula>0</formula>
    </cfRule>
  </conditionalFormatting>
  <conditionalFormatting sqref="D67:AG70">
    <cfRule type="cellIs" dxfId="120" priority="21" operator="equal">
      <formula>1</formula>
    </cfRule>
  </conditionalFormatting>
  <conditionalFormatting sqref="B57:C57 D43:F43 Y43:AG43 AD66 D7:J8 Y61:AG61 D25:N26 D33:AG42 D31:O32 N59:AG60 O53:AG54 N54 M60 AE65:AG66 D55:K56 M55:AG56 L56 D17:K18 L18 Q31:V32 X31:AG32 W32 D9:O9 X9:AG9 D62:AG62 D63:N64 P63:AG64 O64 D23:AG24 Q21:AG22 P22 D21:D22 F21:O22 D53:M54 E22 D19:I20 K19:AG19 J20:AG20 D59:H60 J59:L60 D5:AG6 D57:AG58 K8:AG8 L7:O7 Q7:AG7 M17:AG18 D27 T27:AG27 D10:AG16 D44:AG52 D28:AG30 P25:AG26 D65:AC66 D61:V61">
    <cfRule type="cellIs" dxfId="119" priority="20" operator="equal">
      <formula>8</formula>
    </cfRule>
  </conditionalFormatting>
  <conditionalFormatting sqref="B57:C57 D43:F43 Y43:AG43 AD66 D7:J8 Y61:AG61 D25:N26 D33:AG42 D31:O32 N59:AG60 O53:AG54 N54 M60 AE65:AG66 D55:K56 M55:AG56 L56 D17:K18 L18 Q31:V32 X31:AG32 W32 D9:O9 X9:AG9 D62:AG62 D63:N64 P63:AG64 O64 D23:AG24 Q21:AG22 P22 D21:D22 F21:O22 D53:M54 E22 D19:I20 K19:AG19 J20:AG20 D59:H60 J59:L60 D5:AG6 D57:AG58 K8:AG8 L7:O7 Q7:AG7 M17:AG18 D27 T27:AG27 D10:AG16 D44:AG52 D28:AG30 P25:AG26 D65:AC66 D61:V61">
    <cfRule type="cellIs" dxfId="118" priority="19" operator="equal">
      <formula>"D"</formula>
    </cfRule>
  </conditionalFormatting>
  <conditionalFormatting sqref="B57:C57 D43:F43 Y43:AG43 AD66 D7:J8 Y61:AG61 D25:N26 D33:AG42 D31:O32 N59:AG60 O53:AG54 N54 M60 AE65:AG66 D55:K56 M55:AG56 L56 D17:K18 L18 Q31:V32 X31:AG32 W32 D9:O9 X9:AG9 D62:AG62 D63:N64 P63:AG64 O64 D23:AG24 Q21:AG22 P22 D21:D22 F21:O22 D53:M54 E22 D19:I20 K19:AG19 J20:AG20 D59:H60 J59:L60 D5:AG6 D57:AG58 K8:AG8 L7:O7 Q7:AG7 M17:AG18 D27 T27:AG27 D10:AG16 D44:AG52 D28:AG30 P25:AG26 D65:AC66 D61:V61">
    <cfRule type="cellIs" dxfId="117" priority="18" operator="equal">
      <formula>"N"</formula>
    </cfRule>
  </conditionalFormatting>
  <conditionalFormatting sqref="B57:C57 D43:F43 Y43:AG43 AD66 D7:J8 Y61:AG61 D25:N26 D33:AG42 D31:O32 N59:AG60 O53:AG54 N54 M60 AE65:AG66 D55:K56 M55:AG56 L56 D17:K18 L18 Q31:V32 X31:AG32 W32 D9:O9 X9:AG9 D62:AG62 D63:N64 P63:AG64 O64 D23:AG24 Q21:AG22 P22 D21:D22 F21:O22 D53:M54 E22 D19:I20 K19:AG19 J20:AG20 D59:H60 J59:L60 D5:AG6 D57:AG58 K8:AG8 L7:O7 Q7:AG7 M17:AG18 D27 T27:AG27 D10:AG16 D44:AG52 D28:AG30 P25:AG26 D65:AC66 D61:V61">
    <cfRule type="cellIs" dxfId="116" priority="17" operator="equal">
      <formula>9</formula>
    </cfRule>
  </conditionalFormatting>
  <conditionalFormatting sqref="Q4:AG4">
    <cfRule type="cellIs" dxfId="115" priority="16" operator="equal">
      <formula>8</formula>
    </cfRule>
  </conditionalFormatting>
  <conditionalFormatting sqref="Q4:AG4">
    <cfRule type="cellIs" dxfId="114" priority="15" operator="equal">
      <formula>"D"</formula>
    </cfRule>
  </conditionalFormatting>
  <conditionalFormatting sqref="Q4:AG4">
    <cfRule type="cellIs" dxfId="113" priority="14" operator="equal">
      <formula>"N"</formula>
    </cfRule>
  </conditionalFormatting>
  <conditionalFormatting sqref="Q4:AG4">
    <cfRule type="cellIs" dxfId="112" priority="13" operator="equal">
      <formula>9</formula>
    </cfRule>
  </conditionalFormatting>
  <conditionalFormatting sqref="O26">
    <cfRule type="cellIs" dxfId="111" priority="12" operator="equal">
      <formula>8</formula>
    </cfRule>
  </conditionalFormatting>
  <conditionalFormatting sqref="O26">
    <cfRule type="cellIs" dxfId="110" priority="11" operator="equal">
      <formula>"D"</formula>
    </cfRule>
  </conditionalFormatting>
  <conditionalFormatting sqref="O26">
    <cfRule type="cellIs" dxfId="109" priority="10" operator="equal">
      <formula>"N"</formula>
    </cfRule>
  </conditionalFormatting>
  <conditionalFormatting sqref="O26">
    <cfRule type="cellIs" dxfId="108" priority="9" operator="equal">
      <formula>9</formula>
    </cfRule>
  </conditionalFormatting>
  <conditionalFormatting sqref="P32">
    <cfRule type="cellIs" dxfId="107" priority="8" operator="equal">
      <formula>8</formula>
    </cfRule>
  </conditionalFormatting>
  <conditionalFormatting sqref="P32">
    <cfRule type="cellIs" dxfId="106" priority="7" operator="equal">
      <formula>"D"</formula>
    </cfRule>
  </conditionalFormatting>
  <conditionalFormatting sqref="P32">
    <cfRule type="cellIs" dxfId="105" priority="6" operator="equal">
      <formula>"N"</formula>
    </cfRule>
  </conditionalFormatting>
  <conditionalFormatting sqref="P32">
    <cfRule type="cellIs" dxfId="104" priority="5" operator="equal">
      <formula>9</formula>
    </cfRule>
  </conditionalFormatting>
  <conditionalFormatting sqref="I60">
    <cfRule type="cellIs" dxfId="103" priority="4" operator="equal">
      <formula>8</formula>
    </cfRule>
  </conditionalFormatting>
  <conditionalFormatting sqref="I60">
    <cfRule type="cellIs" dxfId="102" priority="3" operator="equal">
      <formula>"D"</formula>
    </cfRule>
  </conditionalFormatting>
  <conditionalFormatting sqref="I60">
    <cfRule type="cellIs" dxfId="101" priority="2" operator="equal">
      <formula>"N"</formula>
    </cfRule>
  </conditionalFormatting>
  <conditionalFormatting sqref="I60">
    <cfRule type="cellIs" dxfId="100" priority="1" operator="equal">
      <formula>9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1307-7B23-4280-BE66-4222317C4442}">
  <dimension ref="A1:E31"/>
  <sheetViews>
    <sheetView workbookViewId="0">
      <selection activeCell="C6" sqref="C6"/>
    </sheetView>
  </sheetViews>
  <sheetFormatPr defaultRowHeight="15"/>
  <cols>
    <col min="1" max="1" width="29.28515625" bestFit="1" customWidth="1"/>
    <col min="2" max="2" width="9.140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SUM(COUNTIF('JUN STWO Watchbill'!$D$4:$AH$4,"0"))</f>
        <v>15</v>
      </c>
      <c r="C2">
        <f>B2*'Spreadsheet Key'!A23</f>
        <v>330</v>
      </c>
    </row>
    <row r="3" spans="1:5">
      <c r="A3" t="s">
        <v>1159</v>
      </c>
      <c r="B3">
        <f>SUM(COUNTIF('JUN STWO Watchbill'!$D$4:$AH$4,"1"))</f>
        <v>4</v>
      </c>
      <c r="C3">
        <f>B3*'Spreadsheet Key'!A24</f>
        <v>216</v>
      </c>
    </row>
    <row r="4" spans="1:5">
      <c r="A4" t="s">
        <v>1160</v>
      </c>
      <c r="B4">
        <f>SUM(COUNTIF('JUN STWO Watchbill'!$D$4:$AH$4,"2"))</f>
        <v>6</v>
      </c>
      <c r="C4">
        <f>B4*'Spreadsheet Key'!A25</f>
        <v>432</v>
      </c>
    </row>
    <row r="5" spans="1:5">
      <c r="A5" t="s">
        <v>1161</v>
      </c>
      <c r="B5">
        <f>SUM(COUNTIF('JUN STWO Watchbill'!$D$4:$AH$4,"3"))</f>
        <v>5</v>
      </c>
      <c r="C5">
        <f>B5*'Spreadsheet Key'!A26</f>
        <v>280</v>
      </c>
    </row>
    <row r="6" spans="1:5">
      <c r="A6" t="s">
        <v>571</v>
      </c>
      <c r="B6">
        <f>SUM(B2:B5)</f>
        <v>30</v>
      </c>
      <c r="C6">
        <f>SUM(C2:C5)</f>
        <v>1258</v>
      </c>
    </row>
    <row r="7" spans="1:5">
      <c r="A7" t="s">
        <v>1162</v>
      </c>
      <c r="B7">
        <f>2*B6/$B$15</f>
        <v>1.935483870967742</v>
      </c>
      <c r="C7">
        <f>C6/$B$15</f>
        <v>40.58064516129032</v>
      </c>
    </row>
    <row r="9" spans="1:5">
      <c r="A9" t="s">
        <v>1214</v>
      </c>
      <c r="C9">
        <v>37.333300000000001</v>
      </c>
      <c r="D9">
        <f>_xlfn.XLOOKUP(A9,'JUN STWO Watchbill'!AR68,'JUN STWO Watchbill'!AS68)</f>
        <v>37.333333333333336</v>
      </c>
    </row>
    <row r="10" spans="1:5">
      <c r="A10" t="s">
        <v>1294</v>
      </c>
      <c r="C10">
        <v>0</v>
      </c>
    </row>
    <row r="11" spans="1:5">
      <c r="A11" s="3227" t="s">
        <v>1224</v>
      </c>
      <c r="C11">
        <f>C6-C9-C10</f>
        <v>1220.6667</v>
      </c>
    </row>
    <row r="14" spans="1:5">
      <c r="A14" t="s">
        <v>1163</v>
      </c>
      <c r="B14" t="s">
        <v>1164</v>
      </c>
    </row>
    <row r="15" spans="1:5">
      <c r="A15" t="s">
        <v>1117</v>
      </c>
      <c r="B15">
        <f>COUNTA('JUN STWO Watchbill'!A5:A66)</f>
        <v>31</v>
      </c>
    </row>
    <row r="16" spans="1:5">
      <c r="A16" t="s">
        <v>1225</v>
      </c>
      <c r="B16">
        <f>SUM('JUN STWO Watchbill'!AI6:AI66)</f>
        <v>5</v>
      </c>
    </row>
    <row r="17" spans="1:4">
      <c r="A17" t="s">
        <v>1226</v>
      </c>
      <c r="B17">
        <f>B15-B16</f>
        <v>26</v>
      </c>
    </row>
    <row r="21" spans="1:4">
      <c r="A21" t="s">
        <v>1166</v>
      </c>
      <c r="B21" t="s">
        <v>1155</v>
      </c>
      <c r="C21" t="s">
        <v>1156</v>
      </c>
    </row>
    <row r="22" spans="1:4">
      <c r="A22" t="s">
        <v>1158</v>
      </c>
      <c r="B22">
        <f>SUM('JUN STWO Watchbill'!AK6:AK66)</f>
        <v>254</v>
      </c>
      <c r="C22">
        <f>B22*'Spreadsheet Key'!A23</f>
        <v>5588</v>
      </c>
    </row>
    <row r="23" spans="1:4">
      <c r="A23" t="s">
        <v>1159</v>
      </c>
      <c r="B23">
        <f>SUM('JUN STWO Watchbill'!AL6:AL66)</f>
        <v>73</v>
      </c>
      <c r="C23">
        <f>B23*'Spreadsheet Key'!A24</f>
        <v>3942</v>
      </c>
    </row>
    <row r="24" spans="1:4">
      <c r="A24" t="s">
        <v>1160</v>
      </c>
      <c r="B24">
        <f>SUM('JUN STWO Watchbill'!AM6:AM66)</f>
        <v>118</v>
      </c>
      <c r="C24">
        <f>B24*'Spreadsheet Key'!A25</f>
        <v>8496</v>
      </c>
    </row>
    <row r="25" spans="1:4">
      <c r="A25" t="s">
        <v>1161</v>
      </c>
      <c r="B25">
        <f>SUM('JUN STWO Watchbill'!AN6:AN66)</f>
        <v>96</v>
      </c>
      <c r="C25">
        <f>B25*'Spreadsheet Key'!A26</f>
        <v>5376</v>
      </c>
    </row>
    <row r="26" spans="1:4">
      <c r="A26" t="s">
        <v>571</v>
      </c>
      <c r="B26">
        <f>SUM(B22:B25)</f>
        <v>541</v>
      </c>
      <c r="C26">
        <f>SUM(C22:C25)</f>
        <v>23402</v>
      </c>
    </row>
    <row r="27" spans="1:4">
      <c r="A27" t="s">
        <v>1167</v>
      </c>
      <c r="B27">
        <f>B26/B15</f>
        <v>17.451612903225808</v>
      </c>
      <c r="C27">
        <f>C26/$B15</f>
        <v>754.90322580645159</v>
      </c>
    </row>
    <row r="29" spans="1:4">
      <c r="A29" t="s">
        <v>1227</v>
      </c>
      <c r="B29" cm="1">
        <f t="array" ref="B29">SUM('JUN STWO Watchbill'!AI6:AI66*'JUN STWO Watchbill'!AJ6:AJ66)</f>
        <v>40</v>
      </c>
    </row>
    <row r="30" spans="1:4">
      <c r="A30" t="s">
        <v>1228</v>
      </c>
      <c r="B30">
        <f>B26-B29</f>
        <v>501</v>
      </c>
    </row>
    <row r="31" spans="1:4">
      <c r="B31" cm="1">
        <f t="array" ref="B31">SUM(ABS('JUN STWO Watchbill'!AI6:AI66-1)*'JUN STWO Watchbill'!AJ6:AJ66)</f>
        <v>501</v>
      </c>
      <c r="D31" t="s">
        <v>1295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EDD76-099F-472E-B38B-8B70D723D2ED}">
  <sheetPr>
    <pageSetUpPr fitToPage="1"/>
  </sheetPr>
  <dimension ref="A1:AD979"/>
  <sheetViews>
    <sheetView view="pageLayout" topLeftCell="A2" zoomScaleNormal="100" workbookViewId="0">
      <selection activeCell="J13" sqref="J13"/>
    </sheetView>
  </sheetViews>
  <sheetFormatPr defaultColWidth="14.42578125" defaultRowHeight="15" customHeight="1"/>
  <cols>
    <col min="1" max="1" width="8.7109375" customWidth="1"/>
    <col min="2" max="2" width="20.140625" customWidth="1"/>
    <col min="3" max="3" width="8.7109375" customWidth="1"/>
    <col min="4" max="4" width="20.140625" customWidth="1"/>
    <col min="5" max="5" width="8.7109375" customWidth="1"/>
    <col min="6" max="6" width="20.140625" customWidth="1"/>
    <col min="7" max="7" width="8.7109375" customWidth="1"/>
    <col min="8" max="8" width="20.140625" customWidth="1"/>
    <col min="9" max="9" width="8.7109375" customWidth="1"/>
    <col min="10" max="10" width="20.140625" customWidth="1"/>
    <col min="11" max="11" width="8.7109375" customWidth="1"/>
    <col min="12" max="12" width="20.140625" customWidth="1"/>
    <col min="13" max="13" width="8.7109375" customWidth="1"/>
    <col min="14" max="14" width="20.140625" customWidth="1"/>
    <col min="15" max="16" width="8.7109375" customWidth="1"/>
    <col min="17" max="17" width="17.28515625" customWidth="1"/>
    <col min="18" max="18" width="17.5703125" customWidth="1"/>
    <col min="19" max="19" width="14.140625" bestFit="1" customWidth="1"/>
    <col min="20" max="20" width="15.42578125" bestFit="1" customWidth="1"/>
    <col min="21" max="21" width="11.5703125" bestFit="1" customWidth="1"/>
    <col min="22" max="22" width="22.28515625" bestFit="1" customWidth="1"/>
    <col min="23" max="23" width="13.28515625" customWidth="1"/>
    <col min="24" max="24" width="12.5703125" customWidth="1"/>
    <col min="25" max="30" width="8.7109375" customWidth="1"/>
  </cols>
  <sheetData>
    <row r="1" spans="1:30" ht="26.25" customHeight="1">
      <c r="A1" s="6472" t="s">
        <v>1296</v>
      </c>
      <c r="B1" s="6473"/>
      <c r="C1" s="6473"/>
      <c r="D1" s="6473"/>
      <c r="E1" s="6473"/>
      <c r="F1" s="6473"/>
      <c r="G1" s="6473"/>
      <c r="H1" s="6473"/>
      <c r="I1" s="6473"/>
      <c r="J1" s="6473"/>
      <c r="K1" s="6473"/>
      <c r="L1" s="6473"/>
      <c r="M1" s="6473"/>
      <c r="N1" s="6474"/>
      <c r="R1" s="3583"/>
    </row>
    <row r="2" spans="1:30" ht="82.5" customHeight="1">
      <c r="A2" s="6475" t="s">
        <v>1406</v>
      </c>
      <c r="B2" s="6476"/>
      <c r="C2" s="6476"/>
      <c r="D2" s="6476"/>
      <c r="E2" s="6476"/>
      <c r="F2" s="6476"/>
      <c r="G2" s="6476"/>
      <c r="H2" s="6476"/>
      <c r="I2" s="6476"/>
      <c r="J2" s="6476"/>
      <c r="K2" s="6476"/>
      <c r="L2" s="6476"/>
      <c r="M2" s="6476"/>
      <c r="N2" s="6477"/>
      <c r="O2" s="10"/>
      <c r="P2" s="10"/>
      <c r="Q2" s="10"/>
      <c r="R2" s="3267"/>
      <c r="S2" s="10" t="str" cm="1">
        <f t="array" aca="1" ref="S2" ca="1">_xlfn.XLOOKUP(8,'JUN STWO Watchbill'!D5:'JUN STWO Watchbill'!D66,'JUN STWO Watchbill'!$C5:'JUN STWO Watchbill'!$C66)</f>
        <v>OSC WILLIAMS</v>
      </c>
      <c r="T2" s="10"/>
      <c r="U2" s="10"/>
      <c r="V2" s="10"/>
      <c r="W2" s="10"/>
      <c r="X2" s="10"/>
      <c r="Y2" s="10"/>
      <c r="Z2" s="10"/>
    </row>
    <row r="3" spans="1:30">
      <c r="A3" s="6326" t="s">
        <v>1298</v>
      </c>
      <c r="B3" s="6328"/>
      <c r="C3" s="6326" t="s">
        <v>1299</v>
      </c>
      <c r="D3" s="6327"/>
      <c r="E3" s="6328" t="s">
        <v>1300</v>
      </c>
      <c r="F3" s="6328"/>
      <c r="G3" s="6326" t="s">
        <v>1301</v>
      </c>
      <c r="H3" s="6328"/>
      <c r="I3" s="6329" t="s">
        <v>1302</v>
      </c>
      <c r="J3" s="6330"/>
      <c r="K3" s="6329" t="s">
        <v>1303</v>
      </c>
      <c r="L3" s="6331"/>
      <c r="M3" s="6330" t="s">
        <v>1304</v>
      </c>
      <c r="N3" s="6331"/>
      <c r="O3" s="10"/>
      <c r="P3" s="10"/>
      <c r="Q3" s="3425" t="s">
        <v>1305</v>
      </c>
      <c r="R3" s="3426" t="s">
        <v>1306</v>
      </c>
      <c r="S3" s="3427" t="s">
        <v>1128</v>
      </c>
      <c r="T3" s="3427" t="s">
        <v>1129</v>
      </c>
      <c r="U3" s="3427" t="s">
        <v>1130</v>
      </c>
      <c r="V3" s="3427" t="s">
        <v>1131</v>
      </c>
      <c r="W3" s="3427" t="s">
        <v>1132</v>
      </c>
      <c r="X3" s="3428" t="s">
        <v>575</v>
      </c>
      <c r="Y3" s="10"/>
      <c r="Z3" s="10"/>
      <c r="AA3" s="10"/>
      <c r="AB3" s="10"/>
      <c r="AC3" s="10"/>
      <c r="AD3" s="10"/>
    </row>
    <row r="4" spans="1:30">
      <c r="A4" s="6334">
        <v>1</v>
      </c>
      <c r="B4" s="6335"/>
      <c r="C4" s="6334">
        <v>2</v>
      </c>
      <c r="D4" s="6336"/>
      <c r="E4" s="6344">
        <v>3</v>
      </c>
      <c r="F4" s="6345"/>
      <c r="G4" s="6334">
        <v>4</v>
      </c>
      <c r="H4" s="6335"/>
      <c r="I4" s="6334">
        <v>5</v>
      </c>
      <c r="J4" s="6335"/>
      <c r="K4" s="6332">
        <v>6</v>
      </c>
      <c r="L4" s="6333"/>
      <c r="M4" s="6332">
        <v>7</v>
      </c>
      <c r="N4" s="6339"/>
      <c r="O4" s="10"/>
      <c r="P4" s="10"/>
      <c r="Q4" s="3272" t="s">
        <v>718</v>
      </c>
      <c r="R4" s="3429"/>
      <c r="S4" s="3430">
        <f>_xlfn.XLOOKUP($Q4,'JUN STWO Watchbill'!$B$5:$B$66,'JUN STWO Watchbill'!AV$5:AV$66)</f>
        <v>1</v>
      </c>
      <c r="T4" s="3430">
        <f>_xlfn.XLOOKUP($Q4,'JUN STWO Watchbill'!$B$5:$B$66,'JUN STWO Watchbill'!AW$5:AW$66)</f>
        <v>1</v>
      </c>
      <c r="U4" s="3430">
        <f>_xlfn.XLOOKUP($Q4,'JUN STWO Watchbill'!$B$5:$B$66,'JUN STWO Watchbill'!AX$5:AX$66)</f>
        <v>0</v>
      </c>
      <c r="V4" s="3430">
        <f>_xlfn.XLOOKUP($Q4,'JUN STWO Watchbill'!$B$5:$B$66,'JUN STWO Watchbill'!AY$5:AY$66)</f>
        <v>1</v>
      </c>
      <c r="W4" s="3430">
        <f>_xlfn.XLOOKUP($Q4,'JUN STWO Watchbill'!$B$5:$B$66,'JUN STWO Watchbill'!AZ$5:AZ$66)</f>
        <v>0</v>
      </c>
      <c r="X4" s="3431">
        <f>SUM(S4:W4)</f>
        <v>3</v>
      </c>
      <c r="Y4" s="10"/>
      <c r="Z4" s="10"/>
      <c r="AA4" s="10"/>
      <c r="AB4" s="10"/>
      <c r="AC4" s="10"/>
      <c r="AD4" s="10"/>
    </row>
    <row r="5" spans="1:30">
      <c r="A5" s="6346" t="s">
        <v>1307</v>
      </c>
      <c r="B5" s="3277" t="str" cm="1">
        <f t="array" aca="1" ref="B5" ca="1">_xlfn.XLOOKUP(8,'JUN STWO Watchbill'!D5:'JUN STWO Watchbill'!D66,'JUN STWO Watchbill'!$C5:'JUN STWO Watchbill'!$C66)</f>
        <v>OSC WILLIAMS</v>
      </c>
      <c r="C5" s="6340" t="s">
        <v>1307</v>
      </c>
      <c r="D5" s="3456" t="str" cm="1">
        <f t="array" aca="1" ref="D5" ca="1">_xlfn.XLOOKUP(8,'JUN STWO Watchbill'!E5:'JUN STWO Watchbill'!E66,'JUN STWO Watchbill'!$C5:'JUN STWO Watchbill'!$C66)</f>
        <v>ITCS VALENCIA</v>
      </c>
      <c r="E5" s="6361" t="s">
        <v>1307</v>
      </c>
      <c r="F5" s="3376" t="str" cm="1">
        <f t="array" aca="1" ref="F5" ca="1">_xlfn.XLOOKUP(8,'JUN STWO Watchbill'!F5:'JUN STWO Watchbill'!F66,'JUN STWO Watchbill'!$C$5:'JUN STWO Watchbill'!$C$66)</f>
        <v>CTTC THOMPSON</v>
      </c>
      <c r="G5" s="6346" t="s">
        <v>1307</v>
      </c>
      <c r="H5" s="3277" t="str" cm="1">
        <f t="array" aca="1" ref="H5" ca="1">_xlfn.XLOOKUP(8,'JUN STWO Watchbill'!G5:'JUN STWO Watchbill'!G66,'JUN STWO Watchbill'!$C$5:'JUN STWO Watchbill'!$C$66)</f>
        <v>FC1 FERNANDEZ</v>
      </c>
      <c r="I5" s="6346" t="s">
        <v>1307</v>
      </c>
      <c r="J5" s="3277" t="str" cm="1">
        <f t="array" aca="1" ref="J5" ca="1">_xlfn.XLOOKUP(8,'JUN STWO Watchbill'!H5:'JUN STWO Watchbill'!H66,'JUN STWO Watchbill'!$C$5:'JUN STWO Watchbill'!$C$66)</f>
        <v>ISC ALUMIA</v>
      </c>
      <c r="K5" s="6346" t="s">
        <v>1307</v>
      </c>
      <c r="L5" s="3277" t="str" cm="1">
        <f t="array" aca="1" ref="L5" ca="1">_xlfn.XLOOKUP(8,'JUN STWO Watchbill'!I5:'JUN STWO Watchbill'!I66,'JUN STWO Watchbill'!$C$5:'JUN STWO Watchbill'!$C$66)</f>
        <v>ITCS VALENCIA</v>
      </c>
      <c r="M5" s="6346" t="s">
        <v>1307</v>
      </c>
      <c r="N5" s="3278" t="str" cm="1">
        <f t="array" aca="1" ref="N5" ca="1">_xlfn.XLOOKUP(8,'JUN STWO Watchbill'!J5:'JUN STWO Watchbill'!J66,'JUN STWO Watchbill'!$C$5:'JUN STWO Watchbill'!$C$66)</f>
        <v>LTJG BAILEY</v>
      </c>
      <c r="O5" s="10"/>
      <c r="P5" s="10"/>
      <c r="Q5" s="3272" t="s">
        <v>327</v>
      </c>
      <c r="R5" s="3279"/>
      <c r="S5" s="3430">
        <f>_xlfn.XLOOKUP($Q5,'JUN STWO Watchbill'!$B$5:$B$66,'JUN STWO Watchbill'!AV$5:AV$66)</f>
        <v>1</v>
      </c>
      <c r="T5" s="3430">
        <f>_xlfn.XLOOKUP($Q5,'JUN STWO Watchbill'!$B$5:$B$66,'JUN STWO Watchbill'!AW$5:AW$66)</f>
        <v>1</v>
      </c>
      <c r="U5" s="3430">
        <f>_xlfn.XLOOKUP($Q5,'JUN STWO Watchbill'!$B$5:$B$66,'JUN STWO Watchbill'!AX$5:AX$66)</f>
        <v>0</v>
      </c>
      <c r="V5" s="3430">
        <f>_xlfn.XLOOKUP($Q5,'JUN STWO Watchbill'!$B$5:$B$66,'JUN STWO Watchbill'!AY$5:AY$66)</f>
        <v>1</v>
      </c>
      <c r="W5" s="3430">
        <f>_xlfn.XLOOKUP($Q5,'JUN STWO Watchbill'!$B$5:$B$66,'JUN STWO Watchbill'!AZ$5:AZ$66)</f>
        <v>0</v>
      </c>
      <c r="X5" s="3431">
        <f>SUM(S5:W5)</f>
        <v>3</v>
      </c>
      <c r="Y5" s="10"/>
      <c r="Z5" s="10"/>
      <c r="AA5" s="10"/>
      <c r="AB5" s="10"/>
      <c r="AC5" s="10"/>
      <c r="AD5" s="10"/>
    </row>
    <row r="6" spans="1:30" ht="21.75">
      <c r="A6" s="6347"/>
      <c r="B6" s="3484"/>
      <c r="C6" s="6341"/>
      <c r="D6" s="3531" t="s">
        <v>1407</v>
      </c>
      <c r="E6" s="6338"/>
      <c r="F6" s="3533" t="s">
        <v>1317</v>
      </c>
      <c r="G6" s="6341"/>
      <c r="H6" s="3532" t="s">
        <v>1315</v>
      </c>
      <c r="I6" s="6341"/>
      <c r="J6" s="3531" t="s">
        <v>1408</v>
      </c>
      <c r="K6" s="6341"/>
      <c r="L6" s="3530" t="s">
        <v>1324</v>
      </c>
      <c r="M6" s="6347"/>
      <c r="N6" s="3291"/>
      <c r="O6" s="10"/>
      <c r="Q6" s="3272" t="s">
        <v>98</v>
      </c>
      <c r="R6" s="3287"/>
      <c r="S6" s="3430">
        <f>_xlfn.XLOOKUP($Q6,'JUN STWO Watchbill'!$B$5:$B$66,'JUN STWO Watchbill'!AV$5:AV$66)</f>
        <v>1</v>
      </c>
      <c r="T6" s="3430">
        <f>_xlfn.XLOOKUP($Q6,'JUN STWO Watchbill'!$B$5:$B$66,'JUN STWO Watchbill'!AW$5:AW$66)</f>
        <v>0</v>
      </c>
      <c r="U6" s="3430">
        <f>_xlfn.XLOOKUP($Q6,'JUN STWO Watchbill'!$B$5:$B$66,'JUN STWO Watchbill'!AX$5:AX$66)</f>
        <v>0</v>
      </c>
      <c r="V6" s="3430">
        <f>_xlfn.XLOOKUP($Q6,'JUN STWO Watchbill'!$B$5:$B$66,'JUN STWO Watchbill'!AY$5:AY$66)</f>
        <v>0</v>
      </c>
      <c r="W6" s="3430">
        <f>_xlfn.XLOOKUP($Q6,'JUN STWO Watchbill'!$B$5:$B$66,'JUN STWO Watchbill'!AZ$5:AZ$66)</f>
        <v>1</v>
      </c>
      <c r="X6" s="3431">
        <f>SUM(S6:W6)</f>
        <v>2</v>
      </c>
      <c r="Y6" s="10"/>
      <c r="Z6" s="10"/>
      <c r="AA6" s="10"/>
      <c r="AB6" s="10"/>
      <c r="AC6" s="10"/>
      <c r="AD6" s="10"/>
    </row>
    <row r="7" spans="1:30">
      <c r="A7" s="3290" t="s">
        <v>1309</v>
      </c>
      <c r="B7" s="3166" t="str" cm="1">
        <f t="array" aca="1" ref="B7" ca="1">_xlfn.XLOOKUP(9,'JUN STWO Watchbill'!D5:'JUN STWO Watchbill'!D66,'JUN STWO Watchbill'!$C5:'JUN STWO Watchbill'!$C66)</f>
        <v>ISC ALUMIA</v>
      </c>
      <c r="C7" s="3290" t="s">
        <v>1309</v>
      </c>
      <c r="D7" s="3291" t="str" cm="1">
        <f t="array" aca="1" ref="D7" ca="1">_xlfn.XLOOKUP(9,'JUN STWO Watchbill'!E5:'JUN STWO Watchbill'!E66,'JUN STWO Watchbill'!$C5:'JUN STWO Watchbill'!$C66)</f>
        <v>LT MALIGSA</v>
      </c>
      <c r="E7" s="3292" t="s">
        <v>1309</v>
      </c>
      <c r="F7" s="3457" t="str" cm="1">
        <f t="array" aca="1" ref="F7" ca="1">_xlfn.XLOOKUP(9,'JUN STWO Watchbill'!F5:'JUN STWO Watchbill'!F66,'JUN STWO Watchbill'!$C$5:'JUN STWO Watchbill'!$C$66)</f>
        <v>LTJG BAILEY</v>
      </c>
      <c r="G7" s="3290" t="s">
        <v>1309</v>
      </c>
      <c r="H7" s="3284" t="str" cm="1">
        <f t="array" aca="1" ref="H7" ca="1">_xlfn.XLOOKUP(9,'JUN STWO Watchbill'!G5:'JUN STWO Watchbill'!G66,'JUN STWO Watchbill'!$C$5:'JUN STWO Watchbill'!$C$66)</f>
        <v>LT HESPEN</v>
      </c>
      <c r="I7" s="3290" t="s">
        <v>1309</v>
      </c>
      <c r="J7" s="3166" t="str" cm="1">
        <f t="array" aca="1" ref="J7" ca="1">_xlfn.XLOOKUP(9,'JUN STWO Watchbill'!H5:'JUN STWO Watchbill'!H66,'JUN STWO Watchbill'!$C$5:'JUN STWO Watchbill'!$C$66)</f>
        <v>ETC PEARSON</v>
      </c>
      <c r="K7" s="3290" t="s">
        <v>1309</v>
      </c>
      <c r="L7" s="3166" t="str" cm="1">
        <f t="array" aca="1" ref="L7" ca="1">_xlfn.XLOOKUP(9,'JUN STWO Watchbill'!I5:'JUN STWO Watchbill'!I66,'JUN STWO Watchbill'!$C$5:'JUN STWO Watchbill'!$C$66)</f>
        <v>OS1 TILLMAN</v>
      </c>
      <c r="M7" s="3290" t="s">
        <v>1309</v>
      </c>
      <c r="N7" s="3291" t="str" cm="1">
        <f t="array" aca="1" ref="N7" ca="1">_xlfn.XLOOKUP(9,'JUN STWO Watchbill'!J5:'JUN STWO Watchbill'!J66,'JUN STWO Watchbill'!$C$5:'JUN STWO Watchbill'!$C$66)</f>
        <v>BMC FUENTES</v>
      </c>
      <c r="O7" s="10"/>
      <c r="P7" s="10"/>
      <c r="Q7" s="3272" t="s">
        <v>1310</v>
      </c>
      <c r="R7" s="3293">
        <v>45748</v>
      </c>
      <c r="S7" s="3430"/>
      <c r="T7" s="3430"/>
      <c r="U7" s="3430"/>
      <c r="V7" s="3430"/>
      <c r="W7" s="3430"/>
      <c r="X7" s="3431"/>
      <c r="Y7" s="10"/>
      <c r="Z7" s="10"/>
      <c r="AA7" s="10"/>
      <c r="AB7" s="10"/>
      <c r="AC7" s="10"/>
      <c r="AD7" s="10"/>
    </row>
    <row r="8" spans="1:30">
      <c r="A8" s="3290" t="s">
        <v>1311</v>
      </c>
      <c r="B8" s="3166" t="s">
        <v>1312</v>
      </c>
      <c r="C8" s="3290" t="s">
        <v>1311</v>
      </c>
      <c r="D8" s="3291" t="s">
        <v>1312</v>
      </c>
      <c r="E8" s="3373" t="s">
        <v>1311</v>
      </c>
      <c r="F8" s="3166" t="s">
        <v>1320</v>
      </c>
      <c r="G8" s="3290" t="s">
        <v>1311</v>
      </c>
      <c r="H8" s="3166" t="s">
        <v>1313</v>
      </c>
      <c r="I8" s="3290" t="s">
        <v>1311</v>
      </c>
      <c r="J8" s="3221" t="s">
        <v>1312</v>
      </c>
      <c r="K8" s="3290" t="s">
        <v>1311</v>
      </c>
      <c r="L8" s="3221" t="s">
        <v>1312</v>
      </c>
      <c r="M8" s="3290" t="s">
        <v>1311</v>
      </c>
      <c r="N8" s="3166" t="s">
        <v>1313</v>
      </c>
      <c r="O8" s="10"/>
      <c r="P8" s="10"/>
      <c r="Q8" s="3296" t="s">
        <v>1239</v>
      </c>
      <c r="R8" s="3297">
        <v>45748</v>
      </c>
      <c r="S8" s="3430"/>
      <c r="T8" s="3430"/>
      <c r="U8" s="3430"/>
      <c r="V8" s="3430"/>
      <c r="W8" s="3430"/>
      <c r="X8" s="3431"/>
      <c r="Y8" s="10"/>
      <c r="Z8" s="10"/>
      <c r="AA8" s="10"/>
      <c r="AB8" s="10"/>
      <c r="AC8" s="10"/>
      <c r="AD8" s="10"/>
    </row>
    <row r="9" spans="1:30" ht="15.75" customHeight="1">
      <c r="A9" s="6351"/>
      <c r="B9" s="6352"/>
      <c r="C9" s="3713"/>
      <c r="D9" s="3714"/>
      <c r="E9" s="3715"/>
      <c r="F9" s="3714"/>
      <c r="G9" s="6351"/>
      <c r="H9" s="6352"/>
      <c r="I9" s="6351"/>
      <c r="J9" s="6352"/>
      <c r="K9" s="6351"/>
      <c r="L9" s="6352"/>
      <c r="M9" s="6357"/>
      <c r="N9" s="6471"/>
      <c r="O9" s="10"/>
      <c r="P9" s="10"/>
      <c r="Q9" s="3298" t="s">
        <v>725</v>
      </c>
      <c r="R9" s="3432" t="s">
        <v>1314</v>
      </c>
      <c r="S9" s="3430">
        <f>_xlfn.XLOOKUP($Q9,'JUN STWO Watchbill'!$B$5:$B$66,'JUN STWO Watchbill'!AV$5:AV$66)</f>
        <v>0</v>
      </c>
      <c r="T9" s="3430">
        <f>_xlfn.XLOOKUP($Q9,'JUN STWO Watchbill'!$B$5:$B$66,'JUN STWO Watchbill'!AW$5:AW$66)</f>
        <v>0</v>
      </c>
      <c r="U9" s="3430">
        <f>_xlfn.XLOOKUP($Q9,'JUN STWO Watchbill'!$B$5:$B$66,'JUN STWO Watchbill'!AX$5:AX$66)</f>
        <v>0</v>
      </c>
      <c r="V9" s="3430">
        <f>_xlfn.XLOOKUP($Q9,'JUN STWO Watchbill'!$B$5:$B$66,'JUN STWO Watchbill'!AY$5:AY$66)</f>
        <v>0</v>
      </c>
      <c r="W9" s="3430">
        <f>_xlfn.XLOOKUP($Q9,'JUN STWO Watchbill'!$B$5:$B$66,'JUN STWO Watchbill'!AZ$5:AZ$66)</f>
        <v>0</v>
      </c>
      <c r="X9" s="3431">
        <f>SUM(S9:W9)</f>
        <v>0</v>
      </c>
      <c r="Y9" s="10"/>
      <c r="Z9" s="10"/>
      <c r="AA9" s="10"/>
      <c r="AB9" s="10"/>
      <c r="AC9" s="10"/>
      <c r="AD9" s="10"/>
    </row>
    <row r="10" spans="1:30">
      <c r="A10" s="6332">
        <v>8</v>
      </c>
      <c r="B10" s="6333"/>
      <c r="C10" s="6332">
        <v>9</v>
      </c>
      <c r="D10" s="6339"/>
      <c r="E10" s="6333">
        <v>10</v>
      </c>
      <c r="F10" s="6333"/>
      <c r="G10" s="6332">
        <v>11</v>
      </c>
      <c r="H10" s="6333"/>
      <c r="I10" s="6332">
        <v>12</v>
      </c>
      <c r="J10" s="6333"/>
      <c r="K10" s="6332">
        <v>13</v>
      </c>
      <c r="L10" s="6333"/>
      <c r="M10" s="6332">
        <v>14</v>
      </c>
      <c r="N10" s="6339"/>
      <c r="O10" s="10"/>
      <c r="P10" s="10"/>
      <c r="Q10" s="3272" t="s">
        <v>726</v>
      </c>
      <c r="R10" s="3287"/>
      <c r="S10" s="3430">
        <f>_xlfn.XLOOKUP($Q10,'JUN STWO Watchbill'!$B$5:$B$66,'JUN STWO Watchbill'!AV$5:AV$66)</f>
        <v>0</v>
      </c>
      <c r="T10" s="3430">
        <f>_xlfn.XLOOKUP($Q10,'JUN STWO Watchbill'!$B$5:$B$66,'JUN STWO Watchbill'!AW$5:AW$66)</f>
        <v>2</v>
      </c>
      <c r="U10" s="3430">
        <f>_xlfn.XLOOKUP($Q10,'JUN STWO Watchbill'!$B$5:$B$66,'JUN STWO Watchbill'!AX$5:AX$66)</f>
        <v>0</v>
      </c>
      <c r="V10" s="3430">
        <f>_xlfn.XLOOKUP($Q10,'JUN STWO Watchbill'!$B$5:$B$66,'JUN STWO Watchbill'!AY$5:AY$66)</f>
        <v>0</v>
      </c>
      <c r="W10" s="3430">
        <f>_xlfn.XLOOKUP($Q10,'JUN STWO Watchbill'!$B$5:$B$66,'JUN STWO Watchbill'!AZ$5:AZ$66)</f>
        <v>2</v>
      </c>
      <c r="X10" s="3431">
        <f>SUM(S10:W10)</f>
        <v>4</v>
      </c>
      <c r="Y10" s="10"/>
      <c r="Z10" s="10"/>
      <c r="AA10" s="10"/>
      <c r="AB10" s="10"/>
      <c r="AC10" s="10"/>
      <c r="AD10" s="10"/>
    </row>
    <row r="11" spans="1:30">
      <c r="A11" s="6340" t="s">
        <v>1307</v>
      </c>
      <c r="B11" s="3277" t="str" cm="1">
        <f t="array" aca="1" ref="B11" ca="1">_xlfn.XLOOKUP(8,'JUN STWO Watchbill'!K5:'JUN STWO Watchbill'!K66,'JUN STWO Watchbill'!$C$5:'JUN STWO Watchbill'!$C$66)</f>
        <v>ENC TRAN</v>
      </c>
      <c r="C11" s="6342" t="s">
        <v>1307</v>
      </c>
      <c r="D11" s="3376" t="str" cm="1">
        <f t="array" aca="1" ref="D11" ca="1">_xlfn.XLOOKUP(8,'JUN STWO Watchbill'!L5:'JUN STWO Watchbill'!L66,'JUN STWO Watchbill'!$C$5:'JUN STWO Watchbill'!$C$66)</f>
        <v>LT HESPEN</v>
      </c>
      <c r="E11" s="6337" t="s">
        <v>1307</v>
      </c>
      <c r="F11" s="3277" t="str" cm="1">
        <f t="array" aca="1" ref="F11" ca="1">_xlfn.XLOOKUP(8,'JUN STWO Watchbill'!M5:'JUN STWO Watchbill'!M66,'JUN STWO Watchbill'!$C$5:'JUN STWO Watchbill'!$C$66)</f>
        <v>OSC WILLIAMS</v>
      </c>
      <c r="G11" s="6346" t="s">
        <v>1307</v>
      </c>
      <c r="H11" s="3277" t="str" cm="1">
        <f t="array" aca="1" ref="H11" ca="1">_xlfn.XLOOKUP(8,'JUN STWO Watchbill'!N5:'JUN STWO Watchbill'!N66,'JUN STWO Watchbill'!$C$5:'JUN STWO Watchbill'!$C$66)</f>
        <v>LTJG BAILEY</v>
      </c>
      <c r="I11" s="6346" t="s">
        <v>1307</v>
      </c>
      <c r="J11" s="3277" t="str" cm="1">
        <f t="array" aca="1" ref="J11" ca="1">_xlfn.XLOOKUP(8,'JUN STWO Watchbill'!O5:'JUN STWO Watchbill'!O66,'JUN STWO Watchbill'!$C$5:'JUN STWO Watchbill'!$C$66)</f>
        <v>LCDR HUNTLEY</v>
      </c>
      <c r="K11" s="6346" t="s">
        <v>1307</v>
      </c>
      <c r="L11" s="3277" t="str" cm="1">
        <f t="array" aca="1" ref="L11" ca="1">_xlfn.XLOOKUP(8,'JUN STWO Watchbill'!P5:'JUN STWO Watchbill'!P66,'JUN STWO Watchbill'!$C$5:'JUN STWO Watchbill'!$C$66)</f>
        <v>LT PARRA</v>
      </c>
      <c r="M11" s="6346" t="s">
        <v>1307</v>
      </c>
      <c r="N11" s="3300" t="str" cm="1">
        <f t="array" aca="1" ref="N11" ca="1">_xlfn.XLOOKUP(8,'JUN STWO Watchbill'!Q5:'JUN STWO Watchbill'!Q66,'JUN STWO Watchbill'!$C$5:'JUN STWO Watchbill'!$C$66)</f>
        <v>BMC FUENTES</v>
      </c>
      <c r="O11" s="3343"/>
      <c r="P11" s="10"/>
      <c r="Q11" s="3272" t="s">
        <v>738</v>
      </c>
      <c r="R11" s="3287"/>
      <c r="S11" s="3430">
        <f>_xlfn.XLOOKUP($Q11,'JUN STWO Watchbill'!$B$5:$B$66,'JUN STWO Watchbill'!AV$5:AV$66)</f>
        <v>1</v>
      </c>
      <c r="T11" s="3430">
        <f>_xlfn.XLOOKUP($Q11,'JUN STWO Watchbill'!$B$5:$B$66,'JUN STWO Watchbill'!AW$5:AW$66)</f>
        <v>1</v>
      </c>
      <c r="U11" s="3430">
        <f>_xlfn.XLOOKUP($Q11,'JUN STWO Watchbill'!$B$5:$B$66,'JUN STWO Watchbill'!AX$5:AX$66)</f>
        <v>0</v>
      </c>
      <c r="V11" s="3430">
        <f>_xlfn.XLOOKUP($Q11,'JUN STWO Watchbill'!$B$5:$B$66,'JUN STWO Watchbill'!AY$5:AY$66)</f>
        <v>1</v>
      </c>
      <c r="W11" s="3430">
        <f>_xlfn.XLOOKUP($Q11,'JUN STWO Watchbill'!$B$5:$B$66,'JUN STWO Watchbill'!AZ$5:AZ$66)</f>
        <v>0</v>
      </c>
      <c r="X11" s="3431">
        <f>SUM(S11:W11)</f>
        <v>3</v>
      </c>
      <c r="Y11" s="10"/>
      <c r="Z11" s="10"/>
      <c r="AA11" s="10"/>
      <c r="AB11" s="10"/>
      <c r="AC11" s="10"/>
      <c r="AD11" s="10"/>
    </row>
    <row r="12" spans="1:30" ht="21.75">
      <c r="A12" s="6341"/>
      <c r="B12" s="3478"/>
      <c r="C12" s="6341"/>
      <c r="D12" s="3527"/>
      <c r="E12" s="6338"/>
      <c r="F12" s="3526" t="s">
        <v>1409</v>
      </c>
      <c r="G12" s="6341"/>
      <c r="H12" s="3526" t="s">
        <v>1410</v>
      </c>
      <c r="I12" s="6341"/>
      <c r="J12" s="3528" t="s">
        <v>1319</v>
      </c>
      <c r="K12" s="6341"/>
      <c r="L12" s="3529" t="s">
        <v>1328</v>
      </c>
      <c r="M12" s="6347"/>
      <c r="N12" s="3352"/>
      <c r="O12" s="10"/>
      <c r="P12" s="10"/>
      <c r="Q12" s="3272" t="s">
        <v>1191</v>
      </c>
      <c r="R12" s="3429">
        <v>45658</v>
      </c>
      <c r="S12" s="3430">
        <f>_xlfn.XLOOKUP($Q12,'JUN STWO Watchbill'!$B$5:$B$66,'JUN STWO Watchbill'!AV$5:AV$66)</f>
        <v>1</v>
      </c>
      <c r="T12" s="3430">
        <f>_xlfn.XLOOKUP($Q12,'JUN STWO Watchbill'!$B$5:$B$66,'JUN STWO Watchbill'!AW$5:AW$66)</f>
        <v>0</v>
      </c>
      <c r="U12" s="3430">
        <f>_xlfn.XLOOKUP($Q12,'JUN STWO Watchbill'!$B$5:$B$66,'JUN STWO Watchbill'!AX$5:AX$66)</f>
        <v>0</v>
      </c>
      <c r="V12" s="3430">
        <f>_xlfn.XLOOKUP($Q12,'JUN STWO Watchbill'!$B$5:$B$66,'JUN STWO Watchbill'!AY$5:AY$66)</f>
        <v>2</v>
      </c>
      <c r="W12" s="3430">
        <f>_xlfn.XLOOKUP($Q12,'JUN STWO Watchbill'!$B$5:$B$66,'JUN STWO Watchbill'!AZ$5:AZ$66)</f>
        <v>0</v>
      </c>
      <c r="X12" s="3431">
        <f>SUM(S12:W12)</f>
        <v>3</v>
      </c>
      <c r="Y12" s="10"/>
      <c r="Z12" s="10"/>
      <c r="AA12" s="10"/>
      <c r="AB12" s="10"/>
      <c r="AC12" s="10"/>
      <c r="AD12" s="10"/>
    </row>
    <row r="13" spans="1:30">
      <c r="A13" s="3290" t="s">
        <v>1309</v>
      </c>
      <c r="B13" s="3284" t="str" cm="1">
        <f t="array" aca="1" ref="B13" ca="1">_xlfn.XLOOKUP(9,'JUN STWO Watchbill'!K5:'JUN STWO Watchbill'!K66,'JUN STWO Watchbill'!$C$5:'JUN STWO Watchbill'!$C$66)</f>
        <v>LT MALIGSA</v>
      </c>
      <c r="C13" s="3290" t="s">
        <v>1309</v>
      </c>
      <c r="D13" s="3352" t="str" cm="1">
        <f t="array" aca="1" ref="D13" ca="1">_xlfn.XLOOKUP(9,'JUN STWO Watchbill'!L5:'JUN STWO Watchbill'!L66,'JUN STWO Watchbill'!$C$5:'JUN STWO Watchbill'!$C$66)</f>
        <v>FC1 FERNANDEZ</v>
      </c>
      <c r="E13" s="3292" t="s">
        <v>1309</v>
      </c>
      <c r="F13" s="3163" t="str" cm="1">
        <f t="array" aca="1" ref="F13" ca="1">_xlfn.XLOOKUP(9,'JUN STWO Watchbill'!M5:'JUN STWO Watchbill'!M66,'JUN STWO Watchbill'!$C$5:'JUN STWO Watchbill'!$C$66)</f>
        <v>ITCS VALENCIA</v>
      </c>
      <c r="G13" s="3290" t="s">
        <v>1309</v>
      </c>
      <c r="H13" s="3166" t="str" cm="1">
        <f t="array" aca="1" ref="H13" ca="1">_xlfn.XLOOKUP(9,'JUN STWO Watchbill'!N5:'JUN STWO Watchbill'!N66,'JUN STWO Watchbill'!$C$5:'JUN STWO Watchbill'!$C$66)</f>
        <v>BMC FUENTES</v>
      </c>
      <c r="I13" s="3290" t="s">
        <v>1309</v>
      </c>
      <c r="J13" s="3385" t="str" cm="1">
        <f t="array" aca="1" ref="J13" ca="1">_xlfn.XLOOKUP(9,'JUN STWO Watchbill'!O5:'JUN STWO Watchbill'!O66,'JUN STWO Watchbill'!$C$5:'JUN STWO Watchbill'!$C$66)</f>
        <v>LTJG MOORE</v>
      </c>
      <c r="K13" s="3290" t="s">
        <v>1309</v>
      </c>
      <c r="L13" s="3519" t="str" cm="1">
        <f t="array" aca="1" ref="L13" ca="1">_xlfn.XLOOKUP(9,'JUN STWO Watchbill'!P5:'JUN STWO Watchbill'!P66,'JUN STWO Watchbill'!$C$5:'JUN STWO Watchbill'!$C$66)</f>
        <v>LT HESPEN</v>
      </c>
      <c r="M13" s="3290" t="s">
        <v>1309</v>
      </c>
      <c r="N13" s="3285" t="str" cm="1">
        <f t="array" aca="1" ref="N13" ca="1">_xlfn.XLOOKUP(9,'JUN STWO Watchbill'!Q5:'JUN STWO Watchbill'!Q66,'JUN STWO Watchbill'!$C$5:'JUN STWO Watchbill'!$C$66)</f>
        <v>FC1 FERNANDEZ</v>
      </c>
      <c r="O13" s="10"/>
      <c r="P13" s="10"/>
      <c r="Q13" s="3272" t="s">
        <v>109</v>
      </c>
      <c r="R13" s="3287"/>
      <c r="S13" s="3430">
        <f>_xlfn.XLOOKUP($Q13,'JUN STWO Watchbill'!$B$5:$B$66,'JUN STWO Watchbill'!AV$5:AV$66)</f>
        <v>0</v>
      </c>
      <c r="T13" s="3430">
        <f>_xlfn.XLOOKUP($Q13,'JUN STWO Watchbill'!$B$5:$B$66,'JUN STWO Watchbill'!AW$5:AW$66)</f>
        <v>1</v>
      </c>
      <c r="U13" s="3430">
        <f>_xlfn.XLOOKUP($Q13,'JUN STWO Watchbill'!$B$5:$B$66,'JUN STWO Watchbill'!AX$5:AX$66)</f>
        <v>0</v>
      </c>
      <c r="V13" s="3430">
        <f>_xlfn.XLOOKUP($Q13,'JUN STWO Watchbill'!$B$5:$B$66,'JUN STWO Watchbill'!AY$5:AY$66)</f>
        <v>2</v>
      </c>
      <c r="W13" s="3430">
        <f>_xlfn.XLOOKUP($Q13,'JUN STWO Watchbill'!$B$5:$B$66,'JUN STWO Watchbill'!AZ$5:AZ$66)</f>
        <v>0</v>
      </c>
      <c r="X13" s="3431">
        <f>SUM(S13:W13)</f>
        <v>3</v>
      </c>
      <c r="Y13" s="10"/>
      <c r="Z13" s="10"/>
      <c r="AA13" s="10"/>
      <c r="AB13" s="10"/>
      <c r="AC13" s="10"/>
      <c r="AD13" s="10"/>
    </row>
    <row r="14" spans="1:30">
      <c r="A14" s="3290" t="s">
        <v>1311</v>
      </c>
      <c r="B14" s="3166" t="s">
        <v>1313</v>
      </c>
      <c r="C14" s="3290" t="s">
        <v>1311</v>
      </c>
      <c r="D14" s="3291" t="s">
        <v>1312</v>
      </c>
      <c r="E14" s="3292" t="s">
        <v>1311</v>
      </c>
      <c r="F14" s="3221" t="s">
        <v>1331</v>
      </c>
      <c r="G14" s="3290" t="s">
        <v>1311</v>
      </c>
      <c r="H14" s="3166" t="s">
        <v>1313</v>
      </c>
      <c r="I14" s="3290" t="s">
        <v>1311</v>
      </c>
      <c r="J14" s="3166" t="s">
        <v>1320</v>
      </c>
      <c r="K14" s="3290" t="s">
        <v>1311</v>
      </c>
      <c r="L14" s="3166" t="s">
        <v>1313</v>
      </c>
      <c r="M14" s="3290" t="s">
        <v>1311</v>
      </c>
      <c r="N14" s="3291" t="s">
        <v>1312</v>
      </c>
      <c r="O14" s="10"/>
      <c r="P14" s="10"/>
      <c r="Q14" s="3272" t="s">
        <v>1321</v>
      </c>
      <c r="R14" s="3301">
        <v>45778</v>
      </c>
      <c r="S14" s="3430"/>
      <c r="T14" s="3430"/>
      <c r="U14" s="3430"/>
      <c r="V14" s="3430"/>
      <c r="W14" s="3430"/>
      <c r="X14" s="3431"/>
      <c r="Y14" s="10"/>
      <c r="Z14" s="10"/>
      <c r="AA14" s="10"/>
      <c r="AB14" s="10"/>
      <c r="AC14" s="10"/>
      <c r="AD14" s="10"/>
    </row>
    <row r="15" spans="1:30">
      <c r="A15" s="3713"/>
      <c r="B15" s="3715"/>
      <c r="C15" s="3713"/>
      <c r="D15" s="3714"/>
      <c r="E15" s="3715"/>
      <c r="F15" s="3715"/>
      <c r="G15" s="6351"/>
      <c r="H15" s="6352"/>
      <c r="I15" s="6351"/>
      <c r="J15" s="6352"/>
      <c r="K15" s="6351"/>
      <c r="L15" s="6352"/>
      <c r="M15" s="6351"/>
      <c r="N15" s="6356"/>
      <c r="O15" s="10"/>
      <c r="P15" s="10"/>
      <c r="Q15" s="3296" t="s">
        <v>1322</v>
      </c>
      <c r="R15" s="3302">
        <v>45778</v>
      </c>
      <c r="S15" s="3430"/>
      <c r="T15" s="3430"/>
      <c r="U15" s="3430"/>
      <c r="V15" s="3430"/>
      <c r="W15" s="3430"/>
      <c r="X15" s="3431"/>
      <c r="Y15" s="10"/>
      <c r="Z15" s="10"/>
      <c r="AA15" s="10"/>
      <c r="AB15" s="10"/>
      <c r="AC15" s="10"/>
      <c r="AD15" s="10"/>
    </row>
    <row r="16" spans="1:30">
      <c r="A16" s="6332">
        <v>15</v>
      </c>
      <c r="B16" s="6333"/>
      <c r="C16" s="6332">
        <v>16</v>
      </c>
      <c r="D16" s="6339"/>
      <c r="E16" s="6333">
        <v>17</v>
      </c>
      <c r="F16" s="6333"/>
      <c r="G16" s="6332">
        <v>18</v>
      </c>
      <c r="H16" s="6333"/>
      <c r="I16" s="6332">
        <v>19</v>
      </c>
      <c r="J16" s="6333"/>
      <c r="K16" s="6332">
        <v>20</v>
      </c>
      <c r="L16" s="6333"/>
      <c r="M16" s="6332">
        <v>21</v>
      </c>
      <c r="N16" s="6339"/>
      <c r="O16" s="10"/>
      <c r="P16" s="10"/>
      <c r="Q16" s="3303" t="s">
        <v>201</v>
      </c>
      <c r="R16" s="3433"/>
      <c r="S16" s="3430">
        <f>_xlfn.XLOOKUP($Q16,'JUN STWO Watchbill'!$B$5:$B$66,'JUN STWO Watchbill'!AV$5:AV$66)</f>
        <v>1</v>
      </c>
      <c r="T16" s="3430">
        <f>_xlfn.XLOOKUP($Q16,'JUN STWO Watchbill'!$B$5:$B$66,'JUN STWO Watchbill'!AW$5:AW$66)</f>
        <v>0</v>
      </c>
      <c r="U16" s="3430">
        <f>_xlfn.XLOOKUP($Q16,'JUN STWO Watchbill'!$B$5:$B$66,'JUN STWO Watchbill'!AX$5:AX$66)</f>
        <v>0</v>
      </c>
      <c r="V16" s="3430">
        <f>_xlfn.XLOOKUP($Q16,'JUN STWO Watchbill'!$B$5:$B$66,'JUN STWO Watchbill'!AY$5:AY$66)</f>
        <v>0</v>
      </c>
      <c r="W16" s="3430">
        <f>_xlfn.XLOOKUP($Q16,'JUN STWO Watchbill'!$B$5:$B$66,'JUN STWO Watchbill'!AZ$5:AZ$66)</f>
        <v>0</v>
      </c>
      <c r="X16" s="3431">
        <f>SUM(S16:W16)</f>
        <v>1</v>
      </c>
      <c r="Y16" s="10"/>
      <c r="Z16" s="10"/>
      <c r="AA16" s="10"/>
      <c r="AB16" s="10"/>
      <c r="AC16" s="10"/>
      <c r="AD16" s="10"/>
    </row>
    <row r="17" spans="1:30">
      <c r="A17" s="6346" t="s">
        <v>1307</v>
      </c>
      <c r="B17" s="3306" t="str" cm="1">
        <f t="array" aca="1" ref="B17" ca="1">_xlfn.XLOOKUP(8,'JUN STWO Watchbill'!R5:'JUN STWO Watchbill'!R66,'JUN STWO Watchbill'!$C$5:'JUN STWO Watchbill'!$C$66)</f>
        <v>ITC ANTERO</v>
      </c>
      <c r="C17" s="6340" t="s">
        <v>1307</v>
      </c>
      <c r="D17" s="3278" t="str" cm="1">
        <f t="array" aca="1" ref="D17" ca="1">_xlfn.XLOOKUP(8,'JUN STWO Watchbill'!S5:'JUN STWO Watchbill'!S66,'JUN STWO Watchbill'!$C$5:'JUN STWO Watchbill'!$C$66)</f>
        <v>GMC BARTELMEY</v>
      </c>
      <c r="E17" s="6337" t="s">
        <v>1307</v>
      </c>
      <c r="F17" s="3277" t="str" cm="1">
        <f t="array" aca="1" ref="F17" ca="1">_xlfn.XLOOKUP(8,'JUN STWO Watchbill'!T5:'JUN STWO Watchbill'!T66,'JUN STWO Watchbill'!$C$5:'JUN STWO Watchbill'!$C$66)</f>
        <v>LTJG MOORE</v>
      </c>
      <c r="G17" s="6346" t="s">
        <v>1307</v>
      </c>
      <c r="H17" s="3451" t="str" cm="1">
        <f t="array" aca="1" ref="H17" ca="1">_xlfn.XLOOKUP(8,'JUN STWO Watchbill'!U5:'JUN STWO Watchbill'!U66,'JUN STWO Watchbill'!$C$5:'JUN STWO Watchbill'!$C$66)</f>
        <v>ETC PEARSON</v>
      </c>
      <c r="I17" s="6346" t="s">
        <v>1307</v>
      </c>
      <c r="J17" s="3520" t="str" cm="1">
        <f t="array" aca="1" ref="J17" ca="1">_xlfn.XLOOKUP(8,'JUN STWO Watchbill'!V5:'JUN STWO Watchbill'!V66,'JUN STWO Watchbill'!$C$5:'JUN STWO Watchbill'!$C$66)</f>
        <v>LCDR DESORMIER</v>
      </c>
      <c r="K17" s="6346" t="s">
        <v>1307</v>
      </c>
      <c r="L17" s="3520" t="str" cm="1">
        <f t="array" aca="1" ref="L17" ca="1">_xlfn.XLOOKUP(8,'JUN STWO Watchbill'!W5:'JUN STWO Watchbill'!W66,'JUN STWO Watchbill'!$C$5:'JUN STWO Watchbill'!$C$66)</f>
        <v>CTTC THOMPSON</v>
      </c>
      <c r="M17" s="6346" t="s">
        <v>1307</v>
      </c>
      <c r="N17" s="3278" t="str" cm="1">
        <f t="array" aca="1" ref="N17" ca="1">_xlfn.XLOOKUP(8,'JUN STWO Watchbill'!X5:'JUN STWO Watchbill'!X66,'JUN STWO Watchbill'!$C$5:'JUN STWO Watchbill'!$C$66)</f>
        <v>ITCS VALENCIA</v>
      </c>
      <c r="O17" s="10"/>
      <c r="P17" s="10" t="s">
        <v>30</v>
      </c>
      <c r="Q17" s="3307" t="s">
        <v>610</v>
      </c>
      <c r="R17" s="3434" t="s">
        <v>1323</v>
      </c>
      <c r="S17" s="3430">
        <f>_xlfn.XLOOKUP($Q17,'JUN STWO Watchbill'!$B$5:$B$66,'JUN STWO Watchbill'!AV$5:AV$66)</f>
        <v>0</v>
      </c>
      <c r="T17" s="3430">
        <f>_xlfn.XLOOKUP($Q17,'JUN STWO Watchbill'!$B$5:$B$66,'JUN STWO Watchbill'!AW$5:AW$66)</f>
        <v>0</v>
      </c>
      <c r="U17" s="3430">
        <f>_xlfn.XLOOKUP($Q17,'JUN STWO Watchbill'!$B$5:$B$66,'JUN STWO Watchbill'!AX$5:AX$66)</f>
        <v>0</v>
      </c>
      <c r="V17" s="3430">
        <f>_xlfn.XLOOKUP($Q17,'JUN STWO Watchbill'!$B$5:$B$66,'JUN STWO Watchbill'!AY$5:AY$66)</f>
        <v>0</v>
      </c>
      <c r="W17" s="3430">
        <f>_xlfn.XLOOKUP($Q17,'JUN STWO Watchbill'!$B$5:$B$66,'JUN STWO Watchbill'!AZ$5:AZ$66)</f>
        <v>0</v>
      </c>
      <c r="X17" s="3431">
        <f>SUM(S17:W17)</f>
        <v>0</v>
      </c>
      <c r="Y17" s="10"/>
      <c r="Z17" s="10"/>
      <c r="AA17" s="10"/>
      <c r="AB17" s="10"/>
      <c r="AC17" s="10"/>
      <c r="AD17" s="10"/>
    </row>
    <row r="18" spans="1:30">
      <c r="A18" s="6347"/>
      <c r="B18" s="3482"/>
      <c r="C18" s="6341"/>
      <c r="D18" s="3526" t="s">
        <v>1368</v>
      </c>
      <c r="E18" s="6338"/>
      <c r="F18" s="3525" t="s">
        <v>1329</v>
      </c>
      <c r="G18" s="6341"/>
      <c r="H18" s="3526" t="s">
        <v>1411</v>
      </c>
      <c r="I18" s="6347"/>
      <c r="J18" s="3481"/>
      <c r="K18" s="6347"/>
      <c r="L18" s="3480"/>
      <c r="M18" s="6347"/>
      <c r="N18" s="3479"/>
      <c r="O18" s="10"/>
      <c r="P18" s="10"/>
      <c r="Q18" s="3307" t="s">
        <v>1325</v>
      </c>
      <c r="R18" s="3301">
        <v>45778</v>
      </c>
      <c r="S18" s="3430"/>
      <c r="T18" s="3430"/>
      <c r="U18" s="3430"/>
      <c r="V18" s="3430"/>
      <c r="W18" s="3430"/>
      <c r="X18" s="3431"/>
      <c r="Y18" s="10"/>
      <c r="Z18" s="10"/>
      <c r="AA18" s="10"/>
      <c r="AB18" s="10"/>
      <c r="AC18" s="10"/>
      <c r="AD18" s="10"/>
    </row>
    <row r="19" spans="1:30">
      <c r="A19" s="3290" t="s">
        <v>1309</v>
      </c>
      <c r="B19" s="3166" t="str" cm="1">
        <f t="array" aca="1" ref="B19" ca="1">_xlfn.XLOOKUP(9,'JUN STWO Watchbill'!R5:'JUN STWO Watchbill'!R66,'JUN STWO Watchbill'!$C$5:'JUN STWO Watchbill'!$C$66)</f>
        <v>LT DECKER</v>
      </c>
      <c r="C19" s="3290" t="s">
        <v>1309</v>
      </c>
      <c r="D19" s="3291" t="str" cm="1">
        <f t="array" aca="1" ref="D19" ca="1">_xlfn.XLOOKUP(9,'JUN STWO Watchbill'!S5:'JUN STWO Watchbill'!S66,'JUN STWO Watchbill'!$C$5:'JUN STWO Watchbill'!$C$66)</f>
        <v>LT MALIGSA</v>
      </c>
      <c r="E19" s="3292" t="s">
        <v>1309</v>
      </c>
      <c r="F19" s="3166" t="str" cm="1">
        <f t="array" aca="1" ref="F19" ca="1">_xlfn.XLOOKUP(9,'JUN STWO Watchbill'!T5:'JUN STWO Watchbill'!T66,'JUN STWO Watchbill'!$C$5:'JUN STWO Watchbill'!$C$66)</f>
        <v>OS1 TILLMAN</v>
      </c>
      <c r="G19" s="3290" t="s">
        <v>1309</v>
      </c>
      <c r="H19" s="3519" t="str" cm="1">
        <f t="array" aca="1" ref="H19" ca="1">_xlfn.XLOOKUP(9,'JUN STWO Watchbill'!U5:'JUN STWO Watchbill'!U66,'JUN STWO Watchbill'!$C$5:'JUN STWO Watchbill'!$C$66)</f>
        <v>ENC TRAN</v>
      </c>
      <c r="I19" s="3290" t="s">
        <v>1309</v>
      </c>
      <c r="J19" s="3519" t="str" cm="1">
        <f t="array" aca="1" ref="J19" ca="1">_xlfn.XLOOKUP(9,'JUN STWO Watchbill'!V5:'JUN STWO Watchbill'!V66,'JUN STWO Watchbill'!$C$5:'JUN STWO Watchbill'!$C$66)</f>
        <v>GSMC MCKEOWN</v>
      </c>
      <c r="K19" s="3290" t="s">
        <v>1309</v>
      </c>
      <c r="L19" s="3519" t="str" cm="1">
        <f t="array" aca="1" ref="L19" ca="1">_xlfn.XLOOKUP(9,'JUN STWO Watchbill'!W5:'JUN STWO Watchbill'!W66,'JUN STWO Watchbill'!$C$5:'JUN STWO Watchbill'!$C$66)</f>
        <v>EMC DAVES</v>
      </c>
      <c r="M19" s="3290" t="s">
        <v>1309</v>
      </c>
      <c r="N19" s="3291" t="str" cm="1">
        <f t="array" aca="1" ref="N19" ca="1">_xlfn.XLOOKUP(9,'JUN STWO Watchbill'!X5:'JUN STWO Watchbill'!X66,'JUN STWO Watchbill'!$C$5:'JUN STWO Watchbill'!$C$66)</f>
        <v>OS1 TILLMAN</v>
      </c>
      <c r="O19" s="10"/>
      <c r="P19" s="10"/>
      <c r="Q19" s="3307" t="s">
        <v>1326</v>
      </c>
      <c r="R19" s="3435">
        <v>45658</v>
      </c>
      <c r="S19" s="3430"/>
      <c r="T19" s="3430"/>
      <c r="U19" s="3430"/>
      <c r="V19" s="3430"/>
      <c r="W19" s="3430"/>
      <c r="X19" s="3431"/>
      <c r="Y19" s="10"/>
      <c r="Z19" s="10"/>
      <c r="AA19" s="10"/>
      <c r="AB19" s="10"/>
      <c r="AC19" s="10"/>
      <c r="AD19" s="10"/>
    </row>
    <row r="20" spans="1:30">
      <c r="A20" s="3290" t="s">
        <v>1311</v>
      </c>
      <c r="B20" s="3166" t="s">
        <v>1313</v>
      </c>
      <c r="C20" s="3290" t="s">
        <v>1311</v>
      </c>
      <c r="D20" s="3291" t="s">
        <v>1330</v>
      </c>
      <c r="E20" s="3292" t="s">
        <v>1311</v>
      </c>
      <c r="F20" s="3166" t="s">
        <v>1330</v>
      </c>
      <c r="G20" s="3290" t="s">
        <v>1311</v>
      </c>
      <c r="H20" s="3166" t="s">
        <v>1330</v>
      </c>
      <c r="I20" s="3443" t="s">
        <v>1311</v>
      </c>
      <c r="J20" s="3166" t="s">
        <v>1313</v>
      </c>
      <c r="K20" s="3443" t="s">
        <v>1311</v>
      </c>
      <c r="L20" s="3325" t="s">
        <v>1330</v>
      </c>
      <c r="M20" s="3443" t="s">
        <v>1311</v>
      </c>
      <c r="N20" s="3319" t="s">
        <v>1331</v>
      </c>
      <c r="O20" s="10"/>
      <c r="P20" s="10"/>
      <c r="Q20" s="3307" t="s">
        <v>1201</v>
      </c>
      <c r="R20" s="3435">
        <v>45658</v>
      </c>
      <c r="S20" s="3430"/>
      <c r="T20" s="3430"/>
      <c r="U20" s="3430"/>
      <c r="V20" s="3430"/>
      <c r="W20" s="3430"/>
      <c r="X20" s="3431"/>
      <c r="Y20" s="10"/>
      <c r="Z20" s="10"/>
      <c r="AA20" s="10"/>
      <c r="AB20" s="10"/>
      <c r="AC20" s="10"/>
      <c r="AD20" s="10"/>
    </row>
    <row r="21" spans="1:30">
      <c r="A21" s="3713"/>
      <c r="B21" s="3715"/>
      <c r="C21" s="3713"/>
      <c r="D21" s="3714"/>
      <c r="E21" s="3715"/>
      <c r="F21" s="3715"/>
      <c r="G21" s="6351"/>
      <c r="H21" s="6352"/>
      <c r="I21" s="6445" t="s">
        <v>1412</v>
      </c>
      <c r="J21" s="6446"/>
      <c r="K21" s="6446"/>
      <c r="L21" s="6446"/>
      <c r="M21" s="6446"/>
      <c r="N21" s="6447"/>
      <c r="O21" s="10"/>
      <c r="P21" s="10"/>
      <c r="Q21" s="3307" t="s">
        <v>1079</v>
      </c>
      <c r="R21" s="3436">
        <v>45597</v>
      </c>
      <c r="S21" s="3430"/>
      <c r="T21" s="3430"/>
      <c r="U21" s="3430"/>
      <c r="V21" s="3430"/>
      <c r="W21" s="3430"/>
      <c r="X21" s="3431"/>
      <c r="Y21" s="10"/>
      <c r="Z21" s="10"/>
      <c r="AA21" s="10"/>
      <c r="AB21" s="10"/>
      <c r="AC21" s="10"/>
      <c r="AD21" s="10"/>
    </row>
    <row r="22" spans="1:30">
      <c r="A22" s="6332">
        <v>22</v>
      </c>
      <c r="B22" s="6333"/>
      <c r="C22" s="6332">
        <v>23</v>
      </c>
      <c r="D22" s="6339"/>
      <c r="E22" s="6333">
        <v>24</v>
      </c>
      <c r="F22" s="6333"/>
      <c r="G22" s="6367">
        <v>25</v>
      </c>
      <c r="H22" s="6370"/>
      <c r="I22" s="6367">
        <v>26</v>
      </c>
      <c r="J22" s="6368"/>
      <c r="K22" s="6369">
        <v>27</v>
      </c>
      <c r="L22" s="6370"/>
      <c r="M22" s="6367">
        <v>28</v>
      </c>
      <c r="N22" s="6368"/>
      <c r="O22" s="10"/>
      <c r="P22" s="10"/>
      <c r="Q22" s="3307" t="s">
        <v>553</v>
      </c>
      <c r="R22" s="3437"/>
      <c r="S22" s="3430">
        <f>_xlfn.XLOOKUP($Q22,'JUN STWO Watchbill'!$B$5:$B$66,'JUN STWO Watchbill'!AV$5:AV$66)</f>
        <v>0</v>
      </c>
      <c r="T22" s="3430">
        <f>_xlfn.XLOOKUP($Q22,'JUN STWO Watchbill'!$B$5:$B$66,'JUN STWO Watchbill'!AW$5:AW$66)</f>
        <v>0</v>
      </c>
      <c r="U22" s="3430">
        <f>_xlfn.XLOOKUP($Q22,'JUN STWO Watchbill'!$B$5:$B$66,'JUN STWO Watchbill'!AX$5:AX$66)</f>
        <v>0</v>
      </c>
      <c r="V22" s="3430">
        <f>_xlfn.XLOOKUP($Q22,'JUN STWO Watchbill'!$B$5:$B$66,'JUN STWO Watchbill'!AY$5:AY$66)</f>
        <v>3</v>
      </c>
      <c r="W22" s="3430">
        <f>_xlfn.XLOOKUP($Q22,'JUN STWO Watchbill'!$B$5:$B$66,'JUN STWO Watchbill'!AZ$5:AZ$66)</f>
        <v>0</v>
      </c>
      <c r="X22" s="3431">
        <f>SUM(S22:W22)</f>
        <v>3</v>
      </c>
      <c r="Y22" s="10"/>
      <c r="Z22" s="10"/>
      <c r="AA22" s="10"/>
      <c r="AB22" s="10"/>
      <c r="AC22" s="10"/>
      <c r="AD22" s="10"/>
    </row>
    <row r="23" spans="1:30" ht="15.75" customHeight="1">
      <c r="A23" s="6340" t="s">
        <v>1307</v>
      </c>
      <c r="B23" s="3277" t="str" cm="1">
        <f t="array" aca="1" ref="B23" ca="1">_xlfn.XLOOKUP(8,'JUN STWO Watchbill'!Y5:'JUN STWO Watchbill'!Y66,'JUN STWO Watchbill'!$C$5:'JUN STWO Watchbill'!$C$66)</f>
        <v>FC1 FERNANDEZ</v>
      </c>
      <c r="C23" s="6359" t="s">
        <v>1307</v>
      </c>
      <c r="D23" s="3300" t="str" cm="1">
        <f t="array" aca="1" ref="D23" ca="1">_xlfn.XLOOKUP(8,'JUN STWO Watchbill'!Z5:'JUN STWO Watchbill'!Z66,'JUN STWO Watchbill'!$C$5:'JUN STWO Watchbill'!$C$66)</f>
        <v>ITC ANTERO</v>
      </c>
      <c r="E23" s="6361" t="s">
        <v>1307</v>
      </c>
      <c r="F23" s="3450" t="str" cm="1">
        <f t="array" aca="1" ref="F23" ca="1">_xlfn.XLOOKUP(8,'JUN STWO Watchbill'!AA5:'JUN STWO Watchbill'!AA66,'JUN STWO Watchbill'!$C$5:'JUN STWO Watchbill'!$C$66)</f>
        <v>LCDR  KIM</v>
      </c>
      <c r="G23" s="6346" t="s">
        <v>1307</v>
      </c>
      <c r="H23" s="3450" t="str" cm="1">
        <f t="array" aca="1" ref="H23" ca="1">_xlfn.XLOOKUP(8,'JUN STWO Watchbill'!AB5:'JUN STWO Watchbill'!AB66,'JUN STWO Watchbill'!$C$5:'JUN STWO Watchbill'!$C$66)</f>
        <v>LT GRAHAM</v>
      </c>
      <c r="I23" s="6346" t="s">
        <v>1307</v>
      </c>
      <c r="J23" s="3278" t="str" cm="1">
        <f t="array" aca="1" ref="J23" ca="1">_xlfn.XLOOKUP(8,'JUN STWO Watchbill'!AC5:'JUN STWO Watchbill'!AC66,'JUN STWO Watchbill'!$C$5:'JUN STWO Watchbill'!$C$66)</f>
        <v>ITCS VALENCIA</v>
      </c>
      <c r="K23" s="6469" t="s">
        <v>1307</v>
      </c>
      <c r="L23" s="3277" t="str" cm="1">
        <f t="array" aca="1" ref="L23" ca="1">_xlfn.XLOOKUP(8,'JUN STWO Watchbill'!AD5:'JUN STWO Watchbill'!AD66,'JUN STWO Watchbill'!$C$5:'JUN STWO Watchbill'!$C$66)</f>
        <v>ETC PEARSON</v>
      </c>
      <c r="M23" s="6346" t="s">
        <v>1307</v>
      </c>
      <c r="N23" s="3278" t="str" cm="1">
        <f t="array" aca="1" ref="N23" ca="1">_xlfn.XLOOKUP(8,'JUN STWO Watchbill'!AE5:'JUN STWO Watchbill'!AE66,'JUN STWO Watchbill'!$C$5:'JUN STWO Watchbill'!$C$66)</f>
        <v>GMC BARTELMEY</v>
      </c>
      <c r="O23" s="10"/>
      <c r="P23" s="10"/>
      <c r="Q23" s="3307" t="s">
        <v>733</v>
      </c>
      <c r="R23" s="3279"/>
      <c r="S23" s="3430">
        <f>_xlfn.XLOOKUP($Q23,'JUN STWO Watchbill'!$B$5:$B$66,'JUN STWO Watchbill'!AV$5:AV$66)</f>
        <v>0</v>
      </c>
      <c r="T23" s="3430">
        <f>_xlfn.XLOOKUP($Q23,'JUN STWO Watchbill'!$B$5:$B$66,'JUN STWO Watchbill'!AW$5:AW$66)</f>
        <v>0</v>
      </c>
      <c r="U23" s="3430">
        <f>_xlfn.XLOOKUP($Q23,'JUN STWO Watchbill'!$B$5:$B$66,'JUN STWO Watchbill'!AX$5:AX$66)</f>
        <v>0</v>
      </c>
      <c r="V23" s="3430">
        <f>_xlfn.XLOOKUP($Q23,'JUN STWO Watchbill'!$B$5:$B$66,'JUN STWO Watchbill'!AY$5:AY$66)</f>
        <v>1</v>
      </c>
      <c r="W23" s="3430">
        <f>_xlfn.XLOOKUP($Q23,'JUN STWO Watchbill'!$B$5:$B$66,'JUN STWO Watchbill'!AZ$5:AZ$66)</f>
        <v>0</v>
      </c>
      <c r="X23" s="3431">
        <f>SUM(S23:W23)</f>
        <v>1</v>
      </c>
      <c r="Y23" s="10"/>
      <c r="Z23" s="10"/>
      <c r="AA23" s="10"/>
      <c r="AB23" s="10"/>
      <c r="AC23" s="10"/>
      <c r="AD23" s="10"/>
    </row>
    <row r="24" spans="1:30" ht="21.75">
      <c r="A24" s="6341"/>
      <c r="B24" s="3478"/>
      <c r="C24" s="6468"/>
      <c r="D24" s="3528" t="s">
        <v>1317</v>
      </c>
      <c r="E24" s="6338"/>
      <c r="F24" s="3526" t="s">
        <v>1413</v>
      </c>
      <c r="G24" s="6341"/>
      <c r="H24" s="3526" t="s">
        <v>1414</v>
      </c>
      <c r="I24" s="6341"/>
      <c r="J24" s="3526" t="s">
        <v>1415</v>
      </c>
      <c r="K24" s="6470"/>
      <c r="L24" s="3534" t="s">
        <v>1318</v>
      </c>
      <c r="M24" s="6347"/>
      <c r="N24" s="3477"/>
      <c r="O24" s="10"/>
      <c r="P24" s="10"/>
      <c r="Q24" s="3307" t="s">
        <v>693</v>
      </c>
      <c r="R24" s="3429"/>
      <c r="S24" s="3430">
        <f>_xlfn.XLOOKUP($Q24,'JUN STWO Watchbill'!$B$5:$B$66,'JUN STWO Watchbill'!AV$5:AV$66)</f>
        <v>1</v>
      </c>
      <c r="T24" s="3430">
        <f>_xlfn.XLOOKUP($Q24,'JUN STWO Watchbill'!$B$5:$B$66,'JUN STWO Watchbill'!AW$5:AW$66)</f>
        <v>0</v>
      </c>
      <c r="U24" s="3430">
        <f>_xlfn.XLOOKUP($Q24,'JUN STWO Watchbill'!$B$5:$B$66,'JUN STWO Watchbill'!AX$5:AX$66)</f>
        <v>0</v>
      </c>
      <c r="V24" s="3430">
        <f>_xlfn.XLOOKUP($Q24,'JUN STWO Watchbill'!$B$5:$B$66,'JUN STWO Watchbill'!AY$5:AY$66)</f>
        <v>1</v>
      </c>
      <c r="W24" s="3430">
        <f>_xlfn.XLOOKUP($Q24,'JUN STWO Watchbill'!$B$5:$B$66,'JUN STWO Watchbill'!AZ$5:AZ$66)</f>
        <v>0</v>
      </c>
      <c r="X24" s="3431">
        <f>SUM(S24:W24)</f>
        <v>2</v>
      </c>
      <c r="Y24" s="10"/>
      <c r="Z24" s="10"/>
      <c r="AA24" s="10"/>
      <c r="AB24" s="10"/>
      <c r="AC24" s="10"/>
      <c r="AD24" s="10"/>
    </row>
    <row r="25" spans="1:30">
      <c r="A25" s="3290" t="s">
        <v>1309</v>
      </c>
      <c r="B25" s="3166" t="str" cm="1">
        <f t="array" aca="1" ref="B25" ca="1">_xlfn.XLOOKUP(9,'JUN STWO Watchbill'!Y5:'JUN STWO Watchbill'!Y66,'JUN STWO Watchbill'!$C$5:'JUN STWO Watchbill'!$C$66)</f>
        <v>LT MALIGSA</v>
      </c>
      <c r="C25" s="3314" t="s">
        <v>1309</v>
      </c>
      <c r="D25" s="3285" t="str" cm="1">
        <f t="array" aca="1" ref="D25" ca="1">_xlfn.XLOOKUP(9,'JUN STWO Watchbill'!Z5:'JUN STWO Watchbill'!Z66,'JUN STWO Watchbill'!$C$5:'JUN STWO Watchbill'!$C$66)</f>
        <v>CTTC THOMPSON</v>
      </c>
      <c r="E25" s="3292" t="s">
        <v>1309</v>
      </c>
      <c r="F25" s="3166" t="str" cm="1">
        <f t="array" aca="1" ref="F25" ca="1">_xlfn.XLOOKUP(9,'JUN STWO Watchbill'!AA5:'JUN STWO Watchbill'!AA66,'JUN STWO Watchbill'!$C$5:'JUN STWO Watchbill'!$C$66)</f>
        <v>LT DECKER</v>
      </c>
      <c r="G25" s="3290" t="s">
        <v>1309</v>
      </c>
      <c r="H25" s="3166" t="str" cm="1">
        <f t="array" aca="1" ref="H25" ca="1">_xlfn.XLOOKUP(9,'JUN STWO Watchbill'!AB5:'JUN STWO Watchbill'!AB66,'JUN STWO Watchbill'!$C$5:'JUN STWO Watchbill'!$C$66)</f>
        <v>STGC PLACENCIA</v>
      </c>
      <c r="I25" s="3290" t="s">
        <v>1309</v>
      </c>
      <c r="J25" s="3291" t="str" cm="1">
        <f t="array" aca="1" ref="J25" ca="1">_xlfn.XLOOKUP(9,'JUN STWO Watchbill'!AC5:'JUN STWO Watchbill'!AC66,'JUN STWO Watchbill'!$C$5:'JUN STWO Watchbill'!$C$66)</f>
        <v>ITC ANTERO</v>
      </c>
      <c r="K25" s="3448" t="s">
        <v>1309</v>
      </c>
      <c r="L25" s="3166" t="str" cm="1">
        <f t="array" aca="1" ref="L25" ca="1">_xlfn.XLOOKUP(9,'JUN STWO Watchbill'!AD5:'JUN STWO Watchbill'!AD66,'JUN STWO Watchbill'!$C$5:'JUN STWO Watchbill'!$C$66)</f>
        <v>LT GARCIA</v>
      </c>
      <c r="M25" s="3290" t="s">
        <v>1309</v>
      </c>
      <c r="N25" s="3319" t="str" cm="1">
        <f t="array" aca="1" ref="N25" ca="1">_xlfn.XLOOKUP(9,'JUN STWO Watchbill'!AE5:'JUN STWO Watchbill'!AE66,'JUN STWO Watchbill'!$C$5:'JUN STWO Watchbill'!$C$66)</f>
        <v>ENC TRAN</v>
      </c>
      <c r="O25" s="10"/>
      <c r="P25" s="10"/>
      <c r="Q25" s="3307" t="s">
        <v>657</v>
      </c>
      <c r="R25" s="3287"/>
      <c r="S25" s="3430">
        <f>_xlfn.XLOOKUP($Q25,'JUN STWO Watchbill'!$B$5:$B$66,'JUN STWO Watchbill'!AV$5:AV$66)</f>
        <v>0</v>
      </c>
      <c r="T25" s="3430">
        <f>_xlfn.XLOOKUP($Q25,'JUN STWO Watchbill'!$B$5:$B$66,'JUN STWO Watchbill'!AW$5:AW$66)</f>
        <v>1</v>
      </c>
      <c r="U25" s="3430">
        <f>_xlfn.XLOOKUP($Q25,'JUN STWO Watchbill'!$B$5:$B$66,'JUN STWO Watchbill'!AX$5:AX$66)</f>
        <v>2</v>
      </c>
      <c r="V25" s="3430">
        <f>_xlfn.XLOOKUP($Q25,'JUN STWO Watchbill'!$B$5:$B$66,'JUN STWO Watchbill'!AY$5:AY$66)</f>
        <v>0</v>
      </c>
      <c r="W25" s="3430">
        <f>_xlfn.XLOOKUP($Q25,'JUN STWO Watchbill'!$B$5:$B$66,'JUN STWO Watchbill'!AZ$5:AZ$66)</f>
        <v>0</v>
      </c>
      <c r="X25" s="3431">
        <f>SUM(S25:W25)</f>
        <v>3</v>
      </c>
      <c r="Y25" s="10"/>
      <c r="Z25" s="10"/>
      <c r="AA25" s="10"/>
      <c r="AB25" s="10"/>
      <c r="AC25" s="10"/>
      <c r="AD25" s="10"/>
    </row>
    <row r="26" spans="1:30">
      <c r="A26" s="3443" t="s">
        <v>1311</v>
      </c>
      <c r="B26" s="3325" t="s">
        <v>1330</v>
      </c>
      <c r="C26" s="3314" t="s">
        <v>1311</v>
      </c>
      <c r="D26" s="3291" t="s">
        <v>1327</v>
      </c>
      <c r="E26" s="3318" t="s">
        <v>1311</v>
      </c>
      <c r="F26" s="3166" t="s">
        <v>1327</v>
      </c>
      <c r="G26" s="3449" t="s">
        <v>1311</v>
      </c>
      <c r="H26" s="3166" t="s">
        <v>1331</v>
      </c>
      <c r="I26" s="3443" t="s">
        <v>1311</v>
      </c>
      <c r="J26" s="3291" t="s">
        <v>1331</v>
      </c>
      <c r="K26" s="3448" t="s">
        <v>1311</v>
      </c>
      <c r="L26" s="3166" t="s">
        <v>1330</v>
      </c>
      <c r="M26" s="3328" t="s">
        <v>1311</v>
      </c>
      <c r="N26" s="3291" t="s">
        <v>1330</v>
      </c>
      <c r="O26" s="10"/>
      <c r="P26" s="10"/>
      <c r="Q26" s="3307" t="s">
        <v>474</v>
      </c>
      <c r="R26" s="3287" t="s">
        <v>1332</v>
      </c>
      <c r="S26" s="3430">
        <f>_xlfn.XLOOKUP($Q26,'JUN STWO Watchbill'!$B$5:$B$66,'JUN STWO Watchbill'!AV$5:AV$66)</f>
        <v>1</v>
      </c>
      <c r="T26" s="3430">
        <f>_xlfn.XLOOKUP($Q26,'JUN STWO Watchbill'!$B$5:$B$66,'JUN STWO Watchbill'!AW$5:AW$66)</f>
        <v>1</v>
      </c>
      <c r="U26" s="3430">
        <f>_xlfn.XLOOKUP($Q26,'JUN STWO Watchbill'!$B$5:$B$66,'JUN STWO Watchbill'!AX$5:AX$66)</f>
        <v>0</v>
      </c>
      <c r="V26" s="3430">
        <f>_xlfn.XLOOKUP($Q26,'JUN STWO Watchbill'!$B$5:$B$66,'JUN STWO Watchbill'!AY$5:AY$66)</f>
        <v>2</v>
      </c>
      <c r="W26" s="3430">
        <f>_xlfn.XLOOKUP($Q26,'JUN STWO Watchbill'!$B$5:$B$66,'JUN STWO Watchbill'!AZ$5:AZ$66)</f>
        <v>0</v>
      </c>
      <c r="X26" s="3431">
        <f>SUM(S26:W26)</f>
        <v>4</v>
      </c>
      <c r="Y26" s="10"/>
      <c r="Z26" s="10"/>
      <c r="AA26" s="10"/>
      <c r="AB26" s="10"/>
      <c r="AC26" s="10"/>
      <c r="AD26" s="10"/>
    </row>
    <row r="27" spans="1:30">
      <c r="A27" s="6465" t="s">
        <v>1412</v>
      </c>
      <c r="B27" s="6466"/>
      <c r="C27" s="3710"/>
      <c r="D27" s="3724"/>
      <c r="E27" s="3446"/>
      <c r="F27" s="3446"/>
      <c r="G27" s="3709"/>
      <c r="H27" s="3446"/>
      <c r="I27" s="3330"/>
      <c r="J27" s="3447"/>
      <c r="K27" s="6459"/>
      <c r="L27" s="6460"/>
      <c r="M27" s="6374"/>
      <c r="N27" s="6461"/>
      <c r="O27" s="10"/>
      <c r="P27" s="10"/>
      <c r="Q27" s="3307" t="s">
        <v>135</v>
      </c>
      <c r="R27" s="3287"/>
      <c r="S27" s="3430">
        <f>_xlfn.XLOOKUP($Q27,'JUN STWO Watchbill'!$B$5:$B$66,'JUN STWO Watchbill'!AV$5:AV$66)</f>
        <v>0</v>
      </c>
      <c r="T27" s="3430">
        <f>_xlfn.XLOOKUP($Q27,'JUN STWO Watchbill'!$B$5:$B$66,'JUN STWO Watchbill'!AW$5:AW$66)</f>
        <v>1</v>
      </c>
      <c r="U27" s="3430">
        <f>_xlfn.XLOOKUP($Q27,'JUN STWO Watchbill'!$B$5:$B$66,'JUN STWO Watchbill'!AX$5:AX$66)</f>
        <v>0</v>
      </c>
      <c r="V27" s="3430">
        <f>_xlfn.XLOOKUP($Q27,'JUN STWO Watchbill'!$B$5:$B$66,'JUN STWO Watchbill'!AY$5:AY$66)</f>
        <v>0</v>
      </c>
      <c r="W27" s="3430">
        <f>_xlfn.XLOOKUP($Q27,'JUN STWO Watchbill'!$B$5:$B$66,'JUN STWO Watchbill'!AZ$5:AZ$66)</f>
        <v>0</v>
      </c>
      <c r="X27" s="3431">
        <f>SUM(S27:W27)</f>
        <v>1</v>
      </c>
      <c r="Y27" s="10"/>
      <c r="Z27" s="10"/>
      <c r="AA27" s="10"/>
      <c r="AB27" s="10"/>
      <c r="AC27" s="10"/>
      <c r="AD27" s="10"/>
    </row>
    <row r="28" spans="1:30" ht="15.75" customHeight="1">
      <c r="A28" s="6463">
        <v>29</v>
      </c>
      <c r="B28" s="6464"/>
      <c r="C28" s="6467">
        <v>30</v>
      </c>
      <c r="D28" s="6464"/>
      <c r="E28" s="283"/>
      <c r="F28" s="283"/>
      <c r="G28" s="283"/>
      <c r="H28" s="283"/>
      <c r="I28" s="283"/>
      <c r="J28" s="283"/>
      <c r="K28" s="283"/>
      <c r="L28" s="283"/>
      <c r="M28" s="283"/>
      <c r="N28" s="1435"/>
      <c r="O28" s="10"/>
      <c r="P28" s="10"/>
      <c r="Q28" s="3320" t="s">
        <v>334</v>
      </c>
      <c r="R28" s="3321"/>
      <c r="S28" s="3430">
        <f>_xlfn.XLOOKUP($Q28,'JUN STWO Watchbill'!$B$5:$B$66,'JUN STWO Watchbill'!AV$5:AV$66)</f>
        <v>0</v>
      </c>
      <c r="T28" s="3430">
        <f>_xlfn.XLOOKUP($Q28,'JUN STWO Watchbill'!$B$5:$B$66,'JUN STWO Watchbill'!AW$5:AW$66)</f>
        <v>0</v>
      </c>
      <c r="U28" s="3430">
        <f>_xlfn.XLOOKUP($Q28,'JUN STWO Watchbill'!$B$5:$B$66,'JUN STWO Watchbill'!AX$5:AX$66)</f>
        <v>0</v>
      </c>
      <c r="V28" s="3430">
        <f>_xlfn.XLOOKUP($Q28,'JUN STWO Watchbill'!$B$5:$B$66,'JUN STWO Watchbill'!AY$5:AY$66)</f>
        <v>0</v>
      </c>
      <c r="W28" s="3430">
        <f>_xlfn.XLOOKUP($Q28,'JUN STWO Watchbill'!$B$5:$B$66,'JUN STWO Watchbill'!AZ$5:AZ$66)</f>
        <v>0</v>
      </c>
      <c r="X28" s="3431">
        <f>SUM(S28:W28)</f>
        <v>0</v>
      </c>
      <c r="Y28" s="10"/>
      <c r="Z28" s="10"/>
      <c r="AA28" s="10"/>
      <c r="AB28" s="10"/>
      <c r="AC28" s="10"/>
      <c r="AD28" s="10"/>
    </row>
    <row r="29" spans="1:30" ht="15.75" customHeight="1">
      <c r="A29" s="6346" t="s">
        <v>1307</v>
      </c>
      <c r="B29" s="3444" t="str" cm="1">
        <f t="array" aca="1" ref="B29" ca="1">_xlfn.XLOOKUP(8,'JUN STWO Watchbill'!AF5:'JUN STWO Watchbill'!AF66,'JUN STWO Watchbill'!$C$5:'JUN STWO Watchbill'!$C$66)</f>
        <v>OSC WILLIAMS</v>
      </c>
      <c r="C29" s="6337" t="s">
        <v>1307</v>
      </c>
      <c r="D29" s="3278" t="str" cm="1">
        <f t="array" aca="1" ref="D29" ca="1">_xlfn.XLOOKUP(8,'JUN STWO Watchbill'!AG5:'JUN STWO Watchbill'!AG66,'JUN STWO Watchbill'!$C$5:'JUN STWO Watchbill'!$C$66)</f>
        <v>GSMC MCKEOWN</v>
      </c>
      <c r="E29" s="283"/>
      <c r="F29" s="283"/>
      <c r="G29" s="283"/>
      <c r="H29" s="283"/>
      <c r="I29" s="283"/>
      <c r="J29" s="283"/>
      <c r="K29" s="283"/>
      <c r="L29" s="283"/>
      <c r="M29" s="283"/>
      <c r="N29" s="1435"/>
      <c r="O29" s="10"/>
      <c r="P29" s="10"/>
      <c r="Q29" s="3298" t="s">
        <v>1036</v>
      </c>
      <c r="R29" s="3323"/>
      <c r="S29" s="3430">
        <f>_xlfn.XLOOKUP($Q29,'JUN STWO Watchbill'!$B$5:$B$66,'JUN STWO Watchbill'!AV$5:AV$66)</f>
        <v>1</v>
      </c>
      <c r="T29" s="3430">
        <f>_xlfn.XLOOKUP($Q29,'JUN STWO Watchbill'!$B$5:$B$66,'JUN STWO Watchbill'!AW$5:AW$66)</f>
        <v>0</v>
      </c>
      <c r="U29" s="3430">
        <f>_xlfn.XLOOKUP($Q29,'JUN STWO Watchbill'!$B$5:$B$66,'JUN STWO Watchbill'!AX$5:AX$66)</f>
        <v>0</v>
      </c>
      <c r="V29" s="3430">
        <f>_xlfn.XLOOKUP($Q29,'JUN STWO Watchbill'!$B$5:$B$66,'JUN STWO Watchbill'!AY$5:AY$66)</f>
        <v>0</v>
      </c>
      <c r="W29" s="3430">
        <f>_xlfn.XLOOKUP($Q29,'JUN STWO Watchbill'!$B$5:$B$66,'JUN STWO Watchbill'!AZ$5:AZ$66)</f>
        <v>0</v>
      </c>
      <c r="X29" s="3431">
        <f>SUM(S29:W29)</f>
        <v>1</v>
      </c>
      <c r="Y29" s="10"/>
      <c r="Z29" s="10"/>
      <c r="AA29" s="10"/>
      <c r="AB29" s="10"/>
      <c r="AC29" s="10"/>
      <c r="AD29" s="10"/>
    </row>
    <row r="30" spans="1:30" ht="15.75" customHeight="1">
      <c r="A30" s="6347"/>
      <c r="B30" s="3477"/>
      <c r="C30" s="6338"/>
      <c r="D30" s="3528" t="s">
        <v>1416</v>
      </c>
      <c r="E30" s="283"/>
      <c r="F30" s="283"/>
      <c r="G30" s="283"/>
      <c r="H30" s="283"/>
      <c r="I30" s="283"/>
      <c r="J30" s="283"/>
      <c r="K30" s="283"/>
      <c r="L30" s="283"/>
      <c r="M30" s="283"/>
      <c r="N30" s="1435"/>
      <c r="O30" s="10"/>
      <c r="P30" s="10"/>
      <c r="Q30" s="3272" t="s">
        <v>1058</v>
      </c>
      <c r="R30" s="3287"/>
      <c r="S30" s="3430">
        <f>_xlfn.XLOOKUP($Q30,'JUN STWO Watchbill'!$B$5:$B$66,'JUN STWO Watchbill'!AV$5:AV$66)</f>
        <v>0</v>
      </c>
      <c r="T30" s="3430">
        <f>_xlfn.XLOOKUP($Q30,'JUN STWO Watchbill'!$B$5:$B$66,'JUN STWO Watchbill'!AW$5:AW$66)</f>
        <v>0</v>
      </c>
      <c r="U30" s="3430">
        <f>_xlfn.XLOOKUP($Q30,'JUN STWO Watchbill'!$B$5:$B$66,'JUN STWO Watchbill'!AX$5:AX$66)</f>
        <v>0</v>
      </c>
      <c r="V30" s="3430">
        <f>_xlfn.XLOOKUP($Q30,'JUN STWO Watchbill'!$B$5:$B$66,'JUN STWO Watchbill'!AY$5:AY$66)</f>
        <v>1</v>
      </c>
      <c r="W30" s="3430">
        <f>_xlfn.XLOOKUP($Q30,'JUN STWO Watchbill'!$B$5:$B$66,'JUN STWO Watchbill'!AZ$5:AZ$66)</f>
        <v>0</v>
      </c>
      <c r="X30" s="3431">
        <f>SUM(S30:W30)</f>
        <v>1</v>
      </c>
      <c r="Y30" s="10"/>
      <c r="Z30" s="10"/>
      <c r="AA30" s="10"/>
      <c r="AB30" s="10"/>
      <c r="AC30" s="10"/>
      <c r="AD30" s="10"/>
    </row>
    <row r="31" spans="1:30" ht="15.75" customHeight="1">
      <c r="A31" s="3290" t="s">
        <v>1309</v>
      </c>
      <c r="B31" s="3291" t="str" cm="1">
        <f t="array" aca="1" ref="B31" ca="1">_xlfn.XLOOKUP(9,'JUN STWO Watchbill'!AF5:'JUN STWO Watchbill'!AF66,'JUN STWO Watchbill'!$C$5:'JUN STWO Watchbill'!$C$66)</f>
        <v>OS1 LARA</v>
      </c>
      <c r="C31" s="3292" t="s">
        <v>1309</v>
      </c>
      <c r="D31" s="3291" t="str" cm="1">
        <f t="array" aca="1" ref="D31" ca="1">_xlfn.XLOOKUP(9,'JUN STWO Watchbill'!AG5:'JUN STWO Watchbill'!AG66,'JUN STWO Watchbill'!$C$5:'JUN STWO Watchbill'!$C$66)</f>
        <v>GMC OGLE</v>
      </c>
      <c r="E31" s="283"/>
      <c r="F31" s="283"/>
      <c r="G31" s="283"/>
      <c r="H31" s="283"/>
      <c r="I31" s="283"/>
      <c r="J31" s="283"/>
      <c r="K31" s="283"/>
      <c r="L31" s="283"/>
      <c r="M31" s="283"/>
      <c r="N31" s="1435"/>
      <c r="O31" s="10"/>
      <c r="P31" s="10"/>
      <c r="Q31" s="3272" t="s">
        <v>1037</v>
      </c>
      <c r="R31" s="3287"/>
      <c r="S31" s="3430">
        <f>_xlfn.XLOOKUP($Q31,'JUN STWO Watchbill'!$B$5:$B$66,'JUN STWO Watchbill'!AV$5:AV$66)</f>
        <v>0</v>
      </c>
      <c r="T31" s="3430">
        <f>_xlfn.XLOOKUP($Q31,'JUN STWO Watchbill'!$B$5:$B$66,'JUN STWO Watchbill'!AW$5:AW$66)</f>
        <v>1</v>
      </c>
      <c r="U31" s="3430">
        <f>_xlfn.XLOOKUP($Q31,'JUN STWO Watchbill'!$B$5:$B$66,'JUN STWO Watchbill'!AX$5:AX$66)</f>
        <v>0</v>
      </c>
      <c r="V31" s="3430">
        <f>_xlfn.XLOOKUP($Q31,'JUN STWO Watchbill'!$B$5:$B$66,'JUN STWO Watchbill'!AY$5:AY$66)</f>
        <v>0</v>
      </c>
      <c r="W31" s="3430">
        <f>_xlfn.XLOOKUP($Q31,'JUN STWO Watchbill'!$B$5:$B$66,'JUN STWO Watchbill'!AZ$5:AZ$66)</f>
        <v>1</v>
      </c>
      <c r="X31" s="3431">
        <f>SUM(S31:W31)</f>
        <v>2</v>
      </c>
      <c r="Y31" s="10"/>
      <c r="Z31" s="10"/>
      <c r="AA31" s="10"/>
      <c r="AB31" s="10"/>
      <c r="AC31" s="10"/>
      <c r="AD31" s="10"/>
    </row>
    <row r="32" spans="1:30">
      <c r="A32" s="3329" t="s">
        <v>1311</v>
      </c>
      <c r="B32" s="3291" t="s">
        <v>1327</v>
      </c>
      <c r="C32" s="3445" t="s">
        <v>1311</v>
      </c>
      <c r="D32" s="3291" t="s">
        <v>1330</v>
      </c>
      <c r="E32" s="283"/>
      <c r="F32" s="283"/>
      <c r="G32" s="283"/>
      <c r="H32" s="283"/>
      <c r="I32" s="283"/>
      <c r="J32" s="283"/>
      <c r="K32" s="283"/>
      <c r="L32" s="283"/>
      <c r="M32" s="283"/>
      <c r="N32" s="1435"/>
      <c r="O32" s="10"/>
      <c r="P32" s="10"/>
      <c r="Q32" s="3272" t="s">
        <v>620</v>
      </c>
      <c r="R32" s="3287"/>
      <c r="S32" s="3430">
        <f>_xlfn.XLOOKUP($Q32,'JUN STWO Watchbill'!$B$5:$B$66,'JUN STWO Watchbill'!AV$5:AV$66)</f>
        <v>1</v>
      </c>
      <c r="T32" s="3430">
        <f>_xlfn.XLOOKUP($Q32,'JUN STWO Watchbill'!$B$5:$B$66,'JUN STWO Watchbill'!AW$5:AW$66)</f>
        <v>0</v>
      </c>
      <c r="U32" s="3430">
        <f>_xlfn.XLOOKUP($Q32,'JUN STWO Watchbill'!$B$5:$B$66,'JUN STWO Watchbill'!AX$5:AX$66)</f>
        <v>0</v>
      </c>
      <c r="V32" s="3430">
        <f>_xlfn.XLOOKUP($Q32,'JUN STWO Watchbill'!$B$5:$B$66,'JUN STWO Watchbill'!AY$5:AY$66)</f>
        <v>0</v>
      </c>
      <c r="W32" s="3430">
        <f>_xlfn.XLOOKUP($Q32,'JUN STWO Watchbill'!$B$5:$B$66,'JUN STWO Watchbill'!AZ$5:AZ$66)</f>
        <v>0</v>
      </c>
      <c r="X32" s="3431">
        <f>SUM(S32:W32)</f>
        <v>1</v>
      </c>
      <c r="Y32" s="10"/>
      <c r="Z32" s="10"/>
      <c r="AA32" s="10"/>
      <c r="AB32" s="10"/>
      <c r="AC32" s="10"/>
      <c r="AD32" s="10"/>
    </row>
    <row r="33" spans="1:30">
      <c r="A33" s="6376"/>
      <c r="B33" s="6462"/>
      <c r="C33" s="3446"/>
      <c r="D33" s="3724"/>
      <c r="E33" s="283"/>
      <c r="F33" s="283"/>
      <c r="G33" s="283"/>
      <c r="H33" s="283"/>
      <c r="I33" s="283"/>
      <c r="J33" s="283"/>
      <c r="K33" s="283"/>
      <c r="L33" s="283"/>
      <c r="M33" s="283"/>
      <c r="N33" s="1435"/>
      <c r="O33" s="10"/>
      <c r="P33" s="10"/>
      <c r="Q33" s="3272" t="s">
        <v>740</v>
      </c>
      <c r="R33" s="3279"/>
      <c r="S33" s="3430">
        <f>_xlfn.XLOOKUP($Q33,'JUN STWO Watchbill'!$B$5:$B$66,'JUN STWO Watchbill'!AV$5:AV$66)</f>
        <v>0</v>
      </c>
      <c r="T33" s="3430">
        <f>_xlfn.XLOOKUP($Q33,'JUN STWO Watchbill'!$B$5:$B$66,'JUN STWO Watchbill'!AW$5:AW$66)</f>
        <v>1</v>
      </c>
      <c r="U33" s="3430">
        <f>_xlfn.XLOOKUP($Q33,'JUN STWO Watchbill'!$B$5:$B$66,'JUN STWO Watchbill'!AX$5:AX$66)</f>
        <v>0</v>
      </c>
      <c r="V33" s="3430">
        <f>_xlfn.XLOOKUP($Q33,'JUN STWO Watchbill'!$B$5:$B$66,'JUN STWO Watchbill'!AY$5:AY$66)</f>
        <v>0</v>
      </c>
      <c r="W33" s="3430">
        <f>_xlfn.XLOOKUP($Q33,'JUN STWO Watchbill'!$B$5:$B$66,'JUN STWO Watchbill'!AZ$5:AZ$66)</f>
        <v>0</v>
      </c>
      <c r="X33" s="3431">
        <f>SUM(S33:W33)</f>
        <v>1</v>
      </c>
      <c r="Y33" s="10"/>
      <c r="Z33" s="10"/>
      <c r="AA33" s="10"/>
      <c r="AB33" s="10"/>
      <c r="AC33" s="10"/>
      <c r="AD33" s="10"/>
    </row>
    <row r="34" spans="1:30" ht="15.75" customHeight="1">
      <c r="A34" s="3722"/>
      <c r="B34" s="3723"/>
      <c r="C34" s="3723"/>
      <c r="D34" s="3723"/>
      <c r="E34" s="3723"/>
      <c r="F34" s="3375"/>
      <c r="G34" s="3723"/>
      <c r="H34" s="3375"/>
      <c r="I34" s="3723"/>
      <c r="J34" s="3375"/>
      <c r="K34" s="3375"/>
      <c r="L34" s="3467"/>
      <c r="M34" s="3375"/>
      <c r="N34" s="3468"/>
      <c r="O34" s="10"/>
      <c r="P34" s="10"/>
      <c r="Q34" s="3272" t="s">
        <v>1334</v>
      </c>
      <c r="R34" s="3301">
        <v>45778</v>
      </c>
      <c r="S34" s="3430"/>
      <c r="T34" s="3430"/>
      <c r="U34" s="3430"/>
      <c r="V34" s="3430"/>
      <c r="W34" s="3430"/>
      <c r="X34" s="3431"/>
      <c r="Y34" s="10"/>
      <c r="Z34" s="10"/>
      <c r="AA34" s="10"/>
      <c r="AB34" s="10"/>
      <c r="AC34" s="10"/>
      <c r="AD34" s="10"/>
    </row>
    <row r="35" spans="1:30" ht="15.75" customHeight="1">
      <c r="A35" s="3722"/>
      <c r="B35" s="3723"/>
      <c r="C35" s="3723"/>
      <c r="D35" s="3723"/>
      <c r="E35" s="3723"/>
      <c r="F35" s="3723"/>
      <c r="G35" s="3723"/>
      <c r="H35" s="3723"/>
      <c r="I35" s="3723"/>
      <c r="J35" s="3375" t="s">
        <v>1335</v>
      </c>
      <c r="K35" s="3332"/>
      <c r="L35" s="3333"/>
      <c r="M35" s="3375"/>
      <c r="N35" s="3468"/>
      <c r="O35" s="10"/>
      <c r="P35" s="10"/>
      <c r="Q35" s="3272" t="s">
        <v>88</v>
      </c>
      <c r="R35" s="3301">
        <v>45778</v>
      </c>
      <c r="S35" s="3430"/>
      <c r="T35" s="3430"/>
      <c r="U35" s="3430"/>
      <c r="V35" s="3430"/>
      <c r="W35" s="3430"/>
      <c r="X35" s="3431"/>
      <c r="Y35" s="10"/>
      <c r="Z35" s="10"/>
      <c r="AA35" s="10"/>
      <c r="AB35" s="10"/>
      <c r="AC35" s="10"/>
      <c r="AD35" s="10"/>
    </row>
    <row r="36" spans="1:30" ht="15.75" customHeight="1">
      <c r="A36" s="6448" t="s">
        <v>1336</v>
      </c>
      <c r="B36" s="6449"/>
      <c r="C36" s="6449"/>
      <c r="D36" s="6449"/>
      <c r="E36" s="6449"/>
      <c r="F36" s="6449"/>
      <c r="G36" s="6449"/>
      <c r="H36" s="6449"/>
      <c r="I36" s="6449"/>
      <c r="J36" s="3375"/>
      <c r="K36" s="3375"/>
      <c r="L36" s="3467"/>
      <c r="M36" s="3375"/>
      <c r="N36" s="3468"/>
      <c r="O36" s="10"/>
      <c r="P36" s="10"/>
      <c r="Q36" s="3334" t="s">
        <v>1106</v>
      </c>
      <c r="R36" s="3438">
        <v>45658</v>
      </c>
      <c r="S36" s="3430">
        <f>_xlfn.XLOOKUP($Q36,'JUN STWO Watchbill'!$B$5:$B$66,'JUN STWO Watchbill'!AV$5:AV$66)</f>
        <v>0</v>
      </c>
      <c r="T36" s="3430">
        <f>_xlfn.XLOOKUP($Q36,'JUN STWO Watchbill'!$B$5:$B$66,'JUN STWO Watchbill'!AW$5:AW$66)</f>
        <v>0</v>
      </c>
      <c r="U36" s="3430">
        <f>_xlfn.XLOOKUP($Q36,'JUN STWO Watchbill'!$B$5:$B$66,'JUN STWO Watchbill'!AX$5:AX$66)</f>
        <v>0</v>
      </c>
      <c r="V36" s="3430">
        <f>_xlfn.XLOOKUP($Q36,'JUN STWO Watchbill'!$B$5:$B$66,'JUN STWO Watchbill'!AY$5:AY$66)</f>
        <v>0</v>
      </c>
      <c r="W36" s="3430">
        <f>_xlfn.XLOOKUP($Q36,'JUN STWO Watchbill'!$B$5:$B$66,'JUN STWO Watchbill'!AZ$5:AZ$66)</f>
        <v>1</v>
      </c>
      <c r="X36" s="3431">
        <f>SUM(S36:W36)</f>
        <v>1</v>
      </c>
      <c r="Y36" s="10"/>
      <c r="Z36" s="10"/>
      <c r="AA36" s="10"/>
      <c r="AB36" s="10"/>
      <c r="AC36" s="10"/>
      <c r="AD36" s="10"/>
    </row>
    <row r="37" spans="1:30" ht="15.75" customHeight="1">
      <c r="A37" s="6450" t="s">
        <v>1337</v>
      </c>
      <c r="B37" s="6451"/>
      <c r="C37" s="6451"/>
      <c r="D37" s="6451"/>
      <c r="E37" s="6451"/>
      <c r="F37" s="6451"/>
      <c r="G37" s="6451"/>
      <c r="H37" s="6451"/>
      <c r="I37" s="6451"/>
      <c r="J37" s="3375" t="s">
        <v>1338</v>
      </c>
      <c r="K37" s="3332"/>
      <c r="L37" s="3333"/>
      <c r="M37" s="3375"/>
      <c r="N37" s="3468"/>
      <c r="O37" s="10"/>
      <c r="P37" s="10"/>
      <c r="Q37" s="3336" t="s">
        <v>148</v>
      </c>
      <c r="R37" s="3337"/>
      <c r="S37" s="3430">
        <f>_xlfn.XLOOKUP($Q37,'JUN STWO Watchbill'!$B$5:$B$66,'JUN STWO Watchbill'!AV$5:AV$66)</f>
        <v>1</v>
      </c>
      <c r="T37" s="3430">
        <f>_xlfn.XLOOKUP($Q37,'JUN STWO Watchbill'!$B$5:$B$66,'JUN STWO Watchbill'!AW$5:AW$66)</f>
        <v>1</v>
      </c>
      <c r="U37" s="3430">
        <f>_xlfn.XLOOKUP($Q37,'JUN STWO Watchbill'!$B$5:$B$66,'JUN STWO Watchbill'!AX$5:AX$66)</f>
        <v>0</v>
      </c>
      <c r="V37" s="3430">
        <f>_xlfn.XLOOKUP($Q37,'JUN STWO Watchbill'!$B$5:$B$66,'JUN STWO Watchbill'!AY$5:AY$66)</f>
        <v>1</v>
      </c>
      <c r="W37" s="3430">
        <f>_xlfn.XLOOKUP($Q37,'JUN STWO Watchbill'!$B$5:$B$66,'JUN STWO Watchbill'!AZ$5:AZ$66)</f>
        <v>0</v>
      </c>
      <c r="X37" s="3431">
        <f>SUM(S37:W37)</f>
        <v>3</v>
      </c>
      <c r="Y37" s="10"/>
      <c r="Z37" s="10"/>
      <c r="AA37" s="10"/>
      <c r="AB37" s="10"/>
      <c r="AC37" s="10"/>
      <c r="AD37" s="10"/>
    </row>
    <row r="38" spans="1:30" ht="15.75" customHeight="1">
      <c r="A38" s="6448" t="s">
        <v>1339</v>
      </c>
      <c r="B38" s="6449"/>
      <c r="C38" s="6449"/>
      <c r="D38" s="6449"/>
      <c r="E38" s="6449"/>
      <c r="F38" s="6449"/>
      <c r="G38" s="6449"/>
      <c r="H38" s="6449"/>
      <c r="I38" s="6449"/>
      <c r="J38" s="3375"/>
      <c r="K38" s="3375"/>
      <c r="L38" s="3375"/>
      <c r="M38" s="3375"/>
      <c r="N38" s="3468"/>
      <c r="O38" s="10"/>
      <c r="P38" s="10"/>
      <c r="Q38" s="3272" t="s">
        <v>618</v>
      </c>
      <c r="R38" s="3287"/>
      <c r="S38" s="3430">
        <f>_xlfn.XLOOKUP($Q38,'JUN STWO Watchbill'!$B$5:$B$66,'JUN STWO Watchbill'!AV$5:AV$66)</f>
        <v>2</v>
      </c>
      <c r="T38" s="3430">
        <f>_xlfn.XLOOKUP($Q38,'JUN STWO Watchbill'!$B$5:$B$66,'JUN STWO Watchbill'!AW$5:AW$66)</f>
        <v>1</v>
      </c>
      <c r="U38" s="3430">
        <f>_xlfn.XLOOKUP($Q38,'JUN STWO Watchbill'!$B$5:$B$66,'JUN STWO Watchbill'!AX$5:AX$66)</f>
        <v>1</v>
      </c>
      <c r="V38" s="3430">
        <f>_xlfn.XLOOKUP($Q38,'JUN STWO Watchbill'!$B$5:$B$66,'JUN STWO Watchbill'!AY$5:AY$66)</f>
        <v>1</v>
      </c>
      <c r="W38" s="3430">
        <f>_xlfn.XLOOKUP($Q38,'JUN STWO Watchbill'!$B$5:$B$66,'JUN STWO Watchbill'!AZ$5:AZ$66)</f>
        <v>0</v>
      </c>
      <c r="X38" s="3431">
        <f>SUM(S38:W38)</f>
        <v>5</v>
      </c>
      <c r="Y38" s="10"/>
      <c r="Z38" s="10"/>
      <c r="AA38" s="10"/>
      <c r="AB38" s="10"/>
      <c r="AC38" s="10"/>
      <c r="AD38" s="10"/>
    </row>
    <row r="39" spans="1:30" ht="15.75" customHeight="1">
      <c r="A39" s="6450" t="s">
        <v>1340</v>
      </c>
      <c r="B39" s="6451"/>
      <c r="C39" s="6451"/>
      <c r="D39" s="6451"/>
      <c r="E39" s="6451"/>
      <c r="F39" s="6451"/>
      <c r="G39" s="6451"/>
      <c r="H39" s="6451"/>
      <c r="I39" s="6451"/>
      <c r="J39" s="3375" t="s">
        <v>1341</v>
      </c>
      <c r="K39" s="3332"/>
      <c r="L39" s="3333"/>
      <c r="M39" s="3375"/>
      <c r="N39" s="3468"/>
      <c r="O39" s="10"/>
      <c r="P39" s="10"/>
      <c r="Q39" s="3272" t="s">
        <v>1251</v>
      </c>
      <c r="R39" s="3293">
        <v>45717</v>
      </c>
      <c r="S39" s="3430"/>
      <c r="T39" s="3430"/>
      <c r="U39" s="3430"/>
      <c r="V39" s="3430"/>
      <c r="W39" s="3430"/>
      <c r="X39" s="3431"/>
      <c r="Y39" s="10"/>
      <c r="Z39" s="10"/>
      <c r="AA39" s="10"/>
      <c r="AB39" s="10"/>
      <c r="AC39" s="10"/>
      <c r="AD39" s="10"/>
    </row>
    <row r="40" spans="1:30" ht="15.75" customHeight="1">
      <c r="A40" s="6452" t="s">
        <v>1342</v>
      </c>
      <c r="B40" s="6453"/>
      <c r="C40" s="6453"/>
      <c r="D40" s="6453"/>
      <c r="E40" s="6453"/>
      <c r="F40" s="6453"/>
      <c r="G40" s="6453"/>
      <c r="H40" s="6453"/>
      <c r="I40" s="6453"/>
      <c r="J40" s="3375"/>
      <c r="K40" s="3375"/>
      <c r="L40" s="3375"/>
      <c r="M40" s="3375"/>
      <c r="N40" s="3468"/>
      <c r="O40" s="10"/>
      <c r="P40" s="10"/>
      <c r="Q40" s="3272" t="s">
        <v>1207</v>
      </c>
      <c r="R40" s="3439">
        <v>45689</v>
      </c>
      <c r="S40" s="3430"/>
      <c r="T40" s="3430"/>
      <c r="U40" s="3430"/>
      <c r="V40" s="3430"/>
      <c r="W40" s="3430"/>
      <c r="X40" s="3431"/>
      <c r="Y40" s="10"/>
      <c r="Z40" s="10"/>
      <c r="AA40" s="10"/>
      <c r="AB40" s="10"/>
      <c r="AC40" s="10"/>
      <c r="AD40" s="10"/>
    </row>
    <row r="41" spans="1:30" ht="15.75" customHeight="1">
      <c r="A41" s="6452" t="s">
        <v>1343</v>
      </c>
      <c r="B41" s="6453"/>
      <c r="C41" s="6453"/>
      <c r="D41" s="6453"/>
      <c r="E41" s="6453"/>
      <c r="F41" s="6453"/>
      <c r="G41" s="6453"/>
      <c r="H41" s="6453"/>
      <c r="I41" s="6453"/>
      <c r="J41" s="3375"/>
      <c r="K41" s="3375"/>
      <c r="L41" s="3375"/>
      <c r="M41" s="3375"/>
      <c r="N41" s="3468"/>
      <c r="O41" s="10"/>
      <c r="P41" s="10"/>
      <c r="Q41" s="3272" t="s">
        <v>151</v>
      </c>
      <c r="R41" s="3287"/>
      <c r="S41" s="3430">
        <f>_xlfn.XLOOKUP($Q41,'JUN STWO Watchbill'!$B$5:$B$66,'JUN STWO Watchbill'!AV$5:AV$66)</f>
        <v>0</v>
      </c>
      <c r="T41" s="3430">
        <f>_xlfn.XLOOKUP($Q41,'JUN STWO Watchbill'!$B$5:$B$66,'JUN STWO Watchbill'!AW$5:AW$66)</f>
        <v>0</v>
      </c>
      <c r="U41" s="3430">
        <f>_xlfn.XLOOKUP($Q41,'JUN STWO Watchbill'!$B$5:$B$66,'JUN STWO Watchbill'!AX$5:AX$66)</f>
        <v>0</v>
      </c>
      <c r="V41" s="3430">
        <f>_xlfn.XLOOKUP($Q41,'JUN STWO Watchbill'!$B$5:$B$66,'JUN STWO Watchbill'!AY$5:AY$66)</f>
        <v>0</v>
      </c>
      <c r="W41" s="3430">
        <f>_xlfn.XLOOKUP($Q41,'JUN STWO Watchbill'!$B$5:$B$66,'JUN STWO Watchbill'!AZ$5:AZ$66)</f>
        <v>0</v>
      </c>
      <c r="X41" s="3431">
        <f>SUM(S41:W41)</f>
        <v>0</v>
      </c>
      <c r="Y41" s="10"/>
      <c r="Z41" s="10"/>
      <c r="AA41" s="10"/>
      <c r="AB41" s="10"/>
      <c r="AC41" s="10"/>
      <c r="AD41" s="10"/>
    </row>
    <row r="42" spans="1:30" ht="15.75" customHeight="1">
      <c r="A42" s="6454" t="s">
        <v>1344</v>
      </c>
      <c r="B42" s="6455"/>
      <c r="C42" s="6455"/>
      <c r="D42" s="6455"/>
      <c r="E42" s="6455"/>
      <c r="F42" s="6455"/>
      <c r="G42" s="6455"/>
      <c r="H42" s="6455"/>
      <c r="I42" s="6455"/>
      <c r="J42" s="3375" t="s">
        <v>1345</v>
      </c>
      <c r="K42" s="3332"/>
      <c r="L42" s="3332"/>
      <c r="M42" s="3375"/>
      <c r="N42" s="3468"/>
      <c r="O42" s="10"/>
      <c r="P42" s="10"/>
      <c r="Q42" s="3272" t="s">
        <v>1005</v>
      </c>
      <c r="R42" s="3429"/>
      <c r="S42" s="3430">
        <f>_xlfn.XLOOKUP($Q42,'JUN STWO Watchbill'!$B$5:$B$66,'JUN STWO Watchbill'!AV$5:AV$66)</f>
        <v>0</v>
      </c>
      <c r="T42" s="3430">
        <f>_xlfn.XLOOKUP($Q42,'JUN STWO Watchbill'!$B$5:$B$66,'JUN STWO Watchbill'!AW$5:AW$66)</f>
        <v>0</v>
      </c>
      <c r="U42" s="3430">
        <f>_xlfn.XLOOKUP($Q42,'JUN STWO Watchbill'!$B$5:$B$66,'JUN STWO Watchbill'!AX$5:AX$66)</f>
        <v>0</v>
      </c>
      <c r="V42" s="3430">
        <f>_xlfn.XLOOKUP($Q42,'JUN STWO Watchbill'!$B$5:$B$66,'JUN STWO Watchbill'!AY$5:AY$66)</f>
        <v>1</v>
      </c>
      <c r="W42" s="3430">
        <f>_xlfn.XLOOKUP($Q42,'JUN STWO Watchbill'!$B$5:$B$66,'JUN STWO Watchbill'!AZ$5:AZ$66)</f>
        <v>0</v>
      </c>
      <c r="X42" s="3431">
        <f>SUM(S42:W42)</f>
        <v>1</v>
      </c>
      <c r="Y42" s="10"/>
      <c r="Z42" s="10"/>
      <c r="AA42" s="10"/>
      <c r="AB42" s="10"/>
      <c r="AC42" s="10"/>
      <c r="AD42" s="10"/>
    </row>
    <row r="43" spans="1:30" ht="15.75" customHeight="1">
      <c r="A43" s="3469"/>
      <c r="B43" s="3375"/>
      <c r="C43" s="3375"/>
      <c r="D43" s="3375"/>
      <c r="E43" s="3375"/>
      <c r="F43" s="3375"/>
      <c r="G43" s="3375"/>
      <c r="H43" s="3375"/>
      <c r="I43" s="3375"/>
      <c r="J43" s="3375"/>
      <c r="K43" s="3375"/>
      <c r="L43" s="3375"/>
      <c r="M43" s="3375" t="s">
        <v>1346</v>
      </c>
      <c r="N43" s="3470">
        <f ca="1">TODAY()</f>
        <v>45818</v>
      </c>
      <c r="O43" s="10"/>
      <c r="P43" s="10"/>
      <c r="Q43" s="3341" t="s">
        <v>660</v>
      </c>
      <c r="R43" s="3287" t="s">
        <v>1347</v>
      </c>
      <c r="S43" s="3430">
        <f>_xlfn.XLOOKUP($Q43,'JUN STWO Watchbill'!$B$5:$B$66,'JUN STWO Watchbill'!AV$5:AV$66)</f>
        <v>0</v>
      </c>
      <c r="T43" s="3430">
        <f>_xlfn.XLOOKUP($Q43,'JUN STWO Watchbill'!$B$5:$B$66,'JUN STWO Watchbill'!AW$5:AW$66)</f>
        <v>1</v>
      </c>
      <c r="U43" s="3430">
        <f>_xlfn.XLOOKUP($Q43,'JUN STWO Watchbill'!$B$5:$B$66,'JUN STWO Watchbill'!AX$5:AX$66)</f>
        <v>0</v>
      </c>
      <c r="V43" s="3430">
        <f>_xlfn.XLOOKUP($Q43,'JUN STWO Watchbill'!$B$5:$B$66,'JUN STWO Watchbill'!AY$5:AY$66)</f>
        <v>2</v>
      </c>
      <c r="W43" s="3430">
        <f>_xlfn.XLOOKUP($Q43,'JUN STWO Watchbill'!$B$5:$B$66,'JUN STWO Watchbill'!AZ$5:AZ$66)</f>
        <v>0</v>
      </c>
      <c r="X43" s="3431">
        <f>SUM(S43:W43)</f>
        <v>3</v>
      </c>
      <c r="Y43" s="10"/>
      <c r="Z43" s="10"/>
      <c r="AA43" s="10"/>
      <c r="AB43" s="10"/>
      <c r="AC43" s="10"/>
      <c r="AD43" s="10"/>
    </row>
    <row r="44" spans="1:30" ht="18.75" customHeight="1">
      <c r="A44" s="6456" t="s">
        <v>1296</v>
      </c>
      <c r="B44" s="6457"/>
      <c r="C44" s="6457"/>
      <c r="D44" s="6457"/>
      <c r="E44" s="6457"/>
      <c r="F44" s="6457"/>
      <c r="G44" s="6457"/>
      <c r="H44" s="6457"/>
      <c r="I44" s="6457"/>
      <c r="J44" s="6457"/>
      <c r="K44" s="6457"/>
      <c r="L44" s="6457"/>
      <c r="M44" s="6457"/>
      <c r="N44" s="6458"/>
      <c r="O44" s="10"/>
      <c r="P44" s="10"/>
      <c r="Q44" s="3334" t="s">
        <v>396</v>
      </c>
      <c r="R44" s="3342" t="s">
        <v>1348</v>
      </c>
      <c r="S44" s="3430">
        <f>_xlfn.XLOOKUP($Q44,'JUN STWO Watchbill'!$B$5:$B$66,'JUN STWO Watchbill'!AV$5:AV$66)</f>
        <v>1</v>
      </c>
      <c r="T44" s="3430">
        <f>_xlfn.XLOOKUP($Q44,'JUN STWO Watchbill'!$B$5:$B$66,'JUN STWO Watchbill'!AW$5:AW$66)</f>
        <v>1</v>
      </c>
      <c r="U44" s="3430">
        <f>_xlfn.XLOOKUP($Q44,'JUN STWO Watchbill'!$B$5:$B$66,'JUN STWO Watchbill'!AX$5:AX$66)</f>
        <v>0</v>
      </c>
      <c r="V44" s="3430">
        <f>_xlfn.XLOOKUP($Q44,'JUN STWO Watchbill'!$B$5:$B$66,'JUN STWO Watchbill'!AY$5:AY$66)</f>
        <v>0</v>
      </c>
      <c r="W44" s="3430">
        <f>_xlfn.XLOOKUP($Q44,'JUN STWO Watchbill'!$B$5:$B$66,'JUN STWO Watchbill'!AZ$5:AZ$66)</f>
        <v>0</v>
      </c>
      <c r="X44" s="3431">
        <f>SUM(S44:W44)</f>
        <v>2</v>
      </c>
      <c r="Y44" s="10"/>
      <c r="Z44" s="10"/>
      <c r="AA44" s="10"/>
      <c r="AB44" s="10"/>
      <c r="AC44" s="10"/>
      <c r="AD44" s="10"/>
    </row>
    <row r="45" spans="1:30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3336" t="s">
        <v>303</v>
      </c>
      <c r="R45" s="3337"/>
      <c r="S45" s="3430">
        <f>_xlfn.XLOOKUP($Q45,'JUN STWO Watchbill'!$B$5:$B$66,'JUN STWO Watchbill'!AV$5:AV$66)</f>
        <v>0</v>
      </c>
      <c r="T45" s="3430">
        <f>_xlfn.XLOOKUP($Q45,'JUN STWO Watchbill'!$B$5:$B$66,'JUN STWO Watchbill'!AW$5:AW$66)</f>
        <v>0</v>
      </c>
      <c r="U45" s="3430">
        <f>_xlfn.XLOOKUP($Q45,'JUN STWO Watchbill'!$B$5:$B$66,'JUN STWO Watchbill'!AX$5:AX$66)</f>
        <v>1</v>
      </c>
      <c r="V45" s="3430">
        <f>_xlfn.XLOOKUP($Q45,'JUN STWO Watchbill'!$B$5:$B$66,'JUN STWO Watchbill'!AY$5:AY$66)</f>
        <v>0</v>
      </c>
      <c r="W45" s="3430">
        <f>_xlfn.XLOOKUP($Q45,'JUN STWO Watchbill'!$B$5:$B$66,'JUN STWO Watchbill'!AZ$5:AZ$66)</f>
        <v>0</v>
      </c>
      <c r="X45" s="3431">
        <f>SUM(S45:W45)</f>
        <v>1</v>
      </c>
      <c r="Y45" s="10"/>
      <c r="Z45" s="10"/>
      <c r="AA45" s="10"/>
      <c r="AB45" s="10"/>
      <c r="AC45" s="10"/>
      <c r="AD45" s="10"/>
    </row>
    <row r="46" spans="1:30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3307" t="s">
        <v>532</v>
      </c>
      <c r="R46" s="3287"/>
      <c r="S46" s="3430">
        <f>_xlfn.XLOOKUP($Q46,'JUN STWO Watchbill'!$B$5:$B$66,'JUN STWO Watchbill'!AV$5:AV$66)</f>
        <v>1</v>
      </c>
      <c r="T46" s="3430">
        <f>_xlfn.XLOOKUP($Q46,'JUN STWO Watchbill'!$B$5:$B$66,'JUN STWO Watchbill'!AW$5:AW$66)</f>
        <v>0</v>
      </c>
      <c r="U46" s="3430">
        <f>_xlfn.XLOOKUP($Q46,'JUN STWO Watchbill'!$B$5:$B$66,'JUN STWO Watchbill'!AX$5:AX$66)</f>
        <v>0</v>
      </c>
      <c r="V46" s="3430">
        <f>_xlfn.XLOOKUP($Q46,'JUN STWO Watchbill'!$B$5:$B$66,'JUN STWO Watchbill'!AY$5:AY$66)</f>
        <v>1</v>
      </c>
      <c r="W46" s="3430">
        <f>_xlfn.XLOOKUP($Q46,'JUN STWO Watchbill'!$B$5:$B$66,'JUN STWO Watchbill'!AZ$5:AZ$66)</f>
        <v>0</v>
      </c>
      <c r="X46" s="3431">
        <f>SUM(S46:W46)</f>
        <v>2</v>
      </c>
      <c r="Y46" s="10"/>
      <c r="Z46" s="10"/>
      <c r="AA46" s="10"/>
      <c r="AB46" s="10"/>
      <c r="AC46" s="10"/>
      <c r="AD46" s="10"/>
    </row>
    <row r="47" spans="1:30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3343"/>
      <c r="O47" s="10"/>
      <c r="P47" s="10"/>
      <c r="Q47" s="3344" t="s">
        <v>1256</v>
      </c>
      <c r="R47" s="3345">
        <v>45748</v>
      </c>
      <c r="S47" s="3430"/>
      <c r="T47" s="3430"/>
      <c r="U47" s="3430"/>
      <c r="V47" s="3430"/>
      <c r="W47" s="3430"/>
      <c r="X47" s="3431"/>
      <c r="Y47" s="10"/>
      <c r="Z47" s="10"/>
      <c r="AA47" s="10"/>
      <c r="AB47" s="10"/>
      <c r="AC47" s="10"/>
      <c r="AD47" s="10"/>
    </row>
    <row r="48" spans="1:30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3343"/>
      <c r="O48" s="10"/>
      <c r="P48" s="10"/>
      <c r="Q48" s="10"/>
      <c r="R48" s="3267"/>
      <c r="S48" s="3346"/>
      <c r="T48" s="3346"/>
      <c r="U48" s="3346"/>
      <c r="V48" s="3346"/>
      <c r="W48" s="3346"/>
      <c r="X48" s="3346">
        <f>SUM(X4:X47)</f>
        <v>60</v>
      </c>
      <c r="Y48" s="10"/>
      <c r="Z48" s="10"/>
      <c r="AA48" s="10"/>
      <c r="AB48" s="10"/>
      <c r="AC48" s="10"/>
      <c r="AD48" s="10"/>
    </row>
    <row r="49" spans="1:30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3343"/>
      <c r="O49" s="10"/>
      <c r="P49" s="10"/>
      <c r="Q49" s="10"/>
      <c r="R49" s="3267"/>
      <c r="S49" s="3346"/>
      <c r="T49" s="3346"/>
      <c r="U49" s="3346"/>
      <c r="V49" s="3346"/>
      <c r="W49" s="3346"/>
      <c r="X49" s="3346"/>
      <c r="Y49" s="10"/>
      <c r="Z49" s="10"/>
      <c r="AA49" s="10"/>
      <c r="AB49" s="10"/>
      <c r="AC49" s="10"/>
      <c r="AD49" s="10"/>
    </row>
    <row r="50" spans="1:3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3343"/>
      <c r="O50" s="10"/>
      <c r="P50" s="10"/>
      <c r="Q50" s="3347"/>
      <c r="R50" s="3267"/>
      <c r="S50" s="3267"/>
      <c r="T50" s="3267"/>
      <c r="U50" s="3267"/>
      <c r="V50" s="3267"/>
      <c r="W50" s="3267"/>
      <c r="X50" s="3346"/>
      <c r="Y50" s="10"/>
      <c r="Z50" s="10"/>
      <c r="AA50" s="10"/>
      <c r="AB50" s="10"/>
      <c r="AC50" s="10"/>
      <c r="AD50" s="10"/>
    </row>
    <row r="51" spans="1:30" ht="15.75" customHeight="1">
      <c r="A51" s="10"/>
      <c r="B51" s="10"/>
      <c r="C51" s="10"/>
      <c r="D51" s="3221" t="s">
        <v>1349</v>
      </c>
      <c r="E51" s="6382" t="s">
        <v>1307</v>
      </c>
      <c r="F51" s="3221" t="s">
        <v>1350</v>
      </c>
      <c r="G51" s="6382" t="s">
        <v>1307</v>
      </c>
      <c r="H51" s="3166" t="s">
        <v>1351</v>
      </c>
      <c r="I51" s="6384" t="s">
        <v>1307</v>
      </c>
      <c r="J51" s="3221" t="s">
        <v>1352</v>
      </c>
      <c r="K51" s="10"/>
      <c r="L51" s="10"/>
      <c r="M51" s="10"/>
      <c r="N51" s="3348"/>
      <c r="O51" s="10"/>
      <c r="P51" s="10"/>
      <c r="Q51" s="3349" t="s">
        <v>1353</v>
      </c>
      <c r="R51" s="3440"/>
      <c r="S51" s="3267"/>
      <c r="T51" s="3267"/>
      <c r="U51" s="3267"/>
      <c r="V51" s="3267"/>
      <c r="W51" s="3267"/>
      <c r="X51" s="3346"/>
      <c r="Y51" s="10"/>
      <c r="Z51" s="10"/>
      <c r="AA51" s="10"/>
      <c r="AB51" s="10"/>
      <c r="AC51" s="10"/>
      <c r="AD51" s="10"/>
    </row>
    <row r="52" spans="1:30" ht="15.75" customHeight="1">
      <c r="A52" s="10"/>
      <c r="B52" s="10"/>
      <c r="C52" s="10"/>
      <c r="D52" s="3166"/>
      <c r="E52" s="6383"/>
      <c r="F52" s="3351" t="s">
        <v>1354</v>
      </c>
      <c r="G52" s="6383"/>
      <c r="H52" s="3166" t="s">
        <v>1313</v>
      </c>
      <c r="I52" s="6384"/>
      <c r="J52" s="3352" t="s">
        <v>1318</v>
      </c>
      <c r="K52" s="10"/>
      <c r="L52" s="3221" t="s">
        <v>1355</v>
      </c>
      <c r="M52" s="10"/>
      <c r="N52" s="3343"/>
      <c r="O52" s="10"/>
      <c r="P52" s="10"/>
      <c r="Q52" s="3353" t="s">
        <v>1356</v>
      </c>
      <c r="R52" s="3441"/>
      <c r="S52" s="3267"/>
      <c r="T52" s="3267"/>
      <c r="U52" s="3267"/>
      <c r="V52" s="3267"/>
      <c r="W52" s="3267"/>
      <c r="X52" s="3346"/>
      <c r="Y52" s="10"/>
      <c r="Z52" s="10"/>
      <c r="AA52" s="10"/>
      <c r="AB52" s="10"/>
      <c r="AC52" s="10"/>
      <c r="AD52" s="10"/>
    </row>
    <row r="53" spans="1:30" ht="15.75" customHeight="1">
      <c r="A53" s="10"/>
      <c r="B53" s="10"/>
      <c r="C53" s="10"/>
      <c r="D53" s="3166" t="s">
        <v>1357</v>
      </c>
      <c r="E53" s="3355" t="s">
        <v>1309</v>
      </c>
      <c r="F53" s="3356" t="s">
        <v>1358</v>
      </c>
      <c r="G53" s="3355" t="s">
        <v>1309</v>
      </c>
      <c r="H53" s="3166" t="s">
        <v>1359</v>
      </c>
      <c r="I53" s="3357" t="s">
        <v>1309</v>
      </c>
      <c r="J53" s="3291" t="s">
        <v>1360</v>
      </c>
      <c r="K53" s="10"/>
      <c r="L53" s="3221" t="s">
        <v>1352</v>
      </c>
      <c r="M53" s="10"/>
      <c r="N53" s="3343"/>
      <c r="O53" s="10"/>
      <c r="P53" s="10"/>
      <c r="Q53" s="3353" t="s">
        <v>1361</v>
      </c>
      <c r="R53" s="3442"/>
      <c r="S53" s="10"/>
      <c r="T53" s="10"/>
      <c r="U53" s="10"/>
      <c r="V53" s="10"/>
      <c r="W53" s="10"/>
      <c r="X53" s="3347"/>
      <c r="Y53" s="10"/>
      <c r="Z53" s="10"/>
      <c r="AA53" s="10"/>
      <c r="AB53" s="10"/>
      <c r="AC53" s="10"/>
      <c r="AD53" s="10"/>
    </row>
    <row r="54" spans="1:30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3221" t="s">
        <v>1362</v>
      </c>
      <c r="M54" s="10"/>
      <c r="N54" s="3359"/>
      <c r="O54" s="10"/>
      <c r="P54" s="10"/>
      <c r="Q54" s="6385" t="s">
        <v>1363</v>
      </c>
      <c r="R54" s="6386"/>
      <c r="S54" s="10"/>
      <c r="T54" s="10"/>
      <c r="U54" s="10"/>
      <c r="V54" s="10"/>
      <c r="W54" s="10"/>
      <c r="X54" s="3347"/>
      <c r="Y54" s="10"/>
      <c r="Z54" s="10"/>
      <c r="AA54" s="10"/>
      <c r="AB54" s="10"/>
      <c r="AC54" s="10"/>
      <c r="AD54" s="10"/>
    </row>
    <row r="55" spans="1:30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3221" t="s">
        <v>1364</v>
      </c>
      <c r="M55" s="10"/>
      <c r="N55" s="3221"/>
      <c r="O55" s="10"/>
      <c r="P55" s="10"/>
      <c r="Q55" s="10"/>
      <c r="R55" s="3267"/>
      <c r="S55" s="3347"/>
      <c r="T55" s="3347"/>
      <c r="U55" s="3347"/>
      <c r="V55" s="3347"/>
      <c r="W55" s="3347"/>
      <c r="X55" s="3347"/>
      <c r="Y55" s="10"/>
      <c r="Z55" s="10"/>
      <c r="AA55" s="10"/>
      <c r="AB55" s="10"/>
      <c r="AC55" s="10"/>
      <c r="AD55" s="10"/>
    </row>
    <row r="56" spans="1:30" ht="15.75" customHeight="1">
      <c r="A56" s="10"/>
      <c r="B56" s="10"/>
      <c r="C56" s="10"/>
      <c r="D56" s="3453"/>
      <c r="E56" s="10"/>
      <c r="F56" s="10"/>
      <c r="G56" s="10"/>
      <c r="H56" s="3360"/>
      <c r="I56" s="10"/>
      <c r="J56" s="10"/>
      <c r="K56" s="10"/>
      <c r="L56" s="3356" t="s">
        <v>1358</v>
      </c>
      <c r="M56" s="10"/>
      <c r="N56" s="3221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1:30" ht="15.75" customHeight="1">
      <c r="A57" s="10"/>
      <c r="B57" s="10"/>
      <c r="C57" s="10"/>
      <c r="D57" s="3166" t="s">
        <v>1313</v>
      </c>
      <c r="E57" s="10"/>
      <c r="F57" s="10"/>
      <c r="G57" s="10"/>
      <c r="H57" s="3166" t="s">
        <v>1313</v>
      </c>
      <c r="I57" s="1857"/>
      <c r="J57" s="10"/>
      <c r="K57" s="10"/>
      <c r="L57" s="3221" t="s">
        <v>1328</v>
      </c>
      <c r="M57" s="10"/>
      <c r="N57" s="3221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1:30" ht="15.75" customHeight="1">
      <c r="A58" s="10"/>
      <c r="B58" s="10"/>
      <c r="C58" s="10"/>
      <c r="D58" s="3455" t="s">
        <v>1318</v>
      </c>
      <c r="E58" s="10"/>
      <c r="F58" s="10"/>
      <c r="G58" s="10"/>
      <c r="H58" s="3309" t="s">
        <v>1318</v>
      </c>
      <c r="I58" s="3363"/>
      <c r="J58" s="10"/>
      <c r="K58" s="10"/>
      <c r="L58" s="3221" t="s">
        <v>1317</v>
      </c>
      <c r="M58" s="10"/>
      <c r="N58" s="3221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5.75" customHeight="1">
      <c r="A59" s="10"/>
      <c r="B59" s="10"/>
      <c r="C59" s="10"/>
      <c r="D59" s="3452" t="s">
        <v>1308</v>
      </c>
      <c r="E59" s="10"/>
      <c r="F59" s="10"/>
      <c r="G59" s="10"/>
      <c r="H59" s="3284" t="s">
        <v>1308</v>
      </c>
      <c r="I59" s="3363"/>
      <c r="J59" s="10"/>
      <c r="K59" s="10"/>
      <c r="L59" s="3221" t="s">
        <v>1357</v>
      </c>
      <c r="M59" s="10"/>
      <c r="N59" s="3221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5.75" customHeight="1">
      <c r="A60" s="10"/>
      <c r="B60" s="10"/>
      <c r="C60" s="10"/>
      <c r="D60" s="3452" t="s">
        <v>1328</v>
      </c>
      <c r="E60" s="10"/>
      <c r="F60" s="10"/>
      <c r="G60" s="10"/>
      <c r="H60" s="3284" t="s">
        <v>1328</v>
      </c>
      <c r="I60" s="3363"/>
      <c r="J60" s="10"/>
      <c r="K60" s="10"/>
      <c r="L60" s="3221" t="s">
        <v>1365</v>
      </c>
      <c r="M60" s="10"/>
      <c r="N60" s="3221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5.75" customHeight="1">
      <c r="A61" s="10"/>
      <c r="B61" s="10"/>
      <c r="C61" s="10"/>
      <c r="D61" s="3453" t="s">
        <v>1317</v>
      </c>
      <c r="E61" s="10"/>
      <c r="F61" s="10"/>
      <c r="G61" s="10"/>
      <c r="H61" s="3166" t="s">
        <v>1317</v>
      </c>
      <c r="I61" s="3363"/>
      <c r="J61" s="10"/>
      <c r="K61" s="10"/>
      <c r="L61" s="3221" t="s">
        <v>1366</v>
      </c>
      <c r="M61" s="10"/>
      <c r="N61" s="3221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5.75" customHeight="1">
      <c r="A62" s="10"/>
      <c r="B62" s="10"/>
      <c r="C62" s="10"/>
      <c r="D62" s="3453" t="s">
        <v>1319</v>
      </c>
      <c r="E62" s="10"/>
      <c r="F62" s="10"/>
      <c r="G62" s="10"/>
      <c r="H62" s="3166" t="s">
        <v>1319</v>
      </c>
      <c r="I62" s="3363"/>
      <c r="J62" s="10"/>
      <c r="K62" s="10"/>
      <c r="L62" s="3221" t="s">
        <v>1367</v>
      </c>
      <c r="M62" s="10"/>
      <c r="N62" s="3221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5.75" customHeight="1">
      <c r="A63" s="10"/>
      <c r="B63" s="10"/>
      <c r="C63" s="10"/>
      <c r="D63" s="3453" t="s">
        <v>1368</v>
      </c>
      <c r="E63" s="10"/>
      <c r="F63" s="10"/>
      <c r="G63" s="10"/>
      <c r="H63" s="3166" t="s">
        <v>1368</v>
      </c>
      <c r="I63" s="3363"/>
      <c r="J63" s="10"/>
      <c r="K63" s="10"/>
      <c r="L63" s="3221" t="s">
        <v>1359</v>
      </c>
      <c r="M63" s="10"/>
      <c r="N63" s="3221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5.75" customHeight="1">
      <c r="A64" s="10"/>
      <c r="B64" s="10"/>
      <c r="C64" s="10"/>
      <c r="D64" s="3453" t="s">
        <v>1330</v>
      </c>
      <c r="E64" s="10"/>
      <c r="F64" s="10"/>
      <c r="G64" s="10"/>
      <c r="H64" s="3166" t="s">
        <v>1330</v>
      </c>
      <c r="I64" s="3363"/>
      <c r="J64" s="10"/>
      <c r="K64" s="10"/>
      <c r="L64" s="3221" t="s">
        <v>1369</v>
      </c>
      <c r="M64" s="10"/>
      <c r="N64" s="3221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5.75" customHeight="1">
      <c r="A65" s="10"/>
      <c r="B65" s="10"/>
      <c r="C65" s="10"/>
      <c r="D65" s="3453" t="s">
        <v>1315</v>
      </c>
      <c r="E65" s="10"/>
      <c r="F65" s="10"/>
      <c r="G65" s="10"/>
      <c r="H65" s="3166" t="s">
        <v>1315</v>
      </c>
      <c r="I65" s="3363"/>
      <c r="J65" s="10"/>
      <c r="K65" s="10"/>
      <c r="L65" s="3221" t="s">
        <v>1312</v>
      </c>
      <c r="M65" s="10"/>
      <c r="N65" s="3221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5.75" customHeight="1">
      <c r="A66" s="10"/>
      <c r="B66" s="10"/>
      <c r="C66" s="10"/>
      <c r="D66" s="3454" t="s">
        <v>1324</v>
      </c>
      <c r="E66" s="10"/>
      <c r="F66" s="10"/>
      <c r="G66" s="10"/>
      <c r="H66" s="3163" t="s">
        <v>1324</v>
      </c>
      <c r="I66" s="3363"/>
      <c r="J66" s="10"/>
      <c r="K66" s="10"/>
      <c r="L66" s="3221" t="s">
        <v>1327</v>
      </c>
      <c r="M66" s="10"/>
      <c r="N66" s="3221" t="s">
        <v>1038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5.75" customHeight="1">
      <c r="A67" s="10"/>
      <c r="B67" s="10"/>
      <c r="C67" s="10"/>
      <c r="D67" s="3453" t="s">
        <v>1329</v>
      </c>
      <c r="E67" s="10"/>
      <c r="F67" s="10"/>
      <c r="G67" s="10"/>
      <c r="H67" s="3166" t="s">
        <v>1329</v>
      </c>
      <c r="I67" s="3363"/>
      <c r="J67" s="10"/>
      <c r="K67" s="10"/>
      <c r="L67" s="3221" t="s">
        <v>1331</v>
      </c>
      <c r="M67" s="10"/>
      <c r="N67" s="3221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5.75" customHeight="1">
      <c r="A68" s="10"/>
      <c r="B68" s="10"/>
      <c r="C68" s="10"/>
      <c r="D68" s="3453" t="s">
        <v>1316</v>
      </c>
      <c r="E68" s="10"/>
      <c r="F68" s="10"/>
      <c r="G68" s="10"/>
      <c r="H68" s="3166" t="s">
        <v>1316</v>
      </c>
      <c r="I68" s="3366"/>
      <c r="J68" s="10"/>
      <c r="K68" s="10"/>
      <c r="L68" s="3221" t="s">
        <v>1370</v>
      </c>
      <c r="M68" s="10"/>
      <c r="N68" s="3221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5.75" customHeight="1">
      <c r="A69" s="10"/>
      <c r="B69" s="10"/>
      <c r="C69" s="10"/>
      <c r="D69" s="3453" t="s">
        <v>1416</v>
      </c>
      <c r="E69" s="10"/>
      <c r="F69" s="10"/>
      <c r="G69" s="10"/>
      <c r="H69" s="10"/>
      <c r="I69" s="10"/>
      <c r="J69" s="10"/>
      <c r="K69" s="10"/>
      <c r="L69" s="3221" t="s">
        <v>1371</v>
      </c>
      <c r="M69" s="10"/>
      <c r="N69" s="3221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5.75" customHeight="1">
      <c r="A70" s="10"/>
      <c r="B70" s="10"/>
      <c r="C70" s="10"/>
      <c r="D70" s="3453" t="s">
        <v>1417</v>
      </c>
      <c r="E70" s="10"/>
      <c r="F70" s="10"/>
      <c r="G70" s="10"/>
      <c r="H70" s="10"/>
      <c r="I70" s="10"/>
      <c r="J70" s="10"/>
      <c r="K70" s="10"/>
      <c r="L70" s="3221" t="s">
        <v>1372</v>
      </c>
      <c r="M70" s="10"/>
      <c r="N70" s="3221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5.75" customHeight="1">
      <c r="A71" s="10"/>
      <c r="B71" s="10"/>
      <c r="C71" s="10"/>
      <c r="D71" s="3453" t="s">
        <v>1411</v>
      </c>
      <c r="E71" s="10"/>
      <c r="F71" s="10"/>
      <c r="G71" s="10"/>
      <c r="H71" s="10"/>
      <c r="I71" s="10"/>
      <c r="J71" s="10"/>
      <c r="K71" s="10"/>
      <c r="L71" s="3221" t="s">
        <v>1373</v>
      </c>
      <c r="M71" s="10"/>
      <c r="N71" s="3221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5.75" customHeight="1">
      <c r="A72" s="10"/>
      <c r="B72" s="10"/>
      <c r="C72" s="10"/>
      <c r="D72" s="3453"/>
      <c r="E72" s="10"/>
      <c r="F72" s="10"/>
      <c r="G72" s="10"/>
      <c r="H72" s="10"/>
      <c r="I72" s="10"/>
      <c r="J72" s="10"/>
      <c r="K72" s="10"/>
      <c r="L72" s="3221" t="s">
        <v>1374</v>
      </c>
      <c r="M72" s="10"/>
      <c r="N72" s="3221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5.75" customHeight="1">
      <c r="A73" s="10"/>
      <c r="B73" s="10"/>
      <c r="C73" s="10"/>
      <c r="D73" s="3453"/>
      <c r="E73" s="10"/>
      <c r="F73" s="10"/>
      <c r="G73" s="10"/>
      <c r="H73" s="10"/>
      <c r="I73" s="10"/>
      <c r="J73" s="10"/>
      <c r="K73" s="10"/>
      <c r="L73" s="3221" t="s">
        <v>1349</v>
      </c>
      <c r="M73" s="10"/>
      <c r="N73" s="322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5.75" customHeight="1">
      <c r="A74" s="10"/>
      <c r="B74" s="10"/>
      <c r="C74" s="10"/>
      <c r="D74" s="3453"/>
      <c r="E74" s="10"/>
      <c r="F74" s="10"/>
      <c r="G74" s="10"/>
      <c r="H74" s="10"/>
      <c r="I74" s="10"/>
      <c r="J74" s="10"/>
      <c r="K74" s="10"/>
      <c r="L74" s="3221" t="s">
        <v>1375</v>
      </c>
      <c r="M74" s="10"/>
      <c r="N74" s="322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5.75" customHeight="1">
      <c r="A75" s="10"/>
      <c r="B75" s="10"/>
      <c r="C75" s="10"/>
      <c r="D75" s="3453"/>
      <c r="E75" s="10"/>
      <c r="F75" s="10"/>
      <c r="G75" s="10"/>
      <c r="H75" s="10"/>
      <c r="I75" s="10"/>
      <c r="J75" s="10"/>
      <c r="K75" s="10"/>
      <c r="L75" s="3221" t="s">
        <v>1376</v>
      </c>
      <c r="M75" s="10"/>
      <c r="N75" s="322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5.75" customHeight="1">
      <c r="A76" s="10"/>
      <c r="B76" s="10"/>
      <c r="C76" s="10"/>
      <c r="D76" s="3453"/>
      <c r="E76" s="10"/>
      <c r="F76" s="10"/>
      <c r="G76" s="10"/>
      <c r="H76" s="10"/>
      <c r="I76" s="10"/>
      <c r="J76" s="10"/>
      <c r="K76" s="10"/>
      <c r="L76" s="3221" t="s">
        <v>1377</v>
      </c>
      <c r="M76" s="10"/>
      <c r="N76" s="322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5.75" customHeight="1">
      <c r="A77" s="10"/>
      <c r="B77" s="10"/>
      <c r="C77" s="10"/>
      <c r="D77" s="3453"/>
      <c r="E77" s="10"/>
      <c r="F77" s="10"/>
      <c r="G77" s="10"/>
      <c r="H77" s="10"/>
      <c r="I77" s="10"/>
      <c r="J77" s="10"/>
      <c r="K77" s="10"/>
      <c r="L77" s="3221" t="s">
        <v>1378</v>
      </c>
      <c r="M77" s="10"/>
      <c r="N77" s="322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5.75" customHeight="1">
      <c r="A78" s="10"/>
      <c r="B78" s="10"/>
      <c r="C78" s="10"/>
      <c r="D78" s="3453"/>
      <c r="E78" s="10"/>
      <c r="F78" s="10"/>
      <c r="G78" s="10"/>
      <c r="H78" s="10"/>
      <c r="I78" s="10"/>
      <c r="J78" s="10"/>
      <c r="K78" s="10"/>
      <c r="L78" s="3221" t="s">
        <v>1379</v>
      </c>
      <c r="M78" s="10"/>
      <c r="N78" s="3367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5.75" customHeight="1">
      <c r="A79" s="10"/>
      <c r="B79" s="10"/>
      <c r="C79" s="10"/>
      <c r="D79" s="3343"/>
      <c r="E79" s="10"/>
      <c r="F79" s="10"/>
      <c r="G79" s="10"/>
      <c r="H79" s="10"/>
      <c r="I79" s="10"/>
      <c r="J79" s="10"/>
      <c r="K79" s="10"/>
      <c r="L79" s="3221" t="s">
        <v>1351</v>
      </c>
      <c r="M79" s="10"/>
      <c r="N79" s="3364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5.75" customHeight="1">
      <c r="A80" s="10"/>
      <c r="B80" s="10"/>
      <c r="C80" s="10"/>
      <c r="D80" s="3343"/>
      <c r="E80" s="10"/>
      <c r="F80" s="10"/>
      <c r="G80" s="10"/>
      <c r="H80" s="10"/>
      <c r="I80" s="10"/>
      <c r="J80" s="10"/>
      <c r="K80" s="10"/>
      <c r="L80" s="3221" t="s">
        <v>1380</v>
      </c>
      <c r="M80" s="10"/>
      <c r="N80" s="3359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3221" t="s">
        <v>1350</v>
      </c>
      <c r="M81" s="10"/>
      <c r="N81" s="3368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3221" t="s">
        <v>1354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3367" t="s">
        <v>1360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3364" t="s">
        <v>1381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3359" t="s">
        <v>1382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3368" t="s">
        <v>1383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 ht="15.7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 ht="15.75" customHeight="1"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 ht="15.75" customHeight="1">
      <c r="J974" s="567"/>
      <c r="K974" s="567"/>
      <c r="L974" s="567"/>
      <c r="M974" s="567"/>
      <c r="N974" s="567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5.75" customHeight="1"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O976" s="567"/>
      <c r="P976" s="567"/>
      <c r="Q976" s="10"/>
      <c r="R976" s="567"/>
      <c r="S976" s="10"/>
      <c r="T976" s="10"/>
      <c r="U976" s="10"/>
      <c r="V976" s="10"/>
      <c r="W976" s="10"/>
      <c r="X976" s="10"/>
      <c r="Y976" s="567"/>
      <c r="Z976" s="567"/>
      <c r="AA976" s="567"/>
      <c r="AB976" s="567"/>
      <c r="AC976" s="567"/>
      <c r="AD976" s="567"/>
    </row>
    <row r="977" spans="17:24" ht="15" customHeight="1">
      <c r="Q977" s="10"/>
      <c r="S977" s="10"/>
      <c r="T977" s="10"/>
      <c r="U977" s="10"/>
      <c r="V977" s="10"/>
      <c r="W977" s="10"/>
      <c r="X977" s="10"/>
    </row>
    <row r="978" spans="17:24" ht="15" customHeight="1">
      <c r="Q978" s="567"/>
      <c r="S978" s="10"/>
      <c r="T978" s="10"/>
      <c r="U978" s="10"/>
      <c r="V978" s="10"/>
      <c r="W978" s="10"/>
      <c r="X978" s="10"/>
    </row>
    <row r="979" spans="17:24" ht="15" customHeight="1">
      <c r="S979" s="567"/>
      <c r="T979" s="567"/>
      <c r="U979" s="567"/>
      <c r="V979" s="567"/>
      <c r="W979" s="567"/>
      <c r="X979" s="567"/>
    </row>
  </sheetData>
  <mergeCells count="96">
    <mergeCell ref="A1:N1"/>
    <mergeCell ref="A2:N2"/>
    <mergeCell ref="A3:B3"/>
    <mergeCell ref="C3:D3"/>
    <mergeCell ref="E3:F3"/>
    <mergeCell ref="G3:H3"/>
    <mergeCell ref="I3:J3"/>
    <mergeCell ref="K3:L3"/>
    <mergeCell ref="M3:N3"/>
    <mergeCell ref="G4:H4"/>
    <mergeCell ref="I4:J4"/>
    <mergeCell ref="K4:L4"/>
    <mergeCell ref="M4:N4"/>
    <mergeCell ref="A10:B10"/>
    <mergeCell ref="C10:D10"/>
    <mergeCell ref="E4:F4"/>
    <mergeCell ref="A5:A6"/>
    <mergeCell ref="C5:C6"/>
    <mergeCell ref="E5:E6"/>
    <mergeCell ref="A9:B9"/>
    <mergeCell ref="A4:B4"/>
    <mergeCell ref="C4:D4"/>
    <mergeCell ref="E10:F10"/>
    <mergeCell ref="G5:G6"/>
    <mergeCell ref="I5:I6"/>
    <mergeCell ref="K5:K6"/>
    <mergeCell ref="M5:M6"/>
    <mergeCell ref="G9:H9"/>
    <mergeCell ref="I9:J9"/>
    <mergeCell ref="K9:L9"/>
    <mergeCell ref="M9:N9"/>
    <mergeCell ref="G10:H10"/>
    <mergeCell ref="I10:J10"/>
    <mergeCell ref="K10:L10"/>
    <mergeCell ref="M10:N10"/>
    <mergeCell ref="K11:K12"/>
    <mergeCell ref="M11:M12"/>
    <mergeCell ref="G11:G12"/>
    <mergeCell ref="I11:I12"/>
    <mergeCell ref="A11:A12"/>
    <mergeCell ref="C11:C12"/>
    <mergeCell ref="E11:E12"/>
    <mergeCell ref="A16:B16"/>
    <mergeCell ref="C16:D16"/>
    <mergeCell ref="E16:F16"/>
    <mergeCell ref="G15:H15"/>
    <mergeCell ref="I15:J15"/>
    <mergeCell ref="K15:L15"/>
    <mergeCell ref="M15:N15"/>
    <mergeCell ref="G16:H16"/>
    <mergeCell ref="I16:J16"/>
    <mergeCell ref="K16:L16"/>
    <mergeCell ref="M16:N16"/>
    <mergeCell ref="G17:G18"/>
    <mergeCell ref="I17:I18"/>
    <mergeCell ref="K17:K18"/>
    <mergeCell ref="M17:M18"/>
    <mergeCell ref="A23:A24"/>
    <mergeCell ref="C23:C24"/>
    <mergeCell ref="E23:E24"/>
    <mergeCell ref="M23:M24"/>
    <mergeCell ref="K22:L22"/>
    <mergeCell ref="M22:N22"/>
    <mergeCell ref="K23:K24"/>
    <mergeCell ref="A17:A18"/>
    <mergeCell ref="C17:C18"/>
    <mergeCell ref="E17:E18"/>
    <mergeCell ref="A29:A30"/>
    <mergeCell ref="C29:C30"/>
    <mergeCell ref="G21:H21"/>
    <mergeCell ref="G22:H22"/>
    <mergeCell ref="I22:J22"/>
    <mergeCell ref="A28:B28"/>
    <mergeCell ref="A22:B22"/>
    <mergeCell ref="C22:D22"/>
    <mergeCell ref="E22:F22"/>
    <mergeCell ref="A27:B27"/>
    <mergeCell ref="C28:D28"/>
    <mergeCell ref="G23:G24"/>
    <mergeCell ref="I23:I24"/>
    <mergeCell ref="E51:E52"/>
    <mergeCell ref="G51:G52"/>
    <mergeCell ref="I51:I52"/>
    <mergeCell ref="Q54:R54"/>
    <mergeCell ref="I21:N21"/>
    <mergeCell ref="A38:I38"/>
    <mergeCell ref="A39:I39"/>
    <mergeCell ref="A40:I40"/>
    <mergeCell ref="A41:I41"/>
    <mergeCell ref="A42:I42"/>
    <mergeCell ref="A44:N44"/>
    <mergeCell ref="K27:L27"/>
    <mergeCell ref="M27:N27"/>
    <mergeCell ref="A33:B33"/>
    <mergeCell ref="A36:I36"/>
    <mergeCell ref="A37:I37"/>
  </mergeCells>
  <pageMargins left="0.25" right="0.25" top="0.75" bottom="0.75" header="0.3" footer="0.3"/>
  <pageSetup scale="61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0F48-BD34-4E35-9097-C32BD024689D}">
  <dimension ref="A1:BH72"/>
  <sheetViews>
    <sheetView zoomScale="80" zoomScaleNormal="80" workbookViewId="0">
      <pane xSplit="2" topLeftCell="D1" activePane="topRight" state="frozen"/>
      <selection pane="topRight" activeCell="AA49" sqref="AA49"/>
    </sheetView>
  </sheetViews>
  <sheetFormatPr defaultColWidth="9.140625" defaultRowHeight="15"/>
  <cols>
    <col min="1" max="1" width="11.140625" customWidth="1"/>
    <col min="2" max="2" width="11.42578125" bestFit="1" customWidth="1"/>
    <col min="3" max="3" width="27" hidden="1" customWidth="1"/>
    <col min="4" max="21" width="9.140625" bestFit="1" customWidth="1"/>
    <col min="22" max="22" width="9.42578125" customWidth="1"/>
    <col min="23" max="34" width="9.140625" bestFit="1" customWidth="1"/>
    <col min="35" max="35" width="8.85546875" customWidth="1"/>
    <col min="36" max="36" width="12.7109375" customWidth="1"/>
    <col min="37" max="37" width="10" customWidth="1"/>
    <col min="38" max="38" width="7.42578125" customWidth="1"/>
    <col min="39" max="39" width="10.140625" customWidth="1"/>
    <col min="40" max="41" width="8.85546875" customWidth="1"/>
    <col min="42" max="42" width="11.7109375" customWidth="1"/>
    <col min="43" max="43" width="12.28515625" bestFit="1" customWidth="1"/>
    <col min="44" max="44" width="14.7109375" customWidth="1"/>
    <col min="45" max="45" width="7.28515625" customWidth="1"/>
    <col min="46" max="46" width="15.42578125" bestFit="1" customWidth="1"/>
    <col min="47" max="47" width="9.140625" bestFit="1" customWidth="1"/>
    <col min="48" max="48" width="12.85546875" bestFit="1" customWidth="1"/>
    <col min="49" max="49" width="14.42578125" bestFit="1" customWidth="1"/>
    <col min="50" max="50" width="10.28515625" bestFit="1" customWidth="1"/>
    <col min="51" max="51" width="20.7109375" bestFit="1" customWidth="1"/>
    <col min="52" max="52" width="12.42578125" bestFit="1" customWidth="1"/>
    <col min="53" max="53" width="13.7109375" bestFit="1" customWidth="1"/>
    <col min="54" max="54" width="18.28515625" bestFit="1" customWidth="1"/>
  </cols>
  <sheetData>
    <row r="1" spans="1:60">
      <c r="A1" s="6281"/>
      <c r="B1" s="6281"/>
      <c r="C1" s="3369"/>
      <c r="D1" s="6478">
        <v>0</v>
      </c>
      <c r="E1" s="6479"/>
      <c r="F1" s="6479"/>
      <c r="G1" s="6479"/>
      <c r="H1" s="6479"/>
      <c r="I1" s="6479"/>
      <c r="J1" s="6479"/>
      <c r="K1" s="6479"/>
      <c r="L1" s="6479"/>
      <c r="M1" s="6479"/>
      <c r="N1" s="6479"/>
      <c r="O1" s="6479"/>
      <c r="P1" s="6479"/>
      <c r="Q1" s="6479"/>
      <c r="R1" s="6479"/>
      <c r="S1" s="6479"/>
      <c r="T1" s="6479"/>
      <c r="U1" s="6479"/>
      <c r="V1" s="6479"/>
      <c r="W1" s="6479"/>
      <c r="X1" s="6479"/>
      <c r="Y1" s="6479"/>
      <c r="Z1" s="6479"/>
      <c r="AA1" s="6479"/>
      <c r="AB1" s="6479"/>
      <c r="AC1" s="6479"/>
      <c r="AD1" s="6479"/>
      <c r="AE1" s="6479"/>
      <c r="AF1" s="6479"/>
      <c r="AG1" s="6479"/>
      <c r="AH1" s="6479"/>
      <c r="AJ1" s="6221" t="s">
        <v>1113</v>
      </c>
      <c r="AK1" s="6221"/>
      <c r="AL1" s="6221"/>
      <c r="AM1" s="6221"/>
      <c r="AN1" s="6221"/>
      <c r="AO1" s="6221"/>
      <c r="AP1" s="6221"/>
      <c r="AQ1" s="6221"/>
      <c r="AR1" s="6221"/>
      <c r="AS1" s="6221"/>
      <c r="AT1" s="6221"/>
      <c r="AU1" s="6221"/>
      <c r="AV1" s="6221"/>
      <c r="AW1" s="6221"/>
      <c r="AX1" s="6221"/>
      <c r="AY1" s="6221"/>
      <c r="AZ1" s="6221"/>
      <c r="BA1" s="6221"/>
      <c r="BB1" s="6221"/>
      <c r="BC1" s="6221"/>
      <c r="BD1" s="6221"/>
      <c r="BE1" s="6221"/>
      <c r="BF1" s="6221"/>
      <c r="BG1" s="6221"/>
      <c r="BH1" s="6221"/>
    </row>
    <row r="2" spans="1:60">
      <c r="A2" s="6284"/>
      <c r="B2" s="6284"/>
      <c r="C2" s="3705"/>
      <c r="D2" s="3588">
        <v>1</v>
      </c>
      <c r="E2" s="3588">
        <v>2</v>
      </c>
      <c r="F2" s="3588">
        <v>3</v>
      </c>
      <c r="G2" s="3588">
        <v>4</v>
      </c>
      <c r="H2" s="3588">
        <v>5</v>
      </c>
      <c r="I2" s="3588">
        <v>6</v>
      </c>
      <c r="J2" s="3588">
        <v>7</v>
      </c>
      <c r="K2" s="3588">
        <v>8</v>
      </c>
      <c r="L2" s="3588">
        <v>9</v>
      </c>
      <c r="M2" s="3588">
        <v>10</v>
      </c>
      <c r="N2" s="3588">
        <v>11</v>
      </c>
      <c r="O2" s="3588">
        <v>12</v>
      </c>
      <c r="P2" s="3588">
        <v>13</v>
      </c>
      <c r="Q2" s="3588">
        <v>14</v>
      </c>
      <c r="R2" s="3588">
        <v>15</v>
      </c>
      <c r="S2" s="3588">
        <v>16</v>
      </c>
      <c r="T2" s="3588">
        <v>17</v>
      </c>
      <c r="U2" s="3588">
        <v>18</v>
      </c>
      <c r="V2" s="3588">
        <v>19</v>
      </c>
      <c r="W2" s="3588">
        <v>20</v>
      </c>
      <c r="X2" s="3588">
        <v>21</v>
      </c>
      <c r="Y2" s="3588">
        <v>22</v>
      </c>
      <c r="Z2" s="3588">
        <v>23</v>
      </c>
      <c r="AA2" s="3588">
        <v>24</v>
      </c>
      <c r="AB2" s="3588">
        <v>25</v>
      </c>
      <c r="AC2" s="3588">
        <v>26</v>
      </c>
      <c r="AD2" s="3588">
        <v>27</v>
      </c>
      <c r="AE2" s="3588">
        <v>28</v>
      </c>
      <c r="AF2" s="3588">
        <v>29</v>
      </c>
      <c r="AG2" s="3588">
        <v>30</v>
      </c>
      <c r="AH2" s="2867">
        <v>31</v>
      </c>
    </row>
    <row r="3" spans="1:60">
      <c r="A3" s="6285"/>
      <c r="B3" s="6285"/>
      <c r="C3" s="3706"/>
      <c r="D3" s="3485" t="s">
        <v>33</v>
      </c>
      <c r="E3" s="3485" t="s">
        <v>34</v>
      </c>
      <c r="F3" s="3485" t="s">
        <v>33</v>
      </c>
      <c r="G3" s="3486" t="s">
        <v>35</v>
      </c>
      <c r="H3" s="3486" t="s">
        <v>36</v>
      </c>
      <c r="I3" s="3486" t="s">
        <v>36</v>
      </c>
      <c r="J3" s="3487" t="s">
        <v>37</v>
      </c>
      <c r="K3" s="3485" t="s">
        <v>33</v>
      </c>
      <c r="L3" s="3485" t="s">
        <v>34</v>
      </c>
      <c r="M3" s="3488" t="s">
        <v>33</v>
      </c>
      <c r="N3" s="3588" t="s">
        <v>35</v>
      </c>
      <c r="O3" s="1267" t="s">
        <v>36</v>
      </c>
      <c r="P3" s="1267" t="s">
        <v>36</v>
      </c>
      <c r="Q3" s="3588" t="s">
        <v>37</v>
      </c>
      <c r="R3" s="2942" t="s">
        <v>33</v>
      </c>
      <c r="S3" s="2942" t="s">
        <v>34</v>
      </c>
      <c r="T3" s="3588" t="s">
        <v>33</v>
      </c>
      <c r="U3" s="3588" t="s">
        <v>35</v>
      </c>
      <c r="V3" s="1267" t="s">
        <v>36</v>
      </c>
      <c r="W3" s="1267" t="s">
        <v>36</v>
      </c>
      <c r="X3" s="3588" t="s">
        <v>37</v>
      </c>
      <c r="Y3" s="2942" t="s">
        <v>33</v>
      </c>
      <c r="Z3" s="2942" t="s">
        <v>34</v>
      </c>
      <c r="AA3" s="3588" t="s">
        <v>33</v>
      </c>
      <c r="AB3" s="3588" t="s">
        <v>35</v>
      </c>
      <c r="AC3" s="1267" t="s">
        <v>36</v>
      </c>
      <c r="AD3" s="1267" t="s">
        <v>36</v>
      </c>
      <c r="AE3" s="3588" t="s">
        <v>37</v>
      </c>
      <c r="AF3" s="2942" t="s">
        <v>33</v>
      </c>
      <c r="AG3" s="2942" t="s">
        <v>34</v>
      </c>
      <c r="AH3" s="3489" t="s">
        <v>33</v>
      </c>
      <c r="AJ3" s="4289" t="s">
        <v>1115</v>
      </c>
      <c r="AK3" s="4289"/>
      <c r="AL3" s="4289"/>
      <c r="AM3" s="4289"/>
      <c r="AN3" s="4289"/>
      <c r="AO3" s="4289"/>
      <c r="AP3" s="4289"/>
      <c r="AQ3" s="4289"/>
      <c r="AR3" s="4289"/>
      <c r="AS3" s="4289"/>
      <c r="AT3" s="4289"/>
      <c r="AV3" s="4289" t="s">
        <v>1116</v>
      </c>
      <c r="AW3" s="4289"/>
      <c r="AX3" s="4289"/>
      <c r="AY3" s="4289"/>
      <c r="AZ3" s="4289"/>
      <c r="BA3" s="4289"/>
      <c r="BB3" s="4289"/>
      <c r="BD3" t="s">
        <v>1135</v>
      </c>
    </row>
    <row r="4" spans="1:60">
      <c r="A4" s="6220" t="s">
        <v>1117</v>
      </c>
      <c r="B4" s="6220"/>
      <c r="C4" s="3702"/>
      <c r="D4" s="3155">
        <v>0</v>
      </c>
      <c r="E4" s="3155">
        <v>0</v>
      </c>
      <c r="F4" s="3155">
        <v>1</v>
      </c>
      <c r="G4" s="3155">
        <v>2</v>
      </c>
      <c r="H4" s="3155">
        <v>2</v>
      </c>
      <c r="I4" s="3155">
        <v>2</v>
      </c>
      <c r="J4" s="3155">
        <v>3</v>
      </c>
      <c r="K4" s="3155">
        <v>0</v>
      </c>
      <c r="L4" s="3155">
        <v>0</v>
      </c>
      <c r="M4" s="3155">
        <v>0</v>
      </c>
      <c r="N4" s="3155">
        <v>1</v>
      </c>
      <c r="O4" s="3155">
        <v>2</v>
      </c>
      <c r="P4" s="3155">
        <v>3</v>
      </c>
      <c r="Q4" s="3386">
        <v>0</v>
      </c>
      <c r="R4" s="3386">
        <v>0</v>
      </c>
      <c r="S4" s="3386">
        <v>0</v>
      </c>
      <c r="T4" s="3386">
        <v>0</v>
      </c>
      <c r="U4" s="3386">
        <v>1</v>
      </c>
      <c r="V4" s="3386">
        <v>2</v>
      </c>
      <c r="W4" s="3386">
        <v>3</v>
      </c>
      <c r="X4" s="3386">
        <v>0</v>
      </c>
      <c r="Y4" s="3386">
        <v>0</v>
      </c>
      <c r="Z4" s="3386">
        <v>0</v>
      </c>
      <c r="AA4" s="3386">
        <v>0</v>
      </c>
      <c r="AB4" s="3386">
        <v>1</v>
      </c>
      <c r="AC4" s="3386">
        <v>2</v>
      </c>
      <c r="AD4" s="3386">
        <v>3</v>
      </c>
      <c r="AE4" s="3386">
        <v>0</v>
      </c>
      <c r="AF4" s="3386">
        <v>0</v>
      </c>
      <c r="AG4" s="3386">
        <v>0</v>
      </c>
      <c r="AH4">
        <v>0</v>
      </c>
      <c r="AI4" t="s">
        <v>1213</v>
      </c>
      <c r="AJ4" t="s">
        <v>1118</v>
      </c>
      <c r="AK4" t="s">
        <v>1119</v>
      </c>
      <c r="AL4" t="s">
        <v>1120</v>
      </c>
      <c r="AM4" t="s">
        <v>1121</v>
      </c>
      <c r="AN4" t="s">
        <v>1122</v>
      </c>
      <c r="AO4" t="s">
        <v>1123</v>
      </c>
      <c r="AP4" t="s">
        <v>1124</v>
      </c>
      <c r="AQ4" t="s">
        <v>1125</v>
      </c>
      <c r="AR4" t="s">
        <v>1126</v>
      </c>
      <c r="AS4" t="s">
        <v>1214</v>
      </c>
      <c r="AT4" t="s">
        <v>1127</v>
      </c>
      <c r="AV4" t="s">
        <v>1128</v>
      </c>
      <c r="AW4" t="s">
        <v>1129</v>
      </c>
      <c r="AX4" t="s">
        <v>1130</v>
      </c>
      <c r="AY4" t="s">
        <v>1131</v>
      </c>
      <c r="AZ4" t="s">
        <v>1132</v>
      </c>
      <c r="BA4" t="s">
        <v>1133</v>
      </c>
      <c r="BB4" t="s">
        <v>1134</v>
      </c>
    </row>
    <row r="5" spans="1:60" ht="15.75" customHeight="1">
      <c r="A5" s="266"/>
      <c r="B5" s="266"/>
      <c r="C5" s="266"/>
      <c r="D5" s="461"/>
      <c r="E5" s="461"/>
      <c r="F5" s="6480" t="s">
        <v>1418</v>
      </c>
      <c r="G5" s="6481"/>
      <c r="H5" s="6481"/>
      <c r="I5" s="6481"/>
      <c r="J5" s="6481"/>
      <c r="K5" s="6481"/>
      <c r="L5" s="6481"/>
      <c r="M5" s="6481"/>
      <c r="N5" s="6481"/>
      <c r="O5" s="6481"/>
      <c r="P5" s="6481"/>
      <c r="Q5" s="6481"/>
      <c r="R5" s="6481"/>
      <c r="S5" s="6481"/>
      <c r="T5" s="6481"/>
      <c r="U5" s="6481"/>
      <c r="V5" s="6481"/>
      <c r="W5" s="6481"/>
      <c r="X5" s="6481"/>
      <c r="Y5" s="6481"/>
      <c r="Z5" s="6481"/>
      <c r="AA5" s="6481"/>
      <c r="AB5" s="6481"/>
      <c r="AC5" s="6481"/>
      <c r="AD5" s="6482"/>
      <c r="AE5" s="3401" t="s">
        <v>1386</v>
      </c>
      <c r="AF5" s="461"/>
      <c r="AG5" s="461"/>
      <c r="AH5" s="695"/>
    </row>
    <row r="6" spans="1:60" s="3202" customFormat="1">
      <c r="A6" s="3180" t="s">
        <v>81</v>
      </c>
      <c r="B6" s="3180" t="s">
        <v>718</v>
      </c>
      <c r="C6" s="3180" t="str">
        <f>CONCATENATE(A6," ",UPPER(B6))</f>
        <v>LTJG BAILEY</v>
      </c>
      <c r="D6" s="3386">
        <v>0</v>
      </c>
      <c r="E6" s="3386">
        <v>0</v>
      </c>
      <c r="F6" s="3386">
        <v>1</v>
      </c>
      <c r="G6" s="3386">
        <v>2</v>
      </c>
      <c r="H6" s="3386">
        <v>2</v>
      </c>
      <c r="I6" s="3386">
        <v>2</v>
      </c>
      <c r="J6" s="3386">
        <v>2</v>
      </c>
      <c r="K6" s="3386">
        <v>2</v>
      </c>
      <c r="L6" s="3386">
        <v>2</v>
      </c>
      <c r="M6" s="3386">
        <v>2</v>
      </c>
      <c r="N6" s="3386">
        <v>2</v>
      </c>
      <c r="O6" s="3386">
        <v>2</v>
      </c>
      <c r="P6" s="3386">
        <v>2</v>
      </c>
      <c r="Q6" s="3386">
        <v>2</v>
      </c>
      <c r="R6" s="3386">
        <v>2</v>
      </c>
      <c r="S6" s="3386">
        <v>2</v>
      </c>
      <c r="T6" s="3386">
        <v>2</v>
      </c>
      <c r="U6" s="3386">
        <v>2</v>
      </c>
      <c r="V6" s="3386">
        <v>2</v>
      </c>
      <c r="W6" s="3386">
        <v>2</v>
      </c>
      <c r="X6" s="3386">
        <v>2</v>
      </c>
      <c r="Y6" s="3386">
        <v>2</v>
      </c>
      <c r="Z6" s="3386">
        <v>2</v>
      </c>
      <c r="AA6" s="3386">
        <v>2</v>
      </c>
      <c r="AB6" s="3386">
        <v>2</v>
      </c>
      <c r="AC6" s="3386">
        <v>2</v>
      </c>
      <c r="AD6" s="3386">
        <v>2</v>
      </c>
      <c r="AE6" s="3386">
        <v>3</v>
      </c>
      <c r="AF6" s="3386">
        <v>0</v>
      </c>
      <c r="AG6" s="3386">
        <v>0</v>
      </c>
      <c r="AH6" s="3386">
        <v>8</v>
      </c>
      <c r="AI6" s="3202">
        <v>0</v>
      </c>
      <c r="AJ6" cm="1">
        <f t="array" ref="AJ6">SUM(COUNTIFS($D6:$AG6,{"0","4","5","6","7","8","9"}))</f>
        <v>4</v>
      </c>
      <c r="AK6" cm="1">
        <f t="array" ref="AK6">SUM(COUNTIFS($D6:$AG6,{"0","4","5","6","7","8","9"},$D$4:$AG$4,"0"))</f>
        <v>4</v>
      </c>
      <c r="AL6" cm="1">
        <f t="array" ref="AL6">SUM(COUNTIFS($D6:$AG6,{"0","4","5","6","7","8","9"},$D$4:$AG$4,"1"))</f>
        <v>0</v>
      </c>
      <c r="AM6" cm="1">
        <f t="array" ref="AM6">SUM(COUNTIFS($D6:$AG6,{"0","4","5","6","7","8","9"},$D$4:$AG$4,"2"))</f>
        <v>0</v>
      </c>
      <c r="AN6" cm="1">
        <f t="array" ref="AN6">SUM(COUNTIFS($D6:$AG6,{"0","4","5","6","7","8","9"},$D$4:$AG$4,"3"))</f>
        <v>0</v>
      </c>
      <c r="AO6" cm="1">
        <f t="array" ref="AO6">SUM(COUNTIFS($D6:$AG6,{"1","2","3"}))</f>
        <v>26</v>
      </c>
      <c r="AP6" cm="1">
        <f t="array" ref="AP6">SUM(COUNTIFS($D6:$AG6,{"4","5","6"}))</f>
        <v>0</v>
      </c>
      <c r="AQ6">
        <f>AK6*'Spreadsheet Key'!$A$23 + AL6*'Spreadsheet Key'!$A$24 + AM6*'Spreadsheet Key'!$A$25 + AN6*'Spreadsheet Key'!$A$26</f>
        <v>88</v>
      </c>
      <c r="AR6">
        <f>AJ6/('JUN Statistics'!$B$30)*ABS(AI6-1)</f>
        <v>7.9840319361277438E-3</v>
      </c>
      <c r="AS6">
        <f>AI6*AT6</f>
        <v>0</v>
      </c>
      <c r="AT6" s="3388">
        <f>AR6*'JUN Statistics'!$C$11</f>
        <v>9.745841916167663</v>
      </c>
      <c r="AU6"/>
      <c r="AV6">
        <f>COUNTIFS($D6:$AG6,"8",$D$4:$AG$4,"0")</f>
        <v>0</v>
      </c>
      <c r="AW6">
        <f>COUNTIFS($D6:$AG6,"9",$D$4:$AG$4,"0")</f>
        <v>0</v>
      </c>
      <c r="AX6">
        <f>COUNTIFS($D6:$AG6,"8",$D$4:$AG$4,"1")</f>
        <v>0</v>
      </c>
      <c r="AY6" cm="1">
        <f t="array" ref="AY6">COUNTIFS($D6:$AG6,"9",$D$4:$AG$4,"1")+SUM(COUNTIFS($D6:$AG6,{"8","9"},$D$4:$AG$4,"2"))+COUNTIFS($D6:$AG6,"8",$D$4:$AG$4,"3")</f>
        <v>0</v>
      </c>
      <c r="AZ6">
        <f>COUNTIFS($D6:$AG6,"9",$D$4:$AG$4,"3")</f>
        <v>0</v>
      </c>
      <c r="BA6">
        <f>SUM(AV6:AZ6)</f>
        <v>0</v>
      </c>
      <c r="BB6">
        <f>AV6*'Spreadsheet Key'!$A$27+AW6*'Spreadsheet Key'!$A$28+AX6*'Spreadsheet Key'!$A$29+AY6*'Spreadsheet Key'!$A$30+AZ6*'Spreadsheet Key'!$A$31</f>
        <v>0</v>
      </c>
      <c r="BC6"/>
      <c r="BD6">
        <f>AT6-BB6</f>
        <v>9.745841916167663</v>
      </c>
    </row>
    <row r="7" spans="1:60">
      <c r="A7" s="3197"/>
      <c r="B7" s="3197"/>
      <c r="C7" s="3180" t="str">
        <f>CONCATENATE(A7," ",UPPER(B7))</f>
        <v xml:space="preserve"> </v>
      </c>
      <c r="D7" s="2"/>
      <c r="E7" s="2"/>
      <c r="F7" s="6480" t="s">
        <v>1418</v>
      </c>
      <c r="G7" s="6481"/>
      <c r="H7" s="6481"/>
      <c r="I7" s="6481"/>
      <c r="J7" s="6481"/>
      <c r="K7" s="6481"/>
      <c r="L7" s="6481"/>
      <c r="M7" s="6481"/>
      <c r="N7" s="6481"/>
      <c r="O7" s="6481"/>
      <c r="P7" s="6481"/>
      <c r="Q7" s="6481"/>
      <c r="R7" s="6481"/>
      <c r="S7" s="6481"/>
      <c r="T7" s="6481"/>
      <c r="U7" s="6481"/>
      <c r="V7" s="6481"/>
      <c r="W7" s="6481"/>
      <c r="X7" s="6481"/>
      <c r="Y7" s="6481"/>
      <c r="Z7" s="6481"/>
      <c r="AA7" s="6481"/>
      <c r="AB7" s="6481"/>
      <c r="AC7" s="6481"/>
      <c r="AD7" s="6482"/>
      <c r="AE7" s="3401" t="s">
        <v>1386</v>
      </c>
      <c r="AF7" s="2"/>
      <c r="AG7" s="2"/>
      <c r="AH7" s="696"/>
      <c r="AI7" s="3202"/>
      <c r="AT7" s="3388"/>
      <c r="AV7">
        <f>COUNTIFS($D7:$AG7,"8",$D$4:$AG$4,"0")</f>
        <v>0</v>
      </c>
      <c r="AW7">
        <f>COUNTIFS($D7:$AG7,"9",$D$4:$AG$4,"0")</f>
        <v>0</v>
      </c>
      <c r="AX7">
        <f>COUNTIFS($D7:$AG7,"8",$D$4:$AG$4,"1")</f>
        <v>0</v>
      </c>
      <c r="AY7" cm="1">
        <f t="array" ref="AY7">COUNTIFS($D7:$AG7,"9",$D$4:$AG$4,"1")+SUM(COUNTIFS($D7:$AG7,{"8","9"},$D$4:$AG$4,"2"))+COUNTIFS($D7:$AG7,"8",$D$4:$AG$4,"3")</f>
        <v>0</v>
      </c>
      <c r="AZ7">
        <f>COUNTIFS($D7:$AG7,"9",$D$4:$AG$4,"3")</f>
        <v>0</v>
      </c>
      <c r="BA7">
        <f>SUM(AV7:AZ7)</f>
        <v>0</v>
      </c>
      <c r="BB7">
        <f>AV7*'Spreadsheet Key'!$A$27+AW7*'Spreadsheet Key'!$A$28+AX7*'Spreadsheet Key'!$A$29+AY7*'Spreadsheet Key'!$A$30+AZ7*'Spreadsheet Key'!$A$31</f>
        <v>0</v>
      </c>
    </row>
    <row r="8" spans="1:60" s="3211" customFormat="1">
      <c r="A8" s="3421" t="s">
        <v>326</v>
      </c>
      <c r="B8" s="3180" t="s">
        <v>327</v>
      </c>
      <c r="C8" s="3180" t="str">
        <f>CONCATENATE(A8," ",UPPER(B8))</f>
        <v>CTTC THOMPSON</v>
      </c>
      <c r="D8" s="3386">
        <v>0</v>
      </c>
      <c r="E8" s="3386">
        <v>0</v>
      </c>
      <c r="F8" s="3386">
        <v>1</v>
      </c>
      <c r="G8" s="3386">
        <v>2</v>
      </c>
      <c r="H8" s="3386">
        <v>2</v>
      </c>
      <c r="I8" s="3386">
        <v>2</v>
      </c>
      <c r="J8" s="3386">
        <v>2</v>
      </c>
      <c r="K8" s="3386">
        <v>2</v>
      </c>
      <c r="L8" s="3386">
        <v>2</v>
      </c>
      <c r="M8" s="3386">
        <v>2</v>
      </c>
      <c r="N8" s="3386">
        <v>2</v>
      </c>
      <c r="O8" s="3386">
        <v>2</v>
      </c>
      <c r="P8" s="3386">
        <v>2</v>
      </c>
      <c r="Q8" s="3386">
        <v>2</v>
      </c>
      <c r="R8" s="3386">
        <v>2</v>
      </c>
      <c r="S8" s="3386">
        <v>2</v>
      </c>
      <c r="T8" s="3386">
        <v>2</v>
      </c>
      <c r="U8" s="3386">
        <v>2</v>
      </c>
      <c r="V8" s="3386">
        <v>2</v>
      </c>
      <c r="W8" s="3386">
        <v>2</v>
      </c>
      <c r="X8" s="3386">
        <v>2</v>
      </c>
      <c r="Y8" s="3386">
        <v>2</v>
      </c>
      <c r="Z8" s="3386">
        <v>2</v>
      </c>
      <c r="AA8" s="3386">
        <v>2</v>
      </c>
      <c r="AB8" s="3386">
        <v>2</v>
      </c>
      <c r="AC8" s="3386">
        <v>2</v>
      </c>
      <c r="AD8" s="3386">
        <v>2</v>
      </c>
      <c r="AE8" s="3386">
        <v>3</v>
      </c>
      <c r="AF8" s="3386">
        <v>0</v>
      </c>
      <c r="AG8" s="3386">
        <v>0</v>
      </c>
      <c r="AH8" s="3386">
        <v>0</v>
      </c>
      <c r="AI8" s="3202">
        <v>0</v>
      </c>
      <c r="AJ8" cm="1">
        <f t="array" ref="AJ8">SUM(COUNTIFS($D8:$AG8,{"0","4","5","6","7","8","9"}))</f>
        <v>4</v>
      </c>
      <c r="AK8" cm="1">
        <f t="array" ref="AK8">SUM(COUNTIFS($D8:$AG8,{"0","4","5","6","7","8","9"},$D$4:$AG$4,"0"))</f>
        <v>4</v>
      </c>
      <c r="AL8" cm="1">
        <f t="array" ref="AL8">SUM(COUNTIFS($D8:$AG8,{"0","4","5","6","7","8","9"},$D$4:$AG$4,"1"))</f>
        <v>0</v>
      </c>
      <c r="AM8" cm="1">
        <f t="array" ref="AM8">SUM(COUNTIFS($D8:$AG8,{"0","4","5","6","7","8","9"},$D$4:$AG$4,"2"))</f>
        <v>0</v>
      </c>
      <c r="AN8" cm="1">
        <f t="array" ref="AN8">SUM(COUNTIFS($D8:$AG8,{"0","4","5","6","7","8","9"},$D$4:$AG$4,"3"))</f>
        <v>0</v>
      </c>
      <c r="AO8" cm="1">
        <f t="array" ref="AO8">SUM(COUNTIFS($D8:$AG8,{"1","2","3"}))</f>
        <v>26</v>
      </c>
      <c r="AP8" cm="1">
        <f t="array" ref="AP8">SUM(COUNTIFS($D8:$AG8,{"4","5","6"}))</f>
        <v>0</v>
      </c>
      <c r="AQ8">
        <f>AK8*'Spreadsheet Key'!$A$23 + AL8*'Spreadsheet Key'!$A$24 + AM8*'Spreadsheet Key'!$A$25 + AN8*'Spreadsheet Key'!$A$26</f>
        <v>88</v>
      </c>
      <c r="AR8">
        <f>AJ8/('JUN Statistics'!$B$30)*ABS(AI8-1)</f>
        <v>7.9840319361277438E-3</v>
      </c>
      <c r="AS8">
        <f>AI8*AT8</f>
        <v>0</v>
      </c>
      <c r="AT8" s="3388">
        <f>AR8*'JUN Statistics'!$C$11</f>
        <v>9.745841916167663</v>
      </c>
      <c r="AU8"/>
      <c r="AV8">
        <f>COUNTIFS($D8:$AG8,"8",$D$4:$AG$4,"0")</f>
        <v>0</v>
      </c>
      <c r="AW8">
        <f>COUNTIFS($D8:$AG8,"9",$D$4:$AG$4,"0")</f>
        <v>0</v>
      </c>
      <c r="AX8">
        <f>COUNTIFS($D8:$AG8,"8",$D$4:$AG$4,"1")</f>
        <v>0</v>
      </c>
      <c r="AY8" cm="1">
        <f t="array" ref="AY8">COUNTIFS($D8:$AG8,"9",$D$4:$AG$4,"1")+SUM(COUNTIFS($D8:$AG8,{"8","9"},$D$4:$AG$4,"2"))+COUNTIFS($D8:$AG8,"8",$D$4:$AG$4,"3")</f>
        <v>0</v>
      </c>
      <c r="AZ8">
        <f>COUNTIFS($D8:$AG8,"9",$D$4:$AG$4,"3")</f>
        <v>0</v>
      </c>
      <c r="BA8">
        <f>SUM(AV8:AZ8)</f>
        <v>0</v>
      </c>
      <c r="BB8">
        <f>AV8*'Spreadsheet Key'!$A$27+AW8*'Spreadsheet Key'!$A$28+AX8*'Spreadsheet Key'!$A$29+AY8*'Spreadsheet Key'!$A$30+AZ8*'Spreadsheet Key'!$A$31</f>
        <v>0</v>
      </c>
      <c r="BC8"/>
      <c r="BD8">
        <f>AT8-BB8</f>
        <v>9.745841916167663</v>
      </c>
    </row>
    <row r="9" spans="1:60" ht="15.75" customHeight="1">
      <c r="A9" s="3208"/>
      <c r="B9" s="3208"/>
      <c r="C9" s="3180" t="str">
        <f>CONCATENATE(A9," ",UPPER(B9))</f>
        <v xml:space="preserve"> </v>
      </c>
      <c r="D9" s="3404" t="s">
        <v>1386</v>
      </c>
      <c r="E9" s="323"/>
      <c r="F9" s="323"/>
      <c r="G9" s="323"/>
      <c r="H9" s="323"/>
      <c r="I9" s="3404" t="s">
        <v>1386</v>
      </c>
      <c r="J9" s="6301" t="s">
        <v>1419</v>
      </c>
      <c r="K9" s="6301"/>
      <c r="L9" s="6301"/>
      <c r="M9" s="3404" t="s">
        <v>1386</v>
      </c>
      <c r="N9" s="323"/>
      <c r="O9" s="323"/>
      <c r="P9" s="323"/>
      <c r="Q9" s="323"/>
      <c r="R9" s="323"/>
      <c r="S9" s="323"/>
      <c r="T9" s="323"/>
      <c r="U9" s="323"/>
      <c r="V9" s="6488" t="s">
        <v>1262</v>
      </c>
      <c r="W9" s="6488"/>
      <c r="X9" s="6488"/>
      <c r="Y9" s="6488"/>
      <c r="Z9" s="6488"/>
      <c r="AA9" s="6488"/>
      <c r="AB9" s="6488"/>
      <c r="AC9" s="6488"/>
      <c r="AD9" s="6488"/>
      <c r="AE9" s="323"/>
      <c r="AF9" s="323"/>
      <c r="AG9" s="323"/>
      <c r="AH9" s="324"/>
      <c r="AI9" s="3202"/>
      <c r="AT9" s="3388"/>
    </row>
    <row r="10" spans="1:60" s="3211" customFormat="1">
      <c r="A10" s="3180" t="s">
        <v>606</v>
      </c>
      <c r="B10" s="3180" t="s">
        <v>98</v>
      </c>
      <c r="C10" s="3514" t="str">
        <f>CONCATENATE(A10," ",UPPER(B10))</f>
        <v>ISC ALUMIA</v>
      </c>
      <c r="D10" s="3513">
        <v>3</v>
      </c>
      <c r="E10" s="3513">
        <v>0</v>
      </c>
      <c r="F10" s="3386">
        <v>9</v>
      </c>
      <c r="G10" s="3513">
        <v>0</v>
      </c>
      <c r="H10" s="3513">
        <v>0</v>
      </c>
      <c r="I10" s="3513">
        <v>1</v>
      </c>
      <c r="J10" s="3513">
        <v>2</v>
      </c>
      <c r="K10" s="3513">
        <v>2</v>
      </c>
      <c r="L10" s="3513">
        <v>2</v>
      </c>
      <c r="M10" s="3513">
        <v>3</v>
      </c>
      <c r="N10" s="3513">
        <v>0</v>
      </c>
      <c r="O10" s="3386">
        <v>9</v>
      </c>
      <c r="P10" s="3513">
        <v>0</v>
      </c>
      <c r="Q10" s="3513">
        <v>0</v>
      </c>
      <c r="R10" s="3513">
        <v>0</v>
      </c>
      <c r="S10" s="3386">
        <v>9</v>
      </c>
      <c r="T10" s="3386">
        <v>0</v>
      </c>
      <c r="U10" s="3513">
        <v>0</v>
      </c>
      <c r="V10" s="3513">
        <v>2</v>
      </c>
      <c r="W10" s="3513">
        <v>2</v>
      </c>
      <c r="X10" s="3513">
        <v>2</v>
      </c>
      <c r="Y10" s="3513">
        <v>2</v>
      </c>
      <c r="Z10" s="3513">
        <v>2</v>
      </c>
      <c r="AA10" s="3513">
        <v>2</v>
      </c>
      <c r="AB10" s="3513">
        <v>2</v>
      </c>
      <c r="AC10" s="3513">
        <v>2</v>
      </c>
      <c r="AD10" s="3513">
        <v>2</v>
      </c>
      <c r="AE10" s="3513">
        <v>0</v>
      </c>
      <c r="AF10" s="3386">
        <v>8</v>
      </c>
      <c r="AG10" s="3513">
        <v>0</v>
      </c>
      <c r="AH10" s="3513">
        <v>0</v>
      </c>
      <c r="AI10" s="3202">
        <v>0</v>
      </c>
      <c r="AJ10" cm="1">
        <f t="array" ref="AJ10">SUM(COUNTIFS($D9:$AG9,{"0","4","5","6","7","8","9"}))</f>
        <v>0</v>
      </c>
      <c r="AK10" cm="1">
        <f t="array" ref="AK10">SUM(COUNTIFS($D9:$AG9,{"0","4","5","6","7","8","9"},$D$4:$AG$4,"0"))</f>
        <v>0</v>
      </c>
      <c r="AL10" cm="1">
        <f t="array" ref="AL10">SUM(COUNTIFS($D9:$AG9,{"0","4","5","6","7","8","9"},$D$4:$AG$4,"1"))</f>
        <v>0</v>
      </c>
      <c r="AM10" cm="1">
        <f t="array" ref="AM10">SUM(COUNTIFS($D9:$AG9,{"0","4","5","6","7","8","9"},$D$4:$AG$4,"2"))</f>
        <v>0</v>
      </c>
      <c r="AN10" cm="1">
        <f t="array" ref="AN10">SUM(COUNTIFS($D9:$AG9,{"0","4","5","6","7","8","9"},$D$4:$AG$4,"3"))</f>
        <v>0</v>
      </c>
      <c r="AO10" cm="1">
        <f t="array" ref="AO10">SUM(COUNTIFS($D9:$AG9,{"1","2","3"}))</f>
        <v>0</v>
      </c>
      <c r="AP10" cm="1">
        <f t="array" ref="AP10">SUM(COUNTIFS($D9:$AG9,{"4","5","6"}))</f>
        <v>0</v>
      </c>
      <c r="AQ10">
        <f>AK10*'Spreadsheet Key'!$A$23 + AL10*'Spreadsheet Key'!$A$24 + AM10*'Spreadsheet Key'!$A$25 + AN10*'Spreadsheet Key'!$A$26</f>
        <v>0</v>
      </c>
      <c r="AR10">
        <f>AJ10/('JUN Statistics'!$B$30)*ABS(AI10-1)</f>
        <v>0</v>
      </c>
      <c r="AS10">
        <f>AI10*AT10</f>
        <v>0</v>
      </c>
      <c r="AT10" s="3388">
        <f>AR10*'JUN Statistics'!$C$11</f>
        <v>0</v>
      </c>
      <c r="AU10"/>
      <c r="AV10">
        <f>COUNTIFS($D9:$AG9,"8",$D$4:$AG$4,"0")</f>
        <v>0</v>
      </c>
      <c r="AW10">
        <f>COUNTIFS($D9:$AG9,"9",$D$4:$AG$4,"0")</f>
        <v>0</v>
      </c>
      <c r="AX10">
        <f>COUNTIFS($D9:$AG9,"8",$D$4:$AG$4,"1")</f>
        <v>0</v>
      </c>
      <c r="AY10" cm="1">
        <f t="array" ref="AY10">COUNTIFS($D9:$AG9,"9",$D$4:$AG$4,"1")+SUM(COUNTIFS($D9:$AG9,{"8","9"},$D$4:$AG$4,"2"))+COUNTIFS($D9:$AG9,"8",$D$4:$AG$4,"3")</f>
        <v>0</v>
      </c>
      <c r="AZ10">
        <f>COUNTIFS($D9:$AG9,"9",$D$4:$AG$4,"3")</f>
        <v>0</v>
      </c>
      <c r="BA10">
        <f>SUM(AV10:AZ10)</f>
        <v>0</v>
      </c>
      <c r="BB10">
        <f>AV10*'Spreadsheet Key'!$A$27+AW10*'Spreadsheet Key'!$A$28+AX10*'Spreadsheet Key'!$A$29+AY10*'Spreadsheet Key'!$A$30+AZ10*'Spreadsheet Key'!$A$31</f>
        <v>0</v>
      </c>
      <c r="BC10"/>
      <c r="BD10">
        <f>AT10-BB10</f>
        <v>0</v>
      </c>
    </row>
    <row r="11" spans="1:60">
      <c r="A11" s="3208"/>
      <c r="B11" s="3208"/>
      <c r="C11" s="3180" t="str">
        <f>CONCATENATE(A11," ",UPPER(B11))</f>
        <v xml:space="preserve"> </v>
      </c>
      <c r="D11" s="3264" t="s">
        <v>1420</v>
      </c>
      <c r="E11" s="3264"/>
      <c r="F11" s="3264"/>
      <c r="G11" s="3264"/>
      <c r="H11" s="3264"/>
      <c r="I11" s="3515"/>
      <c r="J11" s="3265"/>
      <c r="K11" s="3264"/>
      <c r="L11" s="3264"/>
      <c r="M11" s="3264"/>
      <c r="N11" s="3264"/>
      <c r="O11" s="3264"/>
      <c r="P11" s="3264"/>
      <c r="Q11" s="3265"/>
      <c r="R11" s="3264"/>
      <c r="S11" s="3264"/>
      <c r="T11" s="3264"/>
      <c r="U11" s="3264"/>
      <c r="V11" s="3264"/>
      <c r="W11" s="3264"/>
      <c r="X11" s="3700"/>
      <c r="Y11" s="3264"/>
      <c r="Z11" s="3264"/>
      <c r="AA11" s="3264"/>
      <c r="AB11" s="3264"/>
      <c r="AC11" s="3264"/>
      <c r="AD11" s="3264"/>
      <c r="AE11" s="3265"/>
      <c r="AF11" s="3264"/>
      <c r="AG11" s="3516"/>
      <c r="AH11" s="3516"/>
      <c r="AI11" s="3202"/>
      <c r="AT11" s="3388"/>
      <c r="AV11">
        <f>COUNTIFS($D11:$AG11,"8",$D$4:$AG$4,"0")</f>
        <v>0</v>
      </c>
      <c r="AW11">
        <f>COUNTIFS($D11:$AG11,"9",$D$4:$AG$4,"0")</f>
        <v>0</v>
      </c>
      <c r="AX11">
        <f>COUNTIFS($D11:$AG11,"8",$D$4:$AG$4,"1")</f>
        <v>0</v>
      </c>
      <c r="AY11" cm="1">
        <f t="array" ref="AY11">COUNTIFS($D11:$AG11,"9",$D$4:$AG$4,"1")+SUM(COUNTIFS($D11:$AG11,{"8","9"},$D$4:$AG$4,"2"))+COUNTIFS($D11:$AG11,"8",$D$4:$AG$4,"3")</f>
        <v>0</v>
      </c>
      <c r="AZ11">
        <f>COUNTIFS($D11:$AG11,"9",$D$4:$AG$4,"3")</f>
        <v>0</v>
      </c>
      <c r="BA11">
        <f>SUM(AV11:AZ11)</f>
        <v>0</v>
      </c>
      <c r="BB11">
        <f>AV11*'Spreadsheet Key'!$A$27+AW11*'Spreadsheet Key'!$A$28+AX11*'Spreadsheet Key'!$A$29+AY11*'Spreadsheet Key'!$A$30+AZ11*'Spreadsheet Key'!$A$31</f>
        <v>0</v>
      </c>
    </row>
    <row r="12" spans="1:60" s="3211" customFormat="1">
      <c r="A12" s="3180" t="s">
        <v>100</v>
      </c>
      <c r="B12" s="3180" t="s">
        <v>725</v>
      </c>
      <c r="C12" s="3180" t="str">
        <f>CONCATENATE(A12," ",UPPER(B12))</f>
        <v>CDR IVEY</v>
      </c>
      <c r="D12" s="3386">
        <v>2</v>
      </c>
      <c r="E12" s="3386">
        <v>2</v>
      </c>
      <c r="F12" s="3386">
        <v>2</v>
      </c>
      <c r="G12" s="3386">
        <v>2</v>
      </c>
      <c r="H12" s="3386">
        <v>2</v>
      </c>
      <c r="I12" s="3386">
        <v>2</v>
      </c>
      <c r="J12" s="3386">
        <v>2</v>
      </c>
      <c r="K12" s="3386">
        <v>2</v>
      </c>
      <c r="L12" s="3386">
        <v>2</v>
      </c>
      <c r="M12" s="3386">
        <v>2</v>
      </c>
      <c r="N12" s="3386">
        <v>2</v>
      </c>
      <c r="O12" s="3386">
        <v>2</v>
      </c>
      <c r="P12" s="3386">
        <v>2</v>
      </c>
      <c r="Q12" s="3386">
        <v>2</v>
      </c>
      <c r="R12" s="3386">
        <v>2</v>
      </c>
      <c r="S12" s="3386">
        <v>2</v>
      </c>
      <c r="T12" s="3386">
        <v>2</v>
      </c>
      <c r="U12" s="3386">
        <v>2</v>
      </c>
      <c r="V12" s="3386">
        <v>2</v>
      </c>
      <c r="W12" s="3386">
        <v>2</v>
      </c>
      <c r="X12" s="3386">
        <v>2</v>
      </c>
      <c r="Y12" s="3386">
        <v>2</v>
      </c>
      <c r="Z12" s="3386">
        <v>2</v>
      </c>
      <c r="AA12" s="3386">
        <v>2</v>
      </c>
      <c r="AB12" s="3386">
        <v>2</v>
      </c>
      <c r="AC12" s="3386">
        <v>2</v>
      </c>
      <c r="AD12" s="3386">
        <v>2</v>
      </c>
      <c r="AE12" s="3386">
        <v>2</v>
      </c>
      <c r="AF12" s="3386">
        <v>2</v>
      </c>
      <c r="AG12" s="3386">
        <v>2</v>
      </c>
      <c r="AH12" s="3386">
        <v>2</v>
      </c>
      <c r="AI12" s="3202">
        <v>1</v>
      </c>
      <c r="AJ12" cm="1">
        <f t="array" ref="AJ12">SUM(COUNTIFS($D12:$AG12,{"0","4","5","6","7","8","9"}))</f>
        <v>0</v>
      </c>
      <c r="AK12" cm="1">
        <f t="array" ref="AK12">SUM(COUNTIFS($D12:$AG12,{"0","4","5","6","7","8","9"},$D$4:$AG$4,"0"))</f>
        <v>0</v>
      </c>
      <c r="AL12" cm="1">
        <f t="array" ref="AL12">SUM(COUNTIFS($D12:$AG12,{"0","4","5","6","7","8","9"},$D$4:$AG$4,"1"))</f>
        <v>0</v>
      </c>
      <c r="AM12" cm="1">
        <f t="array" ref="AM12">SUM(COUNTIFS($D12:$AG12,{"0","4","5","6","7","8","9"},$D$4:$AG$4,"2"))</f>
        <v>0</v>
      </c>
      <c r="AN12" cm="1">
        <f t="array" ref="AN12">SUM(COUNTIFS($D12:$AG12,{"0","4","5","6","7","8","9"},$D$4:$AG$4,"3"))</f>
        <v>0</v>
      </c>
      <c r="AO12" cm="1">
        <f t="array" ref="AO12">SUM(COUNTIFS($D12:$AG12,{"1","2","3"}))</f>
        <v>30</v>
      </c>
      <c r="AP12" cm="1">
        <f t="array" ref="AP12">SUM(COUNTIFS($D12:$AG12,{"4","5","6"}))</f>
        <v>0</v>
      </c>
      <c r="AQ12">
        <f>AK12*'Spreadsheet Key'!$A$23 + AL12*'Spreadsheet Key'!$A$24 + AM12*'Spreadsheet Key'!$A$25 + AN12*'Spreadsheet Key'!$A$26</f>
        <v>0</v>
      </c>
      <c r="AR12">
        <f>AJ12/('JUN Statistics'!$B$30)*ABS(AI12-1)</f>
        <v>0</v>
      </c>
      <c r="AS12">
        <f>AI12*AT12</f>
        <v>0</v>
      </c>
      <c r="AT12" s="3388">
        <f>(AJ12/'JUN Statistics'!$B$6)*'Spreadsheet Key'!$A$33</f>
        <v>0</v>
      </c>
      <c r="AU12"/>
      <c r="AV12">
        <f>COUNTIFS($D12:$AG12,"8",$D$4:$AG$4,"0")</f>
        <v>0</v>
      </c>
      <c r="AW12">
        <f>COUNTIFS($D12:$AG12,"9",$D$4:$AG$4,"0")</f>
        <v>0</v>
      </c>
      <c r="AX12">
        <f>COUNTIFS($D12:$AG12,"8",$D$4:$AG$4,"1")</f>
        <v>0</v>
      </c>
      <c r="AY12" cm="1">
        <f t="array" ref="AY12">COUNTIFS($D12:$AG12,"9",$D$4:$AG$4,"1")+SUM(COUNTIFS($D12:$AG12,{"8","9"},$D$4:$AG$4,"2"))+COUNTIFS($D12:$AG12,"8",$D$4:$AG$4,"3")</f>
        <v>0</v>
      </c>
      <c r="AZ12">
        <f>COUNTIFS($D12:$AG12,"9",$D$4:$AG$4,"3")</f>
        <v>0</v>
      </c>
      <c r="BA12">
        <f>SUM(AV12:AZ12)</f>
        <v>0</v>
      </c>
      <c r="BB12">
        <f>AV12*'Spreadsheet Key'!$A$27+AW12*'Spreadsheet Key'!$A$28+AX12*'Spreadsheet Key'!$A$29+AY12*'Spreadsheet Key'!$A$30+AZ12*'Spreadsheet Key'!$A$31</f>
        <v>0</v>
      </c>
      <c r="BC12"/>
      <c r="BD12">
        <f>AT12-BB12</f>
        <v>0</v>
      </c>
    </row>
    <row r="13" spans="1:60">
      <c r="A13" s="3208"/>
      <c r="B13" s="3208"/>
      <c r="C13" s="3180" t="str">
        <f>CONCATENATE(A13," ",UPPER(B13))</f>
        <v xml:space="preserve"> </v>
      </c>
      <c r="D13" s="3490"/>
      <c r="E13" s="3490"/>
      <c r="G13" s="6489" t="s">
        <v>1421</v>
      </c>
      <c r="H13" s="6490"/>
      <c r="I13" s="6490"/>
      <c r="J13" s="6491"/>
      <c r="K13" s="3490"/>
      <c r="L13" s="3490"/>
      <c r="M13" s="3490"/>
      <c r="N13" s="3490"/>
      <c r="O13" s="3490"/>
      <c r="P13" s="3491"/>
      <c r="Q13" s="3491"/>
      <c r="R13" s="3491"/>
      <c r="S13" s="3491"/>
      <c r="T13" s="3491"/>
      <c r="U13" s="3491"/>
      <c r="V13" s="3491"/>
      <c r="W13" s="3491"/>
      <c r="X13" s="3391" t="s">
        <v>1386</v>
      </c>
      <c r="Y13" s="6486" t="s">
        <v>1422</v>
      </c>
      <c r="Z13" s="6487"/>
      <c r="AA13" s="3391" t="s">
        <v>1386</v>
      </c>
      <c r="AB13" s="3491"/>
      <c r="AC13" s="3491"/>
      <c r="AD13" s="3491"/>
      <c r="AE13" s="1289"/>
      <c r="AF13" s="1289"/>
      <c r="AG13" s="1289"/>
      <c r="AH13" s="1289"/>
      <c r="AI13" s="3202"/>
      <c r="AT13" s="3388"/>
      <c r="AV13">
        <f>COUNTIFS($D13:$AG13,"8",$D$4:$AG$4,"0")</f>
        <v>0</v>
      </c>
      <c r="AW13">
        <f>COUNTIFS($D13:$AG13,"9",$D$4:$AG$4,"0")</f>
        <v>0</v>
      </c>
      <c r="AX13">
        <f>COUNTIFS($D13:$AG13,"8",$D$4:$AG$4,"1")</f>
        <v>0</v>
      </c>
      <c r="AY13" cm="1">
        <f t="array" ref="AY13">COUNTIFS($D13:$AG13,"9",$D$4:$AG$4,"1")+SUM(COUNTIFS($D13:$AG13,{"8","9"},$D$4:$AG$4,"2"))+COUNTIFS($D13:$AG13,"8",$D$4:$AG$4,"3")</f>
        <v>0</v>
      </c>
      <c r="AZ13">
        <f>COUNTIFS($D13:$AG13,"9",$D$4:$AG$4,"3")</f>
        <v>0</v>
      </c>
      <c r="BA13">
        <f>SUM(AV13:AZ13)</f>
        <v>0</v>
      </c>
      <c r="BB13">
        <f>AV13*'Spreadsheet Key'!$A$27+AW13*'Spreadsheet Key'!$A$28+AX13*'Spreadsheet Key'!$A$29+AY13*'Spreadsheet Key'!$A$30+AZ13*'Spreadsheet Key'!$A$31</f>
        <v>0</v>
      </c>
      <c r="BE13" s="3232"/>
      <c r="BF13" s="3232"/>
      <c r="BG13" s="3232"/>
      <c r="BH13" s="3232"/>
    </row>
    <row r="14" spans="1:60" s="3211" customFormat="1">
      <c r="A14" s="3422" t="s">
        <v>95</v>
      </c>
      <c r="B14" s="3180" t="s">
        <v>726</v>
      </c>
      <c r="C14" s="3180" t="str">
        <f>CONCATENATE(A14," ",UPPER(B14))</f>
        <v>LT MALIGSA</v>
      </c>
      <c r="D14" s="3386">
        <v>0</v>
      </c>
      <c r="E14" s="3386">
        <v>8</v>
      </c>
      <c r="F14" s="3386">
        <v>0</v>
      </c>
      <c r="G14" s="3386">
        <v>4</v>
      </c>
      <c r="H14" s="3386">
        <v>5</v>
      </c>
      <c r="I14" s="3386">
        <v>5</v>
      </c>
      <c r="J14" s="3386">
        <v>6</v>
      </c>
      <c r="K14" s="3386">
        <v>0</v>
      </c>
      <c r="L14" s="3386">
        <v>0</v>
      </c>
      <c r="M14" s="3386">
        <v>0</v>
      </c>
      <c r="N14" s="3386">
        <v>0</v>
      </c>
      <c r="O14" s="3386">
        <v>8</v>
      </c>
      <c r="P14" s="3386">
        <v>0</v>
      </c>
      <c r="Q14" s="3386">
        <v>0</v>
      </c>
      <c r="R14" s="3386">
        <v>0</v>
      </c>
      <c r="S14" s="3386">
        <v>0</v>
      </c>
      <c r="T14" s="3386">
        <v>0</v>
      </c>
      <c r="U14" s="3386">
        <v>0</v>
      </c>
      <c r="V14" s="3386">
        <v>8</v>
      </c>
      <c r="W14" s="3386">
        <v>0</v>
      </c>
      <c r="X14" s="3386">
        <v>1</v>
      </c>
      <c r="Y14" s="3386">
        <v>2</v>
      </c>
      <c r="Z14" s="3386">
        <v>2</v>
      </c>
      <c r="AA14" s="3386">
        <v>3</v>
      </c>
      <c r="AB14" s="3386">
        <v>0</v>
      </c>
      <c r="AC14" s="3386">
        <v>0</v>
      </c>
      <c r="AD14" s="3386">
        <v>0</v>
      </c>
      <c r="AE14" s="3386">
        <v>9</v>
      </c>
      <c r="AF14" s="3386">
        <v>0</v>
      </c>
      <c r="AG14" s="3386">
        <v>0</v>
      </c>
      <c r="AH14" s="3386">
        <v>0</v>
      </c>
      <c r="AI14" s="3202">
        <v>0</v>
      </c>
      <c r="AJ14" cm="1">
        <f t="array" ref="AJ14">SUM(COUNTIFS($D14:$AG14,{"0","4","5","6","7","8","9"}))</f>
        <v>26</v>
      </c>
      <c r="AK14" cm="1">
        <f t="array" ref="AK14">SUM(COUNTIFS($D14:$AG14,{"0","4","5","6","7","8","9"},$D$4:$AG$4,"0"))</f>
        <v>12</v>
      </c>
      <c r="AL14" cm="1">
        <f t="array" ref="AL14">SUM(COUNTIFS($D14:$AG14,{"0","4","5","6","7","8","9"},$D$4:$AG$4,"1"))</f>
        <v>4</v>
      </c>
      <c r="AM14" cm="1">
        <f t="array" ref="AM14">SUM(COUNTIFS($D14:$AG14,{"0","4","5","6","7","8","9"},$D$4:$AG$4,"2"))</f>
        <v>6</v>
      </c>
      <c r="AN14" cm="1">
        <f t="array" ref="AN14">SUM(COUNTIFS($D14:$AG14,{"0","4","5","6","7","8","9"},$D$4:$AG$4,"3"))</f>
        <v>4</v>
      </c>
      <c r="AO14" cm="1">
        <f t="array" ref="AO14">SUM(COUNTIFS($D14:$AG14,{"1","2","3"}))</f>
        <v>4</v>
      </c>
      <c r="AP14" cm="1">
        <f t="array" ref="AP14">SUM(COUNTIFS($D14:$AG14,{"4","5","6"}))</f>
        <v>4</v>
      </c>
      <c r="AQ14">
        <f>AK14*'Spreadsheet Key'!$A$23 + AL14*'Spreadsheet Key'!$A$24 + AM14*'Spreadsheet Key'!$A$25 + AN14*'Spreadsheet Key'!$A$26</f>
        <v>1136</v>
      </c>
      <c r="AR14">
        <f>AJ14/('JUN Statistics'!$B$30)*ABS(AI14-1)</f>
        <v>5.1896207584830337E-2</v>
      </c>
      <c r="AS14">
        <f>AI14*AT14</f>
        <v>0</v>
      </c>
      <c r="AT14" s="3388">
        <f>AR14*'JUN Statistics'!$C$11</f>
        <v>63.347972455089817</v>
      </c>
      <c r="AU14"/>
      <c r="AV14">
        <f>COUNTIFS($D14:$AG14,"8",$D$4:$AG$4,"0")</f>
        <v>1</v>
      </c>
      <c r="AW14">
        <f>COUNTIFS($D14:$AG14,"9",$D$4:$AG$4,"0")</f>
        <v>1</v>
      </c>
      <c r="AX14">
        <f>COUNTIFS($D14:$AG14,"8",$D$4:$AG$4,"1")</f>
        <v>0</v>
      </c>
      <c r="AY14" cm="1">
        <f t="array" ref="AY14">COUNTIFS($D14:$AG14,"9",$D$4:$AG$4,"1")+SUM(COUNTIFS($D14:$AG14,{"8","9"},$D$4:$AG$4,"2"))+COUNTIFS($D14:$AG14,"8",$D$4:$AG$4,"3")</f>
        <v>2</v>
      </c>
      <c r="AZ14">
        <f>COUNTIFS($D14:$AG14,"9",$D$4:$AG$4,"3")</f>
        <v>0</v>
      </c>
      <c r="BA14">
        <f>SUM(AV14:AZ14)</f>
        <v>4</v>
      </c>
      <c r="BB14">
        <f>AV14*'Spreadsheet Key'!$A$27+AW14*'Spreadsheet Key'!$A$28+AX14*'Spreadsheet Key'!$A$29+AY14*'Spreadsheet Key'!$A$30+AZ14*'Spreadsheet Key'!$A$31</f>
        <v>94</v>
      </c>
      <c r="BC14"/>
      <c r="BD14">
        <f>AT14-BB14</f>
        <v>-30.652027544910183</v>
      </c>
    </row>
    <row r="15" spans="1:60">
      <c r="A15" s="3212"/>
      <c r="B15" s="3208"/>
      <c r="C15" s="3180" t="str">
        <f>CONCATENATE(A15," ",UPPER(B15))</f>
        <v xml:space="preserve"> </v>
      </c>
      <c r="D15" s="6492" t="s">
        <v>1423</v>
      </c>
      <c r="E15" s="6493"/>
      <c r="F15" s="6494"/>
      <c r="G15" s="6495" t="s">
        <v>1424</v>
      </c>
      <c r="H15" s="6496"/>
      <c r="I15" s="6497"/>
      <c r="J15" s="3391" t="s">
        <v>1386</v>
      </c>
      <c r="K15" s="3490"/>
      <c r="L15" s="3490"/>
      <c r="M15" s="3490"/>
      <c r="N15" s="3490"/>
      <c r="O15" s="3492"/>
      <c r="P15" s="3391" t="s">
        <v>1386</v>
      </c>
      <c r="Q15" s="3391" t="s">
        <v>1386</v>
      </c>
      <c r="R15" s="6498" t="s">
        <v>1425</v>
      </c>
      <c r="S15" s="5267"/>
      <c r="T15" s="5267"/>
      <c r="U15" s="5267"/>
      <c r="V15" s="5267"/>
      <c r="W15" s="5267"/>
      <c r="X15" s="5267"/>
      <c r="Y15" s="5267"/>
      <c r="Z15" s="5267"/>
      <c r="AA15" s="5267"/>
      <c r="AB15" s="5267"/>
      <c r="AC15" s="5267"/>
      <c r="AD15" s="5267"/>
      <c r="AE15" s="5267"/>
      <c r="AF15" s="5267"/>
      <c r="AG15" s="5267"/>
      <c r="AH15" s="6499"/>
      <c r="AI15" s="3202"/>
      <c r="AT15" s="3388"/>
      <c r="AV15">
        <f>COUNTIFS($D15:$AG15,"8",$D$4:$AG$4,"0")</f>
        <v>0</v>
      </c>
      <c r="AW15">
        <f>COUNTIFS($D15:$AG15,"9",$D$4:$AG$4,"0")</f>
        <v>0</v>
      </c>
      <c r="AX15">
        <f>COUNTIFS($D15:$AG15,"8",$D$4:$AG$4,"1")</f>
        <v>0</v>
      </c>
      <c r="AY15" cm="1">
        <f t="array" ref="AY15">COUNTIFS($D15:$AG15,"9",$D$4:$AG$4,"1")+SUM(COUNTIFS($D15:$AG15,{"8","9"},$D$4:$AG$4,"2"))+COUNTIFS($D15:$AG15,"8",$D$4:$AG$4,"3")</f>
        <v>0</v>
      </c>
      <c r="AZ15">
        <f>COUNTIFS($D15:$AG15,"9",$D$4:$AG$4,"3")</f>
        <v>0</v>
      </c>
      <c r="BA15">
        <f>SUM(AV15:AZ15)</f>
        <v>0</v>
      </c>
      <c r="BB15">
        <f>AV15*'Spreadsheet Key'!$A$27+AW15*'Spreadsheet Key'!$A$28+AX15*'Spreadsheet Key'!$A$29+AY15*'Spreadsheet Key'!$A$30+AZ15*'Spreadsheet Key'!$A$31</f>
        <v>0</v>
      </c>
    </row>
    <row r="16" spans="1:60" s="3211" customFormat="1">
      <c r="A16" s="3180" t="s">
        <v>95</v>
      </c>
      <c r="B16" s="3180" t="s">
        <v>738</v>
      </c>
      <c r="C16" s="3180" t="str">
        <f>CONCATENATE(A16," ",UPPER(B16))</f>
        <v>LT HESPEN</v>
      </c>
      <c r="D16" s="3386">
        <v>2</v>
      </c>
      <c r="E16" s="3386">
        <v>2</v>
      </c>
      <c r="F16" s="3386">
        <v>2</v>
      </c>
      <c r="G16" s="3386">
        <v>2</v>
      </c>
      <c r="H16" s="3386">
        <v>2</v>
      </c>
      <c r="I16" s="3386">
        <v>2</v>
      </c>
      <c r="J16" s="3386">
        <v>3</v>
      </c>
      <c r="K16" s="3386">
        <v>0</v>
      </c>
      <c r="L16" s="3386">
        <v>9</v>
      </c>
      <c r="M16" s="3386">
        <v>0</v>
      </c>
      <c r="N16" s="3386">
        <v>0</v>
      </c>
      <c r="O16" s="3386">
        <v>0</v>
      </c>
      <c r="P16" s="3386">
        <v>1</v>
      </c>
      <c r="Q16" s="3386">
        <v>1</v>
      </c>
      <c r="R16" s="3386">
        <v>2</v>
      </c>
      <c r="S16" s="3386">
        <v>2</v>
      </c>
      <c r="T16" s="3386">
        <v>2</v>
      </c>
      <c r="U16" s="3386">
        <v>2</v>
      </c>
      <c r="V16" s="3386">
        <v>2</v>
      </c>
      <c r="W16" s="3386">
        <v>2</v>
      </c>
      <c r="X16" s="3386">
        <v>2</v>
      </c>
      <c r="Y16" s="3386">
        <v>2</v>
      </c>
      <c r="Z16" s="3386">
        <v>2</v>
      </c>
      <c r="AA16" s="3386">
        <v>2</v>
      </c>
      <c r="AB16" s="3386">
        <v>2</v>
      </c>
      <c r="AC16" s="3386">
        <v>2</v>
      </c>
      <c r="AD16" s="3386">
        <v>2</v>
      </c>
      <c r="AE16" s="3386">
        <v>2</v>
      </c>
      <c r="AF16" s="3386">
        <v>2</v>
      </c>
      <c r="AG16" s="3386">
        <v>2</v>
      </c>
      <c r="AH16" s="3386">
        <v>2</v>
      </c>
      <c r="AI16" s="3202">
        <v>0</v>
      </c>
      <c r="AJ16" cm="1">
        <f t="array" ref="AJ16">SUM(COUNTIFS($D16:$AG16,{"0","4","5","6","7","8","9"}))</f>
        <v>5</v>
      </c>
      <c r="AK16" cm="1">
        <f t="array" ref="AK16">SUM(COUNTIFS($D16:$AG16,{"0","4","5","6","7","8","9"},$D$4:$AG$4,"0"))</f>
        <v>3</v>
      </c>
      <c r="AL16" cm="1">
        <f t="array" ref="AL16">SUM(COUNTIFS($D16:$AG16,{"0","4","5","6","7","8","9"},$D$4:$AG$4,"1"))</f>
        <v>1</v>
      </c>
      <c r="AM16" cm="1">
        <f t="array" ref="AM16">SUM(COUNTIFS($D16:$AG16,{"0","4","5","6","7","8","9"},$D$4:$AG$4,"2"))</f>
        <v>1</v>
      </c>
      <c r="AN16" cm="1">
        <f t="array" ref="AN16">SUM(COUNTIFS($D16:$AG16,{"0","4","5","6","7","8","9"},$D$4:$AG$4,"3"))</f>
        <v>0</v>
      </c>
      <c r="AO16" cm="1">
        <f t="array" ref="AO16">SUM(COUNTIFS($D16:$AG16,{"1","2","3"}))</f>
        <v>25</v>
      </c>
      <c r="AP16" cm="1">
        <f t="array" ref="AP16">SUM(COUNTIFS($D16:$AG16,{"4","5","6"}))</f>
        <v>0</v>
      </c>
      <c r="AQ16">
        <f>AK16*'Spreadsheet Key'!$A$23 + AL16*'Spreadsheet Key'!$A$24 + AM16*'Spreadsheet Key'!$A$25 + AN16*'Spreadsheet Key'!$A$26</f>
        <v>192</v>
      </c>
      <c r="AR16">
        <f>AJ16/('JUN Statistics'!$B$30)*ABS(AI16-1)</f>
        <v>9.9800399201596807E-3</v>
      </c>
      <c r="AS16">
        <f>AI16*AT16</f>
        <v>0</v>
      </c>
      <c r="AT16" s="3388">
        <f>AR16*'JUN Statistics'!$C$11</f>
        <v>12.182302395209581</v>
      </c>
      <c r="AU16"/>
      <c r="AV16">
        <f>COUNTIFS($D16:$AG16,"8",$D$4:$AG$4,"0")</f>
        <v>0</v>
      </c>
      <c r="AW16">
        <f>COUNTIFS($D16:$AG16,"9",$D$4:$AG$4,"0")</f>
        <v>1</v>
      </c>
      <c r="AX16">
        <f>COUNTIFS($D16:$AG16,"8",$D$4:$AG$4,"1")</f>
        <v>0</v>
      </c>
      <c r="AY16" cm="1">
        <f t="array" ref="AY16">COUNTIFS($D16:$AG16,"9",$D$4:$AG$4,"1")+SUM(COUNTIFS($D16:$AG16,{"8","9"},$D$4:$AG$4,"2"))+COUNTIFS($D16:$AG16,"8",$D$4:$AG$4,"3")</f>
        <v>0</v>
      </c>
      <c r="AZ16">
        <f>COUNTIFS($D16:$AG16,"9",$D$4:$AG$4,"3")</f>
        <v>0</v>
      </c>
      <c r="BA16">
        <f>SUM(AV16:AZ16)</f>
        <v>1</v>
      </c>
      <c r="BB16">
        <f>AV16*'Spreadsheet Key'!$A$27+AW16*'Spreadsheet Key'!$A$28+AX16*'Spreadsheet Key'!$A$29+AY16*'Spreadsheet Key'!$A$30+AZ16*'Spreadsheet Key'!$A$31</f>
        <v>12</v>
      </c>
      <c r="BC16"/>
      <c r="BD16">
        <f>AT16-BB16</f>
        <v>0.18230239520958058</v>
      </c>
    </row>
    <row r="17" spans="1:60">
      <c r="A17" s="3208"/>
      <c r="B17" s="3208"/>
      <c r="C17" s="3180" t="str">
        <f>CONCATENATE(A17," ",UPPER(B17))</f>
        <v xml:space="preserve"> </v>
      </c>
      <c r="D17" s="3490"/>
      <c r="E17" s="3490"/>
      <c r="F17" s="3490"/>
      <c r="G17" s="3490"/>
      <c r="H17" s="3490"/>
      <c r="I17" s="3493"/>
      <c r="J17" s="3490"/>
      <c r="K17" s="3490"/>
      <c r="L17" s="3490"/>
      <c r="M17" s="3490"/>
      <c r="N17" s="3490"/>
      <c r="O17" s="3490"/>
      <c r="P17" s="3494"/>
      <c r="Q17" s="3494"/>
      <c r="R17" s="3494"/>
      <c r="S17" s="3494"/>
      <c r="T17" s="3494"/>
      <c r="U17" s="3494"/>
      <c r="V17" s="3494"/>
      <c r="W17" s="3494"/>
      <c r="X17" s="3391" t="s">
        <v>1386</v>
      </c>
      <c r="Y17" s="6486" t="s">
        <v>1422</v>
      </c>
      <c r="Z17" s="6487"/>
      <c r="AA17" s="3391" t="s">
        <v>1386</v>
      </c>
      <c r="AB17" s="3494"/>
      <c r="AC17" s="3494"/>
      <c r="AD17" s="3494"/>
      <c r="AE17" s="3494"/>
      <c r="AF17" s="3494"/>
      <c r="AG17" s="3494"/>
      <c r="AH17" s="3495"/>
      <c r="AI17" s="3202"/>
      <c r="AT17" s="3388"/>
      <c r="AV17">
        <f>COUNTIFS($D17:$AG17,"8",$D$4:$AG$4,"0")</f>
        <v>0</v>
      </c>
      <c r="AW17">
        <f>COUNTIFS($D17:$AG17,"9",$D$4:$AG$4,"0")</f>
        <v>0</v>
      </c>
      <c r="AX17">
        <f>COUNTIFS($D17:$AG17,"8",$D$4:$AG$4,"1")</f>
        <v>0</v>
      </c>
      <c r="AY17" cm="1">
        <f t="array" ref="AY17">COUNTIFS($D17:$AG17,"9",$D$4:$AG$4,"1")+SUM(COUNTIFS($D17:$AG17,{"8","9"},$D$4:$AG$4,"2"))+COUNTIFS($D17:$AG17,"8",$D$4:$AG$4,"3")</f>
        <v>0</v>
      </c>
      <c r="AZ17">
        <f>COUNTIFS($D17:$AG17,"9",$D$4:$AG$4,"3")</f>
        <v>0</v>
      </c>
      <c r="BA17">
        <f>SUM(AV17:AZ17)</f>
        <v>0</v>
      </c>
      <c r="BB17">
        <f>AV17*'Spreadsheet Key'!$A$27+AW17*'Spreadsheet Key'!$A$28+AX17*'Spreadsheet Key'!$A$29+AY17*'Spreadsheet Key'!$A$30+AZ17*'Spreadsheet Key'!$A$31</f>
        <v>0</v>
      </c>
    </row>
    <row r="18" spans="1:60" s="3211" customFormat="1">
      <c r="A18" s="3421" t="s">
        <v>106</v>
      </c>
      <c r="B18" s="3180" t="s">
        <v>1191</v>
      </c>
      <c r="C18" s="3180" t="str">
        <f>CONCATENATE(A18," ",UPPER(B18))</f>
        <v>OSC WILLIAMS</v>
      </c>
      <c r="D18" s="3386">
        <v>0</v>
      </c>
      <c r="E18" s="3386">
        <v>0</v>
      </c>
      <c r="F18" s="3386">
        <v>0</v>
      </c>
      <c r="G18" s="3386">
        <v>9</v>
      </c>
      <c r="H18" s="3386">
        <v>0</v>
      </c>
      <c r="I18" s="3386">
        <v>0</v>
      </c>
      <c r="J18" s="3386">
        <v>0</v>
      </c>
      <c r="K18" s="3386">
        <v>0</v>
      </c>
      <c r="L18" s="3386">
        <v>0</v>
      </c>
      <c r="M18" s="3386">
        <v>8</v>
      </c>
      <c r="N18" s="3386">
        <v>0</v>
      </c>
      <c r="O18" s="3386">
        <v>0</v>
      </c>
      <c r="P18" s="3386">
        <v>0</v>
      </c>
      <c r="Q18" s="3386">
        <v>8</v>
      </c>
      <c r="R18" s="3386">
        <v>0</v>
      </c>
      <c r="S18" s="3386">
        <v>0</v>
      </c>
      <c r="T18" s="3386">
        <v>0</v>
      </c>
      <c r="U18" s="3386">
        <v>8</v>
      </c>
      <c r="V18" s="3386">
        <v>0</v>
      </c>
      <c r="W18" s="3386">
        <v>0</v>
      </c>
      <c r="X18" s="3386">
        <v>1</v>
      </c>
      <c r="Y18" s="3386">
        <v>2</v>
      </c>
      <c r="Z18" s="3386">
        <v>2</v>
      </c>
      <c r="AA18" s="3386">
        <v>3</v>
      </c>
      <c r="AB18" s="3386">
        <v>0</v>
      </c>
      <c r="AC18" s="3386">
        <v>0</v>
      </c>
      <c r="AD18" s="3386">
        <v>0</v>
      </c>
      <c r="AE18" s="3386">
        <v>0</v>
      </c>
      <c r="AF18" s="3386">
        <v>9</v>
      </c>
      <c r="AG18" s="3386">
        <v>0</v>
      </c>
      <c r="AH18" s="3386">
        <v>0</v>
      </c>
      <c r="AI18" s="3202">
        <v>0</v>
      </c>
      <c r="AJ18" cm="1">
        <f t="array" ref="AJ18">SUM(COUNTIFS($D18:$AG18,{"0","4","5","6","7","8","9"}))</f>
        <v>26</v>
      </c>
      <c r="AK18" cm="1">
        <f t="array" ref="AK18">SUM(COUNTIFS($D18:$AG18,{"0","4","5","6","7","8","9"},$D$4:$AG$4,"0"))</f>
        <v>12</v>
      </c>
      <c r="AL18" cm="1">
        <f t="array" ref="AL18">SUM(COUNTIFS($D18:$AG18,{"0","4","5","6","7","8","9"},$D$4:$AG$4,"1"))</f>
        <v>4</v>
      </c>
      <c r="AM18" cm="1">
        <f t="array" ref="AM18">SUM(COUNTIFS($D18:$AG18,{"0","4","5","6","7","8","9"},$D$4:$AG$4,"2"))</f>
        <v>6</v>
      </c>
      <c r="AN18" cm="1">
        <f t="array" ref="AN18">SUM(COUNTIFS($D18:$AG18,{"0","4","5","6","7","8","9"},$D$4:$AG$4,"3"))</f>
        <v>4</v>
      </c>
      <c r="AO18" cm="1">
        <f t="array" ref="AO18">SUM(COUNTIFS($D18:$AG18,{"1","2","3"}))</f>
        <v>4</v>
      </c>
      <c r="AP18" cm="1">
        <f t="array" ref="AP18">SUM(COUNTIFS($D18:$AG18,{"4","5","6"}))</f>
        <v>0</v>
      </c>
      <c r="AQ18">
        <f>AK18*'Spreadsheet Key'!$A$23 + AL18*'Spreadsheet Key'!$A$24 + AM18*'Spreadsheet Key'!$A$25 + AN18*'Spreadsheet Key'!$A$26</f>
        <v>1136</v>
      </c>
      <c r="AR18">
        <f>AJ18/('JUN Statistics'!$B$30)*ABS(AI18-1)</f>
        <v>5.1896207584830337E-2</v>
      </c>
      <c r="AS18">
        <f>AI18*AT18</f>
        <v>0</v>
      </c>
      <c r="AT18" s="3388">
        <f>AR18*'JUN Statistics'!$C$11</f>
        <v>63.347972455089817</v>
      </c>
      <c r="AU18"/>
      <c r="AV18">
        <f>COUNTIFS($D18:$AG18,"8",$D$4:$AG$4,"0")</f>
        <v>2</v>
      </c>
      <c r="AW18">
        <f>COUNTIFS($D18:$AG18,"9",$D$4:$AG$4,"0")</f>
        <v>1</v>
      </c>
      <c r="AX18">
        <f>COUNTIFS($D18:$AG18,"8",$D$4:$AG$4,"1")</f>
        <v>1</v>
      </c>
      <c r="AY18" cm="1">
        <f t="array" ref="AY18">COUNTIFS($D18:$AG18,"9",$D$4:$AG$4,"1")+SUM(COUNTIFS($D18:$AG18,{"8","9"},$D$4:$AG$4,"2"))+COUNTIFS($D18:$AG18,"8",$D$4:$AG$4,"3")</f>
        <v>1</v>
      </c>
      <c r="AZ18">
        <f>COUNTIFS($D18:$AG18,"9",$D$4:$AG$4,"3")</f>
        <v>0</v>
      </c>
      <c r="BA18">
        <f>SUM(AV18:AZ18)</f>
        <v>5</v>
      </c>
      <c r="BB18">
        <f>AV18*'Spreadsheet Key'!$A$27+AW18*'Spreadsheet Key'!$A$28+AX18*'Spreadsheet Key'!$A$29+AY18*'Spreadsheet Key'!$A$30+AZ18*'Spreadsheet Key'!$A$31</f>
        <v>86</v>
      </c>
      <c r="BC18"/>
      <c r="BD18">
        <f>AT18-BB18</f>
        <v>-22.652027544910183</v>
      </c>
    </row>
    <row r="19" spans="1:60">
      <c r="A19" s="3208"/>
      <c r="B19" s="3208"/>
      <c r="C19" s="3180" t="str">
        <f>CONCATENATE(A19," ",UPPER(B19))</f>
        <v xml:space="preserve"> </v>
      </c>
      <c r="D19" s="3490"/>
      <c r="E19" s="3490"/>
      <c r="F19" s="3490"/>
      <c r="G19" s="3490"/>
      <c r="H19" s="3490"/>
      <c r="I19" s="3490"/>
      <c r="J19" s="3490"/>
      <c r="K19" s="3490"/>
      <c r="L19" s="3490"/>
      <c r="M19" s="3490"/>
      <c r="N19" s="3490"/>
      <c r="O19" s="3490"/>
      <c r="P19" s="3490"/>
      <c r="Q19" s="3490"/>
      <c r="R19" s="3490"/>
      <c r="S19" s="3490"/>
      <c r="T19" s="3490"/>
      <c r="U19" s="3490"/>
      <c r="V19" s="3490"/>
      <c r="W19" s="3490"/>
      <c r="X19" s="3490"/>
      <c r="Y19" s="3490"/>
      <c r="Z19" s="3490"/>
      <c r="AA19" s="3490"/>
      <c r="AB19" s="3490"/>
      <c r="AC19" s="3490"/>
      <c r="AD19" s="3490"/>
      <c r="AE19" s="3490"/>
      <c r="AF19" s="3490"/>
      <c r="AG19" s="3490"/>
      <c r="AH19" s="3496"/>
      <c r="AI19" s="3202"/>
      <c r="AT19" s="3388"/>
      <c r="AV19">
        <f>COUNTIFS($D19:$AG19,"8",$D$4:$AG$4,"0")</f>
        <v>0</v>
      </c>
      <c r="AW19">
        <f>COUNTIFS($D19:$AG19,"9",$D$4:$AG$4,"0")</f>
        <v>0</v>
      </c>
      <c r="AX19">
        <f>COUNTIFS($D19:$AG19,"8",$D$4:$AG$4,"1")</f>
        <v>0</v>
      </c>
      <c r="AY19" cm="1">
        <f t="array" ref="AY19">COUNTIFS($D19:$AG19,"9",$D$4:$AG$4,"1")+SUM(COUNTIFS($D19:$AG19,{"8","9"},$D$4:$AG$4,"2"))+COUNTIFS($D19:$AG19,"8",$D$4:$AG$4,"3")</f>
        <v>0</v>
      </c>
      <c r="AZ19">
        <f>COUNTIFS($D19:$AG19,"9",$D$4:$AG$4,"3")</f>
        <v>0</v>
      </c>
      <c r="BA19">
        <f>SUM(AV19:AZ19)</f>
        <v>0</v>
      </c>
      <c r="BB19">
        <f>AV19*'Spreadsheet Key'!$A$27+AW19*'Spreadsheet Key'!$A$28+AX19*'Spreadsheet Key'!$A$29+AY19*'Spreadsheet Key'!$A$30+AZ19*'Spreadsheet Key'!$A$31</f>
        <v>0</v>
      </c>
    </row>
    <row r="20" spans="1:60" s="3211" customFormat="1">
      <c r="A20" s="3421" t="s">
        <v>108</v>
      </c>
      <c r="B20" s="3180" t="s">
        <v>109</v>
      </c>
      <c r="C20" s="3180" t="str">
        <f>CONCATENATE(A20," ",UPPER(B20))</f>
        <v>OS1 TILLMAN</v>
      </c>
      <c r="D20" s="3386">
        <v>0</v>
      </c>
      <c r="E20" s="3386">
        <v>0</v>
      </c>
      <c r="F20" s="3386">
        <v>0</v>
      </c>
      <c r="G20" s="3386">
        <v>0</v>
      </c>
      <c r="H20" s="3386">
        <v>0</v>
      </c>
      <c r="I20" s="3386">
        <v>0</v>
      </c>
      <c r="J20" s="3386">
        <v>8</v>
      </c>
      <c r="K20" s="3386">
        <v>0</v>
      </c>
      <c r="L20" s="3386">
        <v>0</v>
      </c>
      <c r="M20" s="3386">
        <v>0</v>
      </c>
      <c r="N20" s="3386">
        <v>0</v>
      </c>
      <c r="O20" s="3386">
        <v>0</v>
      </c>
      <c r="P20" s="3386">
        <v>8</v>
      </c>
      <c r="Q20" s="3386">
        <v>0</v>
      </c>
      <c r="R20" s="3386">
        <v>0</v>
      </c>
      <c r="S20" s="3386">
        <v>0</v>
      </c>
      <c r="T20" s="3386">
        <v>0</v>
      </c>
      <c r="U20" s="3386">
        <v>0</v>
      </c>
      <c r="V20" s="3386">
        <v>0</v>
      </c>
      <c r="W20" s="3386">
        <v>9</v>
      </c>
      <c r="X20" s="3386">
        <v>0</v>
      </c>
      <c r="Y20" s="3386">
        <v>0</v>
      </c>
      <c r="Z20" s="3386">
        <v>0</v>
      </c>
      <c r="AA20" s="3386">
        <v>0</v>
      </c>
      <c r="AB20" s="3386">
        <v>0</v>
      </c>
      <c r="AC20" s="3386">
        <v>8</v>
      </c>
      <c r="AD20" s="3386">
        <v>0</v>
      </c>
      <c r="AE20" s="3386">
        <v>0</v>
      </c>
      <c r="AF20" s="3386">
        <v>0</v>
      </c>
      <c r="AG20" s="3386">
        <v>0</v>
      </c>
      <c r="AH20" s="3386">
        <v>0</v>
      </c>
      <c r="AI20" s="3202">
        <v>0</v>
      </c>
      <c r="AJ20" cm="1">
        <f t="array" ref="AJ20">SUM(COUNTIFS($D20:$AG20,{"0","4","5","6","7","8","9"}))</f>
        <v>30</v>
      </c>
      <c r="AK20" cm="1">
        <f t="array" ref="AK20">SUM(COUNTIFS($D20:$AG20,{"0","4","5","6","7","8","9"},$D$4:$AG$4,"0"))</f>
        <v>16</v>
      </c>
      <c r="AL20" cm="1">
        <f t="array" ref="AL20">SUM(COUNTIFS($D20:$AG20,{"0","4","5","6","7","8","9"},$D$4:$AG$4,"1"))</f>
        <v>4</v>
      </c>
      <c r="AM20" cm="1">
        <f t="array" ref="AM20">SUM(COUNTIFS($D20:$AG20,{"0","4","5","6","7","8","9"},$D$4:$AG$4,"2"))</f>
        <v>6</v>
      </c>
      <c r="AN20" cm="1">
        <f t="array" ref="AN20">SUM(COUNTIFS($D20:$AG20,{"0","4","5","6","7","8","9"},$D$4:$AG$4,"3"))</f>
        <v>4</v>
      </c>
      <c r="AO20" cm="1">
        <f t="array" ref="AO20">SUM(COUNTIFS($D20:$AG20,{"1","2","3"}))</f>
        <v>0</v>
      </c>
      <c r="AP20" cm="1">
        <f t="array" ref="AP20">SUM(COUNTIFS($D20:$AG20,{"4","5","6"}))</f>
        <v>0</v>
      </c>
      <c r="AQ20">
        <f>AK20*'Spreadsheet Key'!$A$23 + AL20*'Spreadsheet Key'!$A$24 + AM20*'Spreadsheet Key'!$A$25 + AN20*'Spreadsheet Key'!$A$26</f>
        <v>1224</v>
      </c>
      <c r="AR20">
        <f>AJ20/('JUN Statistics'!$B$30)*ABS(AI20-1)</f>
        <v>5.9880239520958084E-2</v>
      </c>
      <c r="AS20">
        <f>AI20*AT20</f>
        <v>0</v>
      </c>
      <c r="AT20" s="3388">
        <f>AR20*'JUN Statistics'!$C$11</f>
        <v>73.09381437125748</v>
      </c>
      <c r="AU20"/>
      <c r="AV20">
        <f>COUNTIFS($D20:$AG20,"8",$D$4:$AG$4,"0")</f>
        <v>0</v>
      </c>
      <c r="AW20">
        <f>COUNTIFS($D20:$AG20,"9",$D$4:$AG$4,"0")</f>
        <v>0</v>
      </c>
      <c r="AX20">
        <f>COUNTIFS($D20:$AG20,"8",$D$4:$AG$4,"1")</f>
        <v>0</v>
      </c>
      <c r="AY20" cm="1">
        <f t="array" ref="AY20">COUNTIFS($D20:$AG20,"9",$D$4:$AG$4,"1")+SUM(COUNTIFS($D20:$AG20,{"8","9"},$D$4:$AG$4,"2"))+COUNTIFS($D20:$AG20,"8",$D$4:$AG$4,"3")</f>
        <v>3</v>
      </c>
      <c r="AZ20">
        <f>COUNTIFS($D20:$AG20,"9",$D$4:$AG$4,"3")</f>
        <v>1</v>
      </c>
      <c r="BA20">
        <f>SUM(AV20:AZ20)</f>
        <v>4</v>
      </c>
      <c r="BB20">
        <f>AV20*'Spreadsheet Key'!$A$27+AW20*'Spreadsheet Key'!$A$28+AX20*'Spreadsheet Key'!$A$29+AY20*'Spreadsheet Key'!$A$30+AZ20*'Spreadsheet Key'!$A$31</f>
        <v>128</v>
      </c>
      <c r="BC20"/>
      <c r="BD20">
        <f>AT20-BB20</f>
        <v>-54.90618562874252</v>
      </c>
    </row>
    <row r="21" spans="1:60">
      <c r="A21" s="3208"/>
      <c r="B21" s="3208"/>
      <c r="C21" s="3180" t="str">
        <f>CONCATENATE(A21," ",UPPER(B21))</f>
        <v xml:space="preserve"> </v>
      </c>
      <c r="D21" s="3415" t="s">
        <v>1426</v>
      </c>
      <c r="E21" s="3415"/>
      <c r="F21" s="3415"/>
      <c r="G21" s="3415"/>
      <c r="H21" s="3415"/>
      <c r="I21" s="3214"/>
      <c r="J21" s="3416"/>
      <c r="K21" s="3415"/>
      <c r="L21" s="3415"/>
      <c r="M21" s="3415"/>
      <c r="N21" s="3415"/>
      <c r="O21" s="3415"/>
      <c r="P21" s="3415"/>
      <c r="Q21" s="3416"/>
      <c r="R21" s="3415"/>
      <c r="S21" s="3415"/>
      <c r="T21" s="3415"/>
      <c r="U21" s="3415"/>
      <c r="V21" s="3415"/>
      <c r="W21" s="3415"/>
      <c r="X21" s="3099"/>
      <c r="Y21" s="3415"/>
      <c r="Z21" s="3415"/>
      <c r="AA21" s="3415"/>
      <c r="AB21" s="3415"/>
      <c r="AC21" s="3415"/>
      <c r="AD21" s="3415"/>
      <c r="AE21" s="3265"/>
      <c r="AF21" s="3415"/>
      <c r="AG21" s="3417"/>
      <c r="AH21" s="3417"/>
      <c r="AI21" s="3202"/>
      <c r="AT21" s="3388"/>
      <c r="AV21">
        <f>COUNTIFS($D21:$AG21,"8",$D$4:$AG$4,"0")</f>
        <v>0</v>
      </c>
      <c r="AW21">
        <f>COUNTIFS($D21:$AG21,"9",$D$4:$AG$4,"0")</f>
        <v>0</v>
      </c>
      <c r="AX21">
        <f>COUNTIFS($D21:$AG21,"8",$D$4:$AG$4,"1")</f>
        <v>0</v>
      </c>
      <c r="AY21" cm="1">
        <f t="array" ref="AY21">COUNTIFS($D21:$AG21,"9",$D$4:$AG$4,"1")+SUM(COUNTIFS($D21:$AG21,{"8","9"},$D$4:$AG$4,"2"))+COUNTIFS($D21:$AG21,"8",$D$4:$AG$4,"3")</f>
        <v>0</v>
      </c>
      <c r="AZ21">
        <f>COUNTIFS($D21:$AG21,"9",$D$4:$AG$4,"3")</f>
        <v>0</v>
      </c>
      <c r="BA21">
        <f>SUM(AV21:AZ21)</f>
        <v>0</v>
      </c>
      <c r="BB21">
        <f>AV21*'Spreadsheet Key'!$A$27+AW21*'Spreadsheet Key'!$A$28+AX21*'Spreadsheet Key'!$A$29+AY21*'Spreadsheet Key'!$A$30+AZ21*'Spreadsheet Key'!$A$31</f>
        <v>0</v>
      </c>
    </row>
    <row r="22" spans="1:60" s="3211" customFormat="1">
      <c r="A22" s="3424" t="s">
        <v>77</v>
      </c>
      <c r="B22" s="3187" t="s">
        <v>201</v>
      </c>
      <c r="C22" s="3180" t="str">
        <f>CONCATENATE(A22," ",UPPER(B22))</f>
        <v>LCDR HUNTLEY</v>
      </c>
      <c r="D22" s="3386">
        <v>2</v>
      </c>
      <c r="E22" s="3386">
        <v>2</v>
      </c>
      <c r="F22" s="3386">
        <v>2</v>
      </c>
      <c r="G22" s="3386">
        <v>2</v>
      </c>
      <c r="H22" s="3386">
        <v>2</v>
      </c>
      <c r="I22" s="3386">
        <v>2</v>
      </c>
      <c r="J22" s="3386">
        <v>2</v>
      </c>
      <c r="K22" s="3386">
        <v>2</v>
      </c>
      <c r="L22" s="3386">
        <v>2</v>
      </c>
      <c r="M22" s="3386">
        <v>2</v>
      </c>
      <c r="N22" s="3386">
        <v>2</v>
      </c>
      <c r="O22" s="3386">
        <v>2</v>
      </c>
      <c r="P22" s="3386">
        <v>2</v>
      </c>
      <c r="Q22" s="3386">
        <v>2</v>
      </c>
      <c r="R22" s="3386">
        <v>2</v>
      </c>
      <c r="S22" s="3386">
        <v>2</v>
      </c>
      <c r="T22" s="3386">
        <v>2</v>
      </c>
      <c r="U22" s="3386">
        <v>2</v>
      </c>
      <c r="V22" s="3386">
        <v>2</v>
      </c>
      <c r="W22" s="3386">
        <v>2</v>
      </c>
      <c r="X22" s="3386">
        <v>2</v>
      </c>
      <c r="Y22" s="3386">
        <v>2</v>
      </c>
      <c r="Z22" s="3386">
        <v>2</v>
      </c>
      <c r="AA22" s="3386">
        <v>2</v>
      </c>
      <c r="AB22" s="3386">
        <v>2</v>
      </c>
      <c r="AC22" s="3386">
        <v>2</v>
      </c>
      <c r="AD22" s="3386">
        <v>2</v>
      </c>
      <c r="AE22" s="3386">
        <v>2</v>
      </c>
      <c r="AF22" s="3386">
        <v>2</v>
      </c>
      <c r="AG22" s="3386">
        <v>2</v>
      </c>
      <c r="AH22" s="3386">
        <v>2</v>
      </c>
      <c r="AI22" s="3202">
        <v>1</v>
      </c>
      <c r="AJ22" cm="1">
        <f t="array" ref="AJ22">SUM(COUNTIFS($D22:$AG22,{"0","4","5","6","7","8","9"}))</f>
        <v>0</v>
      </c>
      <c r="AK22" cm="1">
        <f t="array" ref="AK22">SUM(COUNTIFS($D22:$AG22,{"0","4","5","6","7","8","9"},$D$4:$AG$4,"0"))</f>
        <v>0</v>
      </c>
      <c r="AL22" cm="1">
        <f t="array" ref="AL22">SUM(COUNTIFS($D22:$AG22,{"0","4","5","6","7","8","9"},$D$4:$AG$4,"1"))</f>
        <v>0</v>
      </c>
      <c r="AM22" cm="1">
        <f t="array" ref="AM22">SUM(COUNTIFS($D22:$AG22,{"0","4","5","6","7","8","9"},$D$4:$AG$4,"2"))</f>
        <v>0</v>
      </c>
      <c r="AN22" cm="1">
        <f t="array" ref="AN22">SUM(COUNTIFS($D22:$AG22,{"0","4","5","6","7","8","9"},$D$4:$AG$4,"3"))</f>
        <v>0</v>
      </c>
      <c r="AO22" cm="1">
        <f t="array" ref="AO22">SUM(COUNTIFS($D22:$AG22,{"1","2","3"}))</f>
        <v>30</v>
      </c>
      <c r="AP22" cm="1">
        <f t="array" ref="AP22">SUM(COUNTIFS($D22:$AG22,{"4","5","6"}))</f>
        <v>0</v>
      </c>
      <c r="AQ22">
        <f>AK22*'Spreadsheet Key'!$A$23 + AL22*'Spreadsheet Key'!$A$24 + AM22*'Spreadsheet Key'!$A$25 + AN22*'Spreadsheet Key'!$A$26</f>
        <v>0</v>
      </c>
      <c r="AR22">
        <f>AJ22/('JUN Statistics'!$B$30)*ABS(AI22-1)</f>
        <v>0</v>
      </c>
      <c r="AS22">
        <f>AI22*AT22</f>
        <v>0</v>
      </c>
      <c r="AT22" s="3388">
        <f>(AJ22/'JUN Statistics'!$B$6)*'Spreadsheet Key'!$A$32</f>
        <v>0</v>
      </c>
      <c r="AU22"/>
      <c r="AV22">
        <f>COUNTIFS($D22:$AG22,"8",$D$4:$AG$4,"0")</f>
        <v>0</v>
      </c>
      <c r="AW22">
        <f>COUNTIFS($D22:$AG22,"9",$D$4:$AG$4,"0")</f>
        <v>0</v>
      </c>
      <c r="AX22">
        <f>COUNTIFS($D22:$AG22,"8",$D$4:$AG$4,"1")</f>
        <v>0</v>
      </c>
      <c r="AY22" cm="1">
        <f t="array" ref="AY22">COUNTIFS($D22:$AG22,"9",$D$4:$AG$4,"1")+SUM(COUNTIFS($D22:$AG22,{"8","9"},$D$4:$AG$4,"2"))+COUNTIFS($D22:$AG22,"8",$D$4:$AG$4,"3")</f>
        <v>0</v>
      </c>
      <c r="AZ22">
        <f>COUNTIFS($D22:$AG22,"9",$D$4:$AG$4,"3")</f>
        <v>0</v>
      </c>
      <c r="BA22">
        <f>SUM(AV22:AZ22)</f>
        <v>0</v>
      </c>
      <c r="BB22">
        <f>AV22*'Spreadsheet Key'!$A$27+AW22*'Spreadsheet Key'!$A$28+AX22*'Spreadsheet Key'!$A$29+AY22*'Spreadsheet Key'!$A$30+AZ22*'Spreadsheet Key'!$A$31</f>
        <v>0</v>
      </c>
      <c r="BC22"/>
      <c r="BD22">
        <f>AT22-BB22</f>
        <v>0</v>
      </c>
    </row>
    <row r="23" spans="1:60">
      <c r="A23" s="3212"/>
      <c r="B23" s="3212"/>
      <c r="C23" s="3180" t="str">
        <f>CONCATENATE(A23," ",UPPER(B23))</f>
        <v xml:space="preserve"> </v>
      </c>
      <c r="D23" s="3490"/>
      <c r="E23" s="3490"/>
      <c r="F23" s="3490"/>
      <c r="G23" s="3490"/>
      <c r="H23" s="3490"/>
      <c r="I23" s="3490"/>
      <c r="J23" s="3490"/>
      <c r="K23" s="3490"/>
      <c r="L23" s="3490"/>
      <c r="M23" s="3490"/>
      <c r="N23" s="3490"/>
      <c r="O23" s="3490"/>
      <c r="P23" s="3490"/>
      <c r="Q23" s="3490"/>
      <c r="R23" s="3490"/>
      <c r="S23" s="3490"/>
      <c r="T23" s="3490"/>
      <c r="U23" s="3490"/>
      <c r="V23" s="3490"/>
      <c r="W23" s="3490"/>
      <c r="X23" s="3490"/>
      <c r="Y23" s="3490"/>
      <c r="Z23" s="3490"/>
      <c r="AA23" s="3490"/>
      <c r="AB23" s="3490"/>
      <c r="AC23" s="3490"/>
      <c r="AD23" s="6500" t="s">
        <v>419</v>
      </c>
      <c r="AE23" s="6501"/>
      <c r="AF23" s="6501"/>
      <c r="AG23" s="6501"/>
      <c r="AH23" s="6502"/>
      <c r="AI23" s="3202"/>
      <c r="AT23" s="3388"/>
      <c r="AV23">
        <f>COUNTIFS($D23:$AG23,"8",$D$4:$AG$4,"0")</f>
        <v>0</v>
      </c>
      <c r="AW23">
        <f>COUNTIFS($D23:$AG23,"9",$D$4:$AG$4,"0")</f>
        <v>0</v>
      </c>
      <c r="AX23">
        <f>COUNTIFS($D23:$AG23,"8",$D$4:$AG$4,"1")</f>
        <v>0</v>
      </c>
      <c r="AY23" cm="1">
        <f t="array" ref="AY23">COUNTIFS($D23:$AG23,"9",$D$4:$AG$4,"1")+SUM(COUNTIFS($D23:$AG23,{"8","9"},$D$4:$AG$4,"2"))+COUNTIFS($D23:$AG23,"8",$D$4:$AG$4,"3")</f>
        <v>0</v>
      </c>
      <c r="AZ23">
        <f>COUNTIFS($D23:$AG23,"9",$D$4:$AG$4,"3")</f>
        <v>0</v>
      </c>
      <c r="BA23">
        <f>SUM(AV23:AZ23)</f>
        <v>0</v>
      </c>
      <c r="BB23">
        <f>AV23*'Spreadsheet Key'!$A$27+AW23*'Spreadsheet Key'!$A$28+AX23*'Spreadsheet Key'!$A$29+AY23*'Spreadsheet Key'!$A$30+AZ23*'Spreadsheet Key'!$A$31</f>
        <v>0</v>
      </c>
    </row>
    <row r="24" spans="1:60" s="3211" customFormat="1">
      <c r="A24" s="3422" t="s">
        <v>122</v>
      </c>
      <c r="B24" s="3187" t="s">
        <v>553</v>
      </c>
      <c r="C24" s="3180" t="str">
        <f>CONCATENATE(A24," ",UPPER(B24))</f>
        <v>ENC TRAN</v>
      </c>
      <c r="D24" s="3386">
        <v>0</v>
      </c>
      <c r="E24" s="3386">
        <v>0</v>
      </c>
      <c r="F24" s="3386">
        <v>0</v>
      </c>
      <c r="G24" s="3386">
        <v>8</v>
      </c>
      <c r="H24" s="3386">
        <v>0</v>
      </c>
      <c r="I24" s="3386">
        <v>0</v>
      </c>
      <c r="J24" s="3386">
        <v>0</v>
      </c>
      <c r="K24" s="3386">
        <v>9</v>
      </c>
      <c r="L24" s="3386">
        <v>0</v>
      </c>
      <c r="M24" s="3386">
        <v>0</v>
      </c>
      <c r="N24" s="3386">
        <v>0</v>
      </c>
      <c r="O24" s="3386">
        <v>0</v>
      </c>
      <c r="P24" s="3386">
        <v>0</v>
      </c>
      <c r="Q24" s="3386">
        <v>9</v>
      </c>
      <c r="R24" s="3386">
        <v>0</v>
      </c>
      <c r="S24" s="3386">
        <v>0</v>
      </c>
      <c r="T24" s="3386">
        <v>9</v>
      </c>
      <c r="U24" s="3386">
        <v>0</v>
      </c>
      <c r="V24" s="3386">
        <v>0</v>
      </c>
      <c r="W24" s="3386">
        <v>0</v>
      </c>
      <c r="X24" s="3386">
        <v>0</v>
      </c>
      <c r="Y24" s="3386">
        <v>0</v>
      </c>
      <c r="Z24" s="3386">
        <v>0</v>
      </c>
      <c r="AA24" s="3386">
        <v>9</v>
      </c>
      <c r="AB24" s="3386">
        <v>0</v>
      </c>
      <c r="AC24" s="3386">
        <v>0</v>
      </c>
      <c r="AD24" s="3386">
        <v>2</v>
      </c>
      <c r="AE24" s="3386">
        <v>2</v>
      </c>
      <c r="AF24" s="3386">
        <v>2</v>
      </c>
      <c r="AG24" s="3386">
        <v>2</v>
      </c>
      <c r="AH24" s="3386">
        <v>2</v>
      </c>
      <c r="AI24" s="3202">
        <v>0</v>
      </c>
      <c r="AJ24" cm="1">
        <f t="array" ref="AJ24">SUM(COUNTIFS($D24:$AG24,{"0","4","5","6","7","8","9"}))</f>
        <v>26</v>
      </c>
      <c r="AK24" cm="1">
        <f t="array" ref="AK24">SUM(COUNTIFS($D24:$AG24,{"0","4","5","6","7","8","9"},$D$4:$AG$4,"0"))</f>
        <v>13</v>
      </c>
      <c r="AL24" cm="1">
        <f t="array" ref="AL24">SUM(COUNTIFS($D24:$AG24,{"0","4","5","6","7","8","9"},$D$4:$AG$4,"1"))</f>
        <v>4</v>
      </c>
      <c r="AM24" cm="1">
        <f t="array" ref="AM24">SUM(COUNTIFS($D24:$AG24,{"0","4","5","6","7","8","9"},$D$4:$AG$4,"2"))</f>
        <v>6</v>
      </c>
      <c r="AN24" cm="1">
        <f t="array" ref="AN24">SUM(COUNTIFS($D24:$AG24,{"0","4","5","6","7","8","9"},$D$4:$AG$4,"3"))</f>
        <v>3</v>
      </c>
      <c r="AO24" cm="1">
        <f t="array" ref="AO24">SUM(COUNTIFS($D24:$AG24,{"1","2","3"}))</f>
        <v>4</v>
      </c>
      <c r="AP24" cm="1">
        <f t="array" ref="AP24">SUM(COUNTIFS($D24:$AG24,{"4","5","6"}))</f>
        <v>0</v>
      </c>
      <c r="AQ24">
        <f>AK24*'Spreadsheet Key'!$A$23 + AL24*'Spreadsheet Key'!$A$24 + AM24*'Spreadsheet Key'!$A$25 + AN24*'Spreadsheet Key'!$A$26</f>
        <v>1102</v>
      </c>
      <c r="AR24">
        <f>AJ24/('JUN Statistics'!$B$30)*ABS(AI24-1)</f>
        <v>5.1896207584830337E-2</v>
      </c>
      <c r="AS24">
        <f>AI24*AT24</f>
        <v>0</v>
      </c>
      <c r="AT24" s="3388">
        <f>AR24*'JUN Statistics'!$C$11</f>
        <v>63.347972455089817</v>
      </c>
      <c r="AU24"/>
      <c r="AV24">
        <f>COUNTIFS($D24:$AG24,"8",$D$4:$AG$4,"0")</f>
        <v>0</v>
      </c>
      <c r="AW24">
        <f>COUNTIFS($D24:$AG24,"9",$D$4:$AG$4,"0")</f>
        <v>4</v>
      </c>
      <c r="AX24">
        <f>COUNTIFS($D24:$AG24,"8",$D$4:$AG$4,"1")</f>
        <v>0</v>
      </c>
      <c r="AY24" cm="1">
        <f t="array" ref="AY24">COUNTIFS($D24:$AG24,"9",$D$4:$AG$4,"1")+SUM(COUNTIFS($D24:$AG24,{"8","9"},$D$4:$AG$4,"2"))+COUNTIFS($D24:$AG24,"8",$D$4:$AG$4,"3")</f>
        <v>1</v>
      </c>
      <c r="AZ24">
        <f>COUNTIFS($D24:$AG24,"9",$D$4:$AG$4,"3")</f>
        <v>0</v>
      </c>
      <c r="BA24">
        <f>SUM(AV24:AZ24)</f>
        <v>5</v>
      </c>
      <c r="BB24">
        <f>AV24*'Spreadsheet Key'!$A$27+AW24*'Spreadsheet Key'!$A$28+AX24*'Spreadsheet Key'!$A$29+AY24*'Spreadsheet Key'!$A$30+AZ24*'Spreadsheet Key'!$A$31</f>
        <v>84</v>
      </c>
      <c r="BC24"/>
      <c r="BD24">
        <f>AT24-BB24</f>
        <v>-20.652027544910183</v>
      </c>
    </row>
    <row r="25" spans="1:60">
      <c r="A25" s="3212"/>
      <c r="B25" s="3181"/>
      <c r="C25" s="3180" t="str">
        <f>CONCATENATE(A25," ",UPPER(B25))</f>
        <v xml:space="preserve"> </v>
      </c>
      <c r="D25" s="3490"/>
      <c r="E25" s="3490"/>
      <c r="F25" s="3490"/>
      <c r="G25" s="3490"/>
      <c r="H25" s="3490"/>
      <c r="I25" s="3490"/>
      <c r="J25" s="3490"/>
      <c r="K25" s="3490"/>
      <c r="L25" s="3490"/>
      <c r="M25" s="3490"/>
      <c r="N25" s="3490"/>
      <c r="O25" s="3490"/>
      <c r="P25" s="3490"/>
      <c r="Q25" s="3490"/>
      <c r="R25" s="3490"/>
      <c r="S25" s="3490"/>
      <c r="T25" s="3490"/>
      <c r="U25" s="3490"/>
      <c r="V25" s="3490"/>
      <c r="W25" s="3490"/>
      <c r="X25" s="3490"/>
      <c r="Y25" s="3490"/>
      <c r="Z25" s="3490"/>
      <c r="AA25" s="3490"/>
      <c r="AB25" s="3490"/>
      <c r="AC25" s="3490"/>
      <c r="AD25" s="3490"/>
      <c r="AE25" s="3490"/>
      <c r="AF25" s="3490"/>
      <c r="AG25" s="3490"/>
      <c r="AH25" s="3496"/>
      <c r="AI25" s="3202"/>
      <c r="AT25" s="3388"/>
      <c r="AV25">
        <f>COUNTIFS($D25:$AG25,"8",$D$4:$AG$4,"0")</f>
        <v>0</v>
      </c>
      <c r="AW25">
        <f>COUNTIFS($D25:$AG25,"9",$D$4:$AG$4,"0")</f>
        <v>0</v>
      </c>
      <c r="AX25">
        <f>COUNTIFS($D25:$AG25,"8",$D$4:$AG$4,"1")</f>
        <v>0</v>
      </c>
      <c r="AY25" cm="1">
        <f t="array" ref="AY25">COUNTIFS($D25:$AG25,"9",$D$4:$AG$4,"1")+SUM(COUNTIFS($D25:$AG25,{"8","9"},$D$4:$AG$4,"2"))+COUNTIFS($D25:$AG25,"8",$D$4:$AG$4,"3")</f>
        <v>0</v>
      </c>
      <c r="AZ25">
        <f>COUNTIFS($D25:$AG25,"9",$D$4:$AG$4,"3")</f>
        <v>0</v>
      </c>
      <c r="BA25">
        <f>SUM(AV25:AZ25)</f>
        <v>0</v>
      </c>
      <c r="BB25">
        <f>AV25*'Spreadsheet Key'!$A$27+AW25*'Spreadsheet Key'!$A$28+AX25*'Spreadsheet Key'!$A$29+AY25*'Spreadsheet Key'!$A$30+AZ25*'Spreadsheet Key'!$A$31</f>
        <v>0</v>
      </c>
    </row>
    <row r="26" spans="1:60" s="3211" customFormat="1">
      <c r="A26" s="3187" t="s">
        <v>293</v>
      </c>
      <c r="B26" s="3187" t="s">
        <v>733</v>
      </c>
      <c r="C26" s="3180" t="str">
        <f>CONCATENATE(A26," ",UPPER(B26))</f>
        <v>EMC DAVES</v>
      </c>
      <c r="D26" s="3386">
        <v>0</v>
      </c>
      <c r="E26" s="3386">
        <v>0</v>
      </c>
      <c r="F26" s="3386">
        <v>0</v>
      </c>
      <c r="G26" s="3386">
        <v>0</v>
      </c>
      <c r="H26" s="3386">
        <v>8</v>
      </c>
      <c r="I26" s="3386">
        <v>0</v>
      </c>
      <c r="J26" s="3386">
        <v>0</v>
      </c>
      <c r="K26" s="3386">
        <v>8</v>
      </c>
      <c r="L26" s="3386">
        <v>0</v>
      </c>
      <c r="M26" s="3386">
        <v>0</v>
      </c>
      <c r="N26" s="3386">
        <v>0</v>
      </c>
      <c r="O26" s="3386">
        <v>0</v>
      </c>
      <c r="P26" s="3386">
        <v>0</v>
      </c>
      <c r="Q26" s="3386">
        <v>0</v>
      </c>
      <c r="R26" s="3386">
        <v>8</v>
      </c>
      <c r="S26" s="3386">
        <v>0</v>
      </c>
      <c r="T26" s="3386">
        <v>0</v>
      </c>
      <c r="U26" s="3386">
        <v>0</v>
      </c>
      <c r="V26" s="3386">
        <v>0</v>
      </c>
      <c r="W26" s="3386">
        <v>0</v>
      </c>
      <c r="X26" s="3386">
        <v>0</v>
      </c>
      <c r="Y26" s="3386">
        <v>0</v>
      </c>
      <c r="Z26" s="3386">
        <v>9</v>
      </c>
      <c r="AA26" s="3386">
        <v>0</v>
      </c>
      <c r="AB26" s="3386">
        <v>0</v>
      </c>
      <c r="AC26" s="3386">
        <v>0</v>
      </c>
      <c r="AD26" s="3386">
        <v>9</v>
      </c>
      <c r="AE26" s="3386">
        <v>0</v>
      </c>
      <c r="AF26" s="3386">
        <v>0</v>
      </c>
      <c r="AG26" s="3386">
        <v>0</v>
      </c>
      <c r="AH26" s="3386">
        <v>0</v>
      </c>
      <c r="AI26" s="3202">
        <v>0</v>
      </c>
      <c r="AJ26" cm="1">
        <f t="array" ref="AJ26">SUM(COUNTIFS($D26:$AG26,{"0","4","5","6","7","8","9"}))</f>
        <v>30</v>
      </c>
      <c r="AK26" cm="1">
        <f t="array" ref="AK26">SUM(COUNTIFS($D26:$AG26,{"0","4","5","6","7","8","9"},$D$4:$AG$4,"0"))</f>
        <v>16</v>
      </c>
      <c r="AL26" cm="1">
        <f t="array" ref="AL26">SUM(COUNTIFS($D26:$AG26,{"0","4","5","6","7","8","9"},$D$4:$AG$4,"1"))</f>
        <v>4</v>
      </c>
      <c r="AM26" cm="1">
        <f t="array" ref="AM26">SUM(COUNTIFS($D26:$AG26,{"0","4","5","6","7","8","9"},$D$4:$AG$4,"2"))</f>
        <v>6</v>
      </c>
      <c r="AN26" cm="1">
        <f t="array" ref="AN26">SUM(COUNTIFS($D26:$AG26,{"0","4","5","6","7","8","9"},$D$4:$AG$4,"3"))</f>
        <v>4</v>
      </c>
      <c r="AO26" cm="1">
        <f t="array" ref="AO26">SUM(COUNTIFS($D26:$AG26,{"1","2","3"}))</f>
        <v>0</v>
      </c>
      <c r="AP26" cm="1">
        <f t="array" ref="AP26">SUM(COUNTIFS($D26:$AG26,{"4","5","6"}))</f>
        <v>0</v>
      </c>
      <c r="AQ26">
        <f>AK26*'Spreadsheet Key'!$A$23 + AL26*'Spreadsheet Key'!$A$24 + AM26*'Spreadsheet Key'!$A$25 + AN26*'Spreadsheet Key'!$A$26</f>
        <v>1224</v>
      </c>
      <c r="AR26">
        <f>AJ26/('JUN Statistics'!$B$30)*ABS(AI26-1)</f>
        <v>5.9880239520958084E-2</v>
      </c>
      <c r="AS26">
        <f>AI26*AT26</f>
        <v>0</v>
      </c>
      <c r="AT26" s="3388">
        <f>AR26*'JUN Statistics'!$C$11</f>
        <v>73.09381437125748</v>
      </c>
      <c r="AU26"/>
      <c r="AV26">
        <f>COUNTIFS($D26:$AG26,"8",$D$4:$AG$4,"0")</f>
        <v>2</v>
      </c>
      <c r="AW26">
        <f>COUNTIFS($D26:$AG26,"9",$D$4:$AG$4,"0")</f>
        <v>1</v>
      </c>
      <c r="AX26">
        <f>COUNTIFS($D26:$AG26,"8",$D$4:$AG$4,"1")</f>
        <v>0</v>
      </c>
      <c r="AY26" cm="1">
        <f t="array" ref="AY26">COUNTIFS($D26:$AG26,"9",$D$4:$AG$4,"1")+SUM(COUNTIFS($D26:$AG26,{"8","9"},$D$4:$AG$4,"2"))+COUNTIFS($D26:$AG26,"8",$D$4:$AG$4,"3")</f>
        <v>1</v>
      </c>
      <c r="AZ26">
        <f>COUNTIFS($D26:$AG26,"9",$D$4:$AG$4,"3")</f>
        <v>1</v>
      </c>
      <c r="BA26">
        <f>SUM(AV26:AZ26)</f>
        <v>5</v>
      </c>
      <c r="BB26">
        <f>AV26*'Spreadsheet Key'!$A$27+AW26*'Spreadsheet Key'!$A$28+AX26*'Spreadsheet Key'!$A$29+AY26*'Spreadsheet Key'!$A$30+AZ26*'Spreadsheet Key'!$A$31</f>
        <v>88</v>
      </c>
      <c r="BC26"/>
      <c r="BD26">
        <f>AT26-BB26</f>
        <v>-14.90618562874252</v>
      </c>
    </row>
    <row r="27" spans="1:60">
      <c r="A27" s="3212"/>
      <c r="B27" s="3212"/>
      <c r="C27" s="3180" t="str">
        <f>CONCATENATE(A27," ",UPPER(B27))</f>
        <v xml:space="preserve"> </v>
      </c>
      <c r="D27" s="3497"/>
      <c r="E27" s="3497"/>
      <c r="F27" s="3490"/>
      <c r="G27" s="3497"/>
      <c r="H27" s="3497"/>
      <c r="I27" s="3498"/>
      <c r="J27" s="3497"/>
      <c r="K27" s="3497"/>
      <c r="L27" s="3497"/>
      <c r="M27" s="3497"/>
      <c r="N27" s="3498"/>
      <c r="O27" s="3498"/>
      <c r="P27" s="3497"/>
      <c r="Q27" s="3497"/>
      <c r="R27" s="3490"/>
      <c r="S27" s="3497"/>
      <c r="T27" s="3490"/>
      <c r="U27" s="3490"/>
      <c r="V27" s="3497"/>
      <c r="W27" s="3497"/>
      <c r="X27" s="3497"/>
      <c r="Y27" s="3497"/>
      <c r="Z27" s="3497"/>
      <c r="AA27" s="3497"/>
      <c r="AB27" s="3497"/>
      <c r="AC27" s="3497"/>
      <c r="AD27" s="3497"/>
      <c r="AE27" s="3498"/>
      <c r="AF27" s="6503" t="s">
        <v>637</v>
      </c>
      <c r="AG27" s="6504"/>
      <c r="AH27" s="6505"/>
      <c r="AI27" s="3202"/>
      <c r="AT27" s="3388"/>
      <c r="AV27">
        <f>COUNTIFS($D27:$AG27,"8",$D$4:$AG$4,"0")</f>
        <v>0</v>
      </c>
      <c r="AW27">
        <f>COUNTIFS($D27:$AG27,"9",$D$4:$AG$4,"0")</f>
        <v>0</v>
      </c>
      <c r="AX27">
        <f>COUNTIFS($D27:$AG27,"8",$D$4:$AG$4,"1")</f>
        <v>0</v>
      </c>
      <c r="AY27" cm="1">
        <f t="array" ref="AY27">COUNTIFS($D27:$AG27,"9",$D$4:$AG$4,"1")+SUM(COUNTIFS($D27:$AG27,{"8","9"},$D$4:$AG$4,"2"))+COUNTIFS($D27:$AG27,"8",$D$4:$AG$4,"3")</f>
        <v>0</v>
      </c>
      <c r="AZ27">
        <f>COUNTIFS($D27:$AG27,"9",$D$4:$AG$4,"3")</f>
        <v>0</v>
      </c>
      <c r="BA27">
        <f>SUM(AV27:AZ27)</f>
        <v>0</v>
      </c>
      <c r="BB27">
        <f>AV27*'Spreadsheet Key'!$A$27+AW27*'Spreadsheet Key'!$A$28+AX27*'Spreadsheet Key'!$A$29+AY27*'Spreadsheet Key'!$A$30+AZ27*'Spreadsheet Key'!$A$31</f>
        <v>0</v>
      </c>
    </row>
    <row r="28" spans="1:60" s="3211" customFormat="1">
      <c r="A28" s="3187" t="s">
        <v>692</v>
      </c>
      <c r="B28" s="3187" t="s">
        <v>693</v>
      </c>
      <c r="C28" s="3180" t="str">
        <f>CONCATENATE(A28," ",UPPER(B28))</f>
        <v>GSMC MCKEOWN</v>
      </c>
      <c r="D28" s="3386">
        <v>0</v>
      </c>
      <c r="E28" s="3386">
        <v>0</v>
      </c>
      <c r="F28" s="3386">
        <v>0</v>
      </c>
      <c r="G28" s="3386">
        <v>0</v>
      </c>
      <c r="H28" s="3386">
        <v>0</v>
      </c>
      <c r="I28" s="3386">
        <v>8</v>
      </c>
      <c r="J28" s="3386">
        <v>0</v>
      </c>
      <c r="K28" s="3386">
        <v>0</v>
      </c>
      <c r="L28" s="3386">
        <v>0</v>
      </c>
      <c r="M28" s="3386">
        <v>0</v>
      </c>
      <c r="N28" s="3386">
        <v>0</v>
      </c>
      <c r="O28" s="3386">
        <v>0</v>
      </c>
      <c r="P28" s="3386">
        <v>0</v>
      </c>
      <c r="Q28" s="3386">
        <v>0</v>
      </c>
      <c r="R28" s="3386">
        <v>0</v>
      </c>
      <c r="S28" s="3386">
        <v>0</v>
      </c>
      <c r="T28" s="3386">
        <v>0</v>
      </c>
      <c r="U28" s="3386">
        <v>9</v>
      </c>
      <c r="V28" s="3386">
        <v>0</v>
      </c>
      <c r="W28" s="3386"/>
      <c r="X28" s="3386">
        <v>0</v>
      </c>
      <c r="Y28" s="3386">
        <v>9</v>
      </c>
      <c r="Z28" s="3386">
        <v>0</v>
      </c>
      <c r="AA28" s="3386">
        <v>0</v>
      </c>
      <c r="AB28" s="3386">
        <v>8</v>
      </c>
      <c r="AC28" s="3386">
        <v>0</v>
      </c>
      <c r="AD28" s="3386">
        <v>0</v>
      </c>
      <c r="AE28" s="3386">
        <v>0</v>
      </c>
      <c r="AF28" s="3386">
        <v>2</v>
      </c>
      <c r="AG28" s="3386">
        <v>2</v>
      </c>
      <c r="AH28" s="3386">
        <v>2</v>
      </c>
      <c r="AI28" s="3202">
        <v>0</v>
      </c>
      <c r="AJ28" cm="1">
        <f t="array" ref="AJ28">SUM(COUNTIFS($D28:$AG28,{"0","4","5","6","7","8","9"}))</f>
        <v>27</v>
      </c>
      <c r="AK28" cm="1">
        <f t="array" ref="AK28">SUM(COUNTIFS($D28:$AG28,{"0","4","5","6","7","8","9"},$D$4:$AG$4,"0"))</f>
        <v>14</v>
      </c>
      <c r="AL28" cm="1">
        <f t="array" ref="AL28">SUM(COUNTIFS($D28:$AG28,{"0","4","5","6","7","8","9"},$D$4:$AG$4,"1"))</f>
        <v>4</v>
      </c>
      <c r="AM28" cm="1">
        <f t="array" ref="AM28">SUM(COUNTIFS($D28:$AG28,{"0","4","5","6","7","8","9"},$D$4:$AG$4,"2"))</f>
        <v>6</v>
      </c>
      <c r="AN28" cm="1">
        <f t="array" ref="AN28">SUM(COUNTIFS($D28:$AG28,{"0","4","5","6","7","8","9"},$D$4:$AG$4,"3"))</f>
        <v>3</v>
      </c>
      <c r="AO28" cm="1">
        <f t="array" ref="AO28">SUM(COUNTIFS($D28:$AG28,{"1","2","3"}))</f>
        <v>2</v>
      </c>
      <c r="AP28" cm="1">
        <f t="array" ref="AP28">SUM(COUNTIFS($D28:$AG28,{"4","5","6"}))</f>
        <v>0</v>
      </c>
      <c r="AQ28">
        <f>AK28*'Spreadsheet Key'!$A$23 + AL28*'Spreadsheet Key'!$A$24 + AM28*'Spreadsheet Key'!$A$25 + AN28*'Spreadsheet Key'!$A$26</f>
        <v>1124</v>
      </c>
      <c r="AR28">
        <f>AJ28/('JUN Statistics'!$B$30)*ABS(AI28-1)</f>
        <v>5.3892215568862277E-2</v>
      </c>
      <c r="AS28">
        <f>AI28*AT28</f>
        <v>0</v>
      </c>
      <c r="AT28" s="3388">
        <f>AR28*'JUN Statistics'!$C$11</f>
        <v>65.784432934131743</v>
      </c>
      <c r="AU28"/>
      <c r="AV28">
        <f>COUNTIFS($D28:$AG28,"8",$D$4:$AG$4,"0")</f>
        <v>0</v>
      </c>
      <c r="AW28">
        <f>COUNTIFS($D28:$AG28,"9",$D$4:$AG$4,"0")</f>
        <v>1</v>
      </c>
      <c r="AX28">
        <f>COUNTIFS($D28:$AG28,"8",$D$4:$AG$4,"1")</f>
        <v>1</v>
      </c>
      <c r="AY28" cm="1">
        <f t="array" ref="AY28">COUNTIFS($D28:$AG28,"9",$D$4:$AG$4,"1")+SUM(COUNTIFS($D28:$AG28,{"8","9"},$D$4:$AG$4,"2"))+COUNTIFS($D28:$AG28,"8",$D$4:$AG$4,"3")</f>
        <v>2</v>
      </c>
      <c r="AZ28">
        <f>COUNTIFS($D28:$AG28,"9",$D$4:$AG$4,"3")</f>
        <v>0</v>
      </c>
      <c r="BA28">
        <f>SUM(AV28:AZ28)</f>
        <v>4</v>
      </c>
      <c r="BB28">
        <f>AV28*'Spreadsheet Key'!$A$27+AW28*'Spreadsheet Key'!$A$28+AX28*'Spreadsheet Key'!$A$29+AY28*'Spreadsheet Key'!$A$30+AZ28*'Spreadsheet Key'!$A$31</f>
        <v>102</v>
      </c>
      <c r="BC28"/>
      <c r="BD28">
        <f>AT28-BB28</f>
        <v>-36.215567065868257</v>
      </c>
    </row>
    <row r="29" spans="1:60">
      <c r="A29" s="3212"/>
      <c r="B29" s="3212"/>
      <c r="C29" s="3180" t="str">
        <f>CONCATENATE(A29," ",UPPER(B29))</f>
        <v xml:space="preserve"> </v>
      </c>
      <c r="D29" s="3490"/>
      <c r="E29" s="3490"/>
      <c r="F29" s="3490"/>
      <c r="G29" s="3490"/>
      <c r="H29" s="3490"/>
      <c r="I29" s="3490"/>
      <c r="J29" s="3490"/>
      <c r="K29" s="3490"/>
      <c r="L29" s="3490"/>
      <c r="M29" s="3490"/>
      <c r="N29" s="3490"/>
      <c r="O29" s="3490"/>
      <c r="P29" s="3490"/>
      <c r="Q29" s="3490"/>
      <c r="R29" s="3490"/>
      <c r="S29" s="3490"/>
      <c r="T29" s="3490"/>
      <c r="U29" s="3490"/>
      <c r="V29" s="3490"/>
      <c r="W29" s="3490"/>
      <c r="X29" s="3490"/>
      <c r="Y29" s="3490"/>
      <c r="Z29" s="3490"/>
      <c r="AA29" s="3490"/>
      <c r="AB29" s="3490"/>
      <c r="AC29" s="3490"/>
      <c r="AD29" s="3490"/>
      <c r="AE29" s="3490"/>
      <c r="AF29" s="3490"/>
      <c r="AG29" s="3490"/>
      <c r="AH29" s="3496"/>
      <c r="AI29" s="3202"/>
      <c r="AT29" s="3388"/>
      <c r="AV29">
        <f>COUNTIFS($D29:$AG29,"8",$D$4:$AG$4,"0")</f>
        <v>0</v>
      </c>
      <c r="AW29">
        <f>COUNTIFS($D29:$AG29,"9",$D$4:$AG$4,"0")</f>
        <v>0</v>
      </c>
      <c r="AX29">
        <f>COUNTIFS($D29:$AG29,"8",$D$4:$AG$4,"1")</f>
        <v>0</v>
      </c>
      <c r="AY29" cm="1">
        <f t="array" ref="AY29">COUNTIFS($D29:$AG29,"9",$D$4:$AG$4,"1")+SUM(COUNTIFS($D29:$AG29,{"8","9"},$D$4:$AG$4,"2"))+COUNTIFS($D29:$AG29,"8",$D$4:$AG$4,"3")</f>
        <v>0</v>
      </c>
      <c r="AZ29">
        <f>COUNTIFS($D29:$AG29,"9",$D$4:$AG$4,"3")</f>
        <v>0</v>
      </c>
      <c r="BA29">
        <f>SUM(AV29:AZ29)</f>
        <v>0</v>
      </c>
      <c r="BB29">
        <f>AV29*'Spreadsheet Key'!$A$27+AW29*'Spreadsheet Key'!$A$28+AX29*'Spreadsheet Key'!$A$29+AY29*'Spreadsheet Key'!$A$30+AZ29*'Spreadsheet Key'!$A$31</f>
        <v>0</v>
      </c>
    </row>
    <row r="30" spans="1:60" s="3211" customFormat="1">
      <c r="A30" s="3422" t="s">
        <v>127</v>
      </c>
      <c r="B30" s="3187" t="s">
        <v>657</v>
      </c>
      <c r="C30" s="3180" t="str">
        <f>CONCATENATE(A30," ",UPPER(B30))</f>
        <v>ETC PEARSON</v>
      </c>
      <c r="D30" s="3386">
        <v>0</v>
      </c>
      <c r="E30" s="3386">
        <v>0</v>
      </c>
      <c r="F30" s="3386">
        <v>0</v>
      </c>
      <c r="G30" s="3386">
        <v>0</v>
      </c>
      <c r="H30" s="3386">
        <v>9</v>
      </c>
      <c r="I30" s="3386">
        <v>0</v>
      </c>
      <c r="J30" s="3386">
        <v>0</v>
      </c>
      <c r="K30" s="3386">
        <v>0</v>
      </c>
      <c r="L30" s="3386">
        <v>0</v>
      </c>
      <c r="M30" s="3386">
        <v>9</v>
      </c>
      <c r="N30" s="3386">
        <v>0</v>
      </c>
      <c r="O30" s="3386">
        <v>0</v>
      </c>
      <c r="P30" s="3386">
        <v>0</v>
      </c>
      <c r="Q30" s="3386">
        <v>0</v>
      </c>
      <c r="R30" s="3386">
        <v>0</v>
      </c>
      <c r="S30" s="3386">
        <v>0</v>
      </c>
      <c r="T30" s="3386">
        <v>8</v>
      </c>
      <c r="U30" s="3386">
        <v>0</v>
      </c>
      <c r="V30" s="3386">
        <v>0</v>
      </c>
      <c r="W30" s="3386">
        <v>8</v>
      </c>
      <c r="X30" s="3386">
        <v>0</v>
      </c>
      <c r="Y30" s="3386">
        <v>0</v>
      </c>
      <c r="Z30" s="3386">
        <v>0</v>
      </c>
      <c r="AA30" s="3386">
        <v>0</v>
      </c>
      <c r="AB30" s="3386">
        <v>0</v>
      </c>
      <c r="AC30" s="3386">
        <v>9</v>
      </c>
      <c r="AD30" s="3386">
        <v>0</v>
      </c>
      <c r="AE30" s="3386">
        <v>0</v>
      </c>
      <c r="AF30" s="3386">
        <v>0</v>
      </c>
      <c r="AG30" s="3386">
        <v>0</v>
      </c>
      <c r="AH30" s="3386">
        <v>0</v>
      </c>
      <c r="AI30" s="3202">
        <v>0</v>
      </c>
      <c r="AJ30" cm="1">
        <f t="array" ref="AJ30">SUM(COUNTIFS($D30:$AG30,{"0","4","5","6","7","8","9"}))</f>
        <v>30</v>
      </c>
      <c r="AK30" cm="1">
        <f t="array" ref="AK30">SUM(COUNTIFS($D30:$AG30,{"0","4","5","6","7","8","9"},$D$4:$AG$4,"0"))</f>
        <v>16</v>
      </c>
      <c r="AL30" cm="1">
        <f t="array" ref="AL30">SUM(COUNTIFS($D30:$AG30,{"0","4","5","6","7","8","9"},$D$4:$AG$4,"1"))</f>
        <v>4</v>
      </c>
      <c r="AM30" cm="1">
        <f t="array" ref="AM30">SUM(COUNTIFS($D30:$AG30,{"0","4","5","6","7","8","9"},$D$4:$AG$4,"2"))</f>
        <v>6</v>
      </c>
      <c r="AN30" cm="1">
        <f t="array" ref="AN30">SUM(COUNTIFS($D30:$AG30,{"0","4","5","6","7","8","9"},$D$4:$AG$4,"3"))</f>
        <v>4</v>
      </c>
      <c r="AO30" cm="1">
        <f t="array" ref="AO30">SUM(COUNTIFS($D30:$AG30,{"1","2","3"}))</f>
        <v>0</v>
      </c>
      <c r="AP30" cm="1">
        <f t="array" ref="AP30">SUM(COUNTIFS($D30:$AG30,{"4","5","6"}))</f>
        <v>0</v>
      </c>
      <c r="AQ30">
        <f>AK30*'Spreadsheet Key'!$A$23 + AL30*'Spreadsheet Key'!$A$24 + AM30*'Spreadsheet Key'!$A$25 + AN30*'Spreadsheet Key'!$A$26</f>
        <v>1224</v>
      </c>
      <c r="AR30">
        <f>AJ30/('JUN Statistics'!$B$30)*ABS(AI30-1)</f>
        <v>5.9880239520958084E-2</v>
      </c>
      <c r="AS30">
        <f>AI30*AT30</f>
        <v>0</v>
      </c>
      <c r="AT30" s="3388">
        <f>AR30*'JUN Statistics'!$C$11</f>
        <v>73.09381437125748</v>
      </c>
      <c r="AU30"/>
      <c r="AV30">
        <f>COUNTIFS($D30:$AG30,"8",$D$4:$AG$4,"0")</f>
        <v>1</v>
      </c>
      <c r="AW30">
        <f>COUNTIFS($D30:$AG30,"9",$D$4:$AG$4,"0")</f>
        <v>1</v>
      </c>
      <c r="AX30">
        <f>COUNTIFS($D30:$AG30,"8",$D$4:$AG$4,"1")</f>
        <v>0</v>
      </c>
      <c r="AY30" cm="1">
        <f t="array" ref="AY30">COUNTIFS($D30:$AG30,"9",$D$4:$AG$4,"1")+SUM(COUNTIFS($D30:$AG30,{"8","9"},$D$4:$AG$4,"2"))+COUNTIFS($D30:$AG30,"8",$D$4:$AG$4,"3")</f>
        <v>3</v>
      </c>
      <c r="AZ30">
        <f>COUNTIFS($D30:$AG30,"9",$D$4:$AG$4,"3")</f>
        <v>0</v>
      </c>
      <c r="BA30">
        <f>SUM(AV30:AZ30)</f>
        <v>5</v>
      </c>
      <c r="BB30">
        <f>AV30*'Spreadsheet Key'!$A$27+AW30*'Spreadsheet Key'!$A$28+AX30*'Spreadsheet Key'!$A$29+AY30*'Spreadsheet Key'!$A$30+AZ30*'Spreadsheet Key'!$A$31</f>
        <v>130</v>
      </c>
      <c r="BC30"/>
      <c r="BD30">
        <f>AT30-BB30</f>
        <v>-56.90618562874252</v>
      </c>
    </row>
    <row r="31" spans="1:60">
      <c r="A31" s="3212"/>
      <c r="B31" s="3212"/>
      <c r="C31" s="3180" t="str">
        <f>CONCATENATE(A31," ",UPPER(B31))</f>
        <v xml:space="preserve"> </v>
      </c>
      <c r="D31" s="3491"/>
      <c r="E31" s="3491"/>
      <c r="F31" s="3491"/>
      <c r="G31" s="3491"/>
      <c r="H31" s="3401" t="s">
        <v>1386</v>
      </c>
      <c r="I31" s="6192" t="s">
        <v>1427</v>
      </c>
      <c r="J31" s="6317"/>
      <c r="K31" s="6317"/>
      <c r="L31" s="6317"/>
      <c r="M31" s="6317"/>
      <c r="N31" s="6317"/>
      <c r="O31" s="6317"/>
      <c r="P31" s="6317"/>
      <c r="Q31" s="6317"/>
      <c r="R31" s="6317"/>
      <c r="S31" s="6317"/>
      <c r="T31" s="3391" t="s">
        <v>1386</v>
      </c>
      <c r="U31" s="3499"/>
      <c r="V31" s="3490"/>
      <c r="W31" s="3490"/>
      <c r="X31" s="3490"/>
      <c r="Y31" s="3490"/>
      <c r="Z31" s="3490"/>
      <c r="AA31" s="3490"/>
      <c r="AB31" s="3490"/>
      <c r="AC31" s="3490"/>
      <c r="AD31" s="3490"/>
      <c r="AE31" s="3490"/>
      <c r="AF31" s="3490"/>
      <c r="AG31" s="3490"/>
      <c r="AH31" s="3496"/>
      <c r="AI31" s="3202"/>
      <c r="AT31" s="3388"/>
      <c r="AV31">
        <f>COUNTIFS($D31:$AG31,"8",$D$4:$AG$4,"0")</f>
        <v>0</v>
      </c>
      <c r="AW31">
        <f>COUNTIFS($D31:$AG31,"9",$D$4:$AG$4,"0")</f>
        <v>0</v>
      </c>
      <c r="AX31">
        <f>COUNTIFS($D31:$AG31,"8",$D$4:$AG$4,"1")</f>
        <v>0</v>
      </c>
      <c r="AY31" cm="1">
        <f t="array" ref="AY31">COUNTIFS($D31:$AG31,"9",$D$4:$AG$4,"1")+SUM(COUNTIFS($D31:$AG31,{"8","9"},$D$4:$AG$4,"2"))+COUNTIFS($D31:$AG31,"8",$D$4:$AG$4,"3")</f>
        <v>0</v>
      </c>
      <c r="AZ31">
        <f>COUNTIFS($D31:$AG31,"9",$D$4:$AG$4,"3")</f>
        <v>0</v>
      </c>
      <c r="BA31">
        <f>SUM(AV31:AZ31)</f>
        <v>0</v>
      </c>
      <c r="BB31">
        <f>AV31*'Spreadsheet Key'!$A$27+AW31*'Spreadsheet Key'!$A$28+AX31*'Spreadsheet Key'!$A$29+AY31*'Spreadsheet Key'!$A$30+AZ31*'Spreadsheet Key'!$A$31</f>
        <v>0</v>
      </c>
      <c r="BE31" s="3232"/>
      <c r="BF31" s="3232"/>
      <c r="BG31" s="3232"/>
      <c r="BH31" s="3232"/>
    </row>
    <row r="32" spans="1:60" s="3211" customFormat="1">
      <c r="A32" s="3424" t="s">
        <v>155</v>
      </c>
      <c r="B32" s="3187" t="s">
        <v>135</v>
      </c>
      <c r="C32" s="3180" t="str">
        <f>CONCATENATE(A32," ",UPPER(B32))</f>
        <v>GMC OGLE</v>
      </c>
      <c r="D32" s="3386">
        <v>0</v>
      </c>
      <c r="E32" s="3386">
        <v>0</v>
      </c>
      <c r="F32" s="3386">
        <v>8</v>
      </c>
      <c r="G32" s="3386">
        <v>0</v>
      </c>
      <c r="H32" s="3386">
        <v>1</v>
      </c>
      <c r="I32" s="3386">
        <v>2</v>
      </c>
      <c r="J32" s="3386">
        <v>2</v>
      </c>
      <c r="K32" s="3386">
        <v>2</v>
      </c>
      <c r="L32" s="3386">
        <v>2</v>
      </c>
      <c r="M32" s="3386">
        <v>2</v>
      </c>
      <c r="N32" s="3386">
        <v>2</v>
      </c>
      <c r="O32" s="3386">
        <v>2</v>
      </c>
      <c r="P32" s="3386">
        <v>2</v>
      </c>
      <c r="Q32" s="3386">
        <v>2</v>
      </c>
      <c r="R32" s="3386">
        <v>2</v>
      </c>
      <c r="S32" s="3386">
        <v>2</v>
      </c>
      <c r="T32" s="3386">
        <v>3</v>
      </c>
      <c r="U32" s="3386">
        <v>0</v>
      </c>
      <c r="V32" s="3386">
        <v>0</v>
      </c>
      <c r="W32" s="3386">
        <v>0</v>
      </c>
      <c r="X32" s="3386">
        <v>9</v>
      </c>
      <c r="Y32" s="3386">
        <v>0</v>
      </c>
      <c r="Z32" s="3386">
        <v>0</v>
      </c>
      <c r="AA32" s="3386">
        <v>0</v>
      </c>
      <c r="AB32" s="3386">
        <v>9</v>
      </c>
      <c r="AC32" s="3386">
        <v>0</v>
      </c>
      <c r="AD32" s="3386">
        <v>0</v>
      </c>
      <c r="AE32" s="3386">
        <v>8</v>
      </c>
      <c r="AF32" s="3386">
        <v>0</v>
      </c>
      <c r="AG32" s="3386">
        <v>0</v>
      </c>
      <c r="AH32" s="3386">
        <v>0</v>
      </c>
      <c r="AI32" s="3202">
        <v>0</v>
      </c>
      <c r="AJ32" cm="1">
        <f t="array" ref="AJ32">SUM(COUNTIFS($D32:$AG32,{"0","4","5","6","7","8","9"}))</f>
        <v>17</v>
      </c>
      <c r="AK32" cm="1">
        <f t="array" ref="AK32">SUM(COUNTIFS($D32:$AG32,{"0","4","5","6","7","8","9"},$D$4:$AG$4,"0"))</f>
        <v>9</v>
      </c>
      <c r="AL32" cm="1">
        <f t="array" ref="AL32">SUM(COUNTIFS($D32:$AG32,{"0","4","5","6","7","8","9"},$D$4:$AG$4,"1"))</f>
        <v>3</v>
      </c>
      <c r="AM32" cm="1">
        <f t="array" ref="AM32">SUM(COUNTIFS($D32:$AG32,{"0","4","5","6","7","8","9"},$D$4:$AG$4,"2"))</f>
        <v>3</v>
      </c>
      <c r="AN32" cm="1">
        <f t="array" ref="AN32">SUM(COUNTIFS($D32:$AG32,{"0","4","5","6","7","8","9"},$D$4:$AG$4,"3"))</f>
        <v>2</v>
      </c>
      <c r="AO32" cm="1">
        <f t="array" ref="AO32">SUM(COUNTIFS($D32:$AG32,{"1","2","3"}))</f>
        <v>13</v>
      </c>
      <c r="AP32" cm="1">
        <f t="array" ref="AP32">SUM(COUNTIFS($D32:$AG32,{"4","5","6"}))</f>
        <v>0</v>
      </c>
      <c r="AQ32">
        <f>AK32*'Spreadsheet Key'!$A$23 + AL32*'Spreadsheet Key'!$A$24 + AM32*'Spreadsheet Key'!$A$25 + AN32*'Spreadsheet Key'!$A$26</f>
        <v>688</v>
      </c>
      <c r="AR32">
        <f>AJ32/('JUN Statistics'!$B$30)*ABS(AI32-1)</f>
        <v>3.3932135728542916E-2</v>
      </c>
      <c r="AS32">
        <f>AI32*AT32</f>
        <v>0</v>
      </c>
      <c r="AT32" s="3388">
        <f>AR32*'JUN Statistics'!$C$11</f>
        <v>41.419828143712579</v>
      </c>
      <c r="AU32"/>
      <c r="AV32">
        <f>COUNTIFS($D32:$AG32,"8",$D$4:$AG$4,"0")</f>
        <v>1</v>
      </c>
      <c r="AW32">
        <f>COUNTIFS($D32:$AG32,"9",$D$4:$AG$4,"0")</f>
        <v>1</v>
      </c>
      <c r="AX32">
        <f>COUNTIFS($D32:$AG32,"8",$D$4:$AG$4,"1")</f>
        <v>1</v>
      </c>
      <c r="AY32" cm="1">
        <f t="array" ref="AY32">COUNTIFS($D32:$AG32,"9",$D$4:$AG$4,"1")+SUM(COUNTIFS($D32:$AG32,{"8","9"},$D$4:$AG$4,"2"))+COUNTIFS($D32:$AG32,"8",$D$4:$AG$4,"3")</f>
        <v>1</v>
      </c>
      <c r="AZ32">
        <f>COUNTIFS($D32:$AG32,"9",$D$4:$AG$4,"3")</f>
        <v>0</v>
      </c>
      <c r="BA32">
        <f>SUM(AV32:AZ32)</f>
        <v>4</v>
      </c>
      <c r="BB32">
        <f>AV32*'Spreadsheet Key'!$A$27+AW32*'Spreadsheet Key'!$A$28+AX32*'Spreadsheet Key'!$A$29+AY32*'Spreadsheet Key'!$A$30+AZ32*'Spreadsheet Key'!$A$31</f>
        <v>76</v>
      </c>
      <c r="BC32"/>
      <c r="BD32">
        <f>AT32-BB32</f>
        <v>-34.580171856287421</v>
      </c>
    </row>
    <row r="33" spans="1:56">
      <c r="A33" s="3212"/>
      <c r="B33" s="3212"/>
      <c r="C33" s="3180" t="str">
        <f>CONCATENATE(A33," ",UPPER(B33))</f>
        <v xml:space="preserve"> </v>
      </c>
      <c r="D33" s="3490"/>
      <c r="E33" s="3490"/>
      <c r="F33" s="3490"/>
      <c r="G33" s="3490"/>
      <c r="H33" s="3490"/>
      <c r="I33" s="3490"/>
      <c r="J33" s="3490"/>
      <c r="K33" s="3490"/>
      <c r="L33" s="3490"/>
      <c r="M33" s="3490"/>
      <c r="N33" s="3490"/>
      <c r="O33" s="3490"/>
      <c r="P33" s="3490"/>
      <c r="Q33" s="3490"/>
      <c r="R33" s="3490"/>
      <c r="S33" s="6506" t="s">
        <v>1428</v>
      </c>
      <c r="T33" s="6507"/>
      <c r="U33" s="6507"/>
      <c r="V33" s="6507"/>
      <c r="W33" s="6507"/>
      <c r="X33" s="6507"/>
      <c r="Y33" s="6507"/>
      <c r="Z33" s="6507"/>
      <c r="AA33" s="6507"/>
      <c r="AB33" s="6507"/>
      <c r="AC33" s="6507"/>
      <c r="AD33" s="6507"/>
      <c r="AE33" s="6507"/>
      <c r="AF33" s="6507"/>
      <c r="AG33" s="6507"/>
      <c r="AH33" s="6508"/>
      <c r="AI33" s="3202"/>
      <c r="AT33" s="3388"/>
      <c r="AV33">
        <f>COUNTIFS($D33:$AG33,"8",$D$4:$AG$4,"0")</f>
        <v>0</v>
      </c>
      <c r="AW33">
        <f>COUNTIFS($D33:$AG33,"9",$D$4:$AG$4,"0")</f>
        <v>0</v>
      </c>
      <c r="AX33">
        <f>COUNTIFS($D33:$AG33,"8",$D$4:$AG$4,"1")</f>
        <v>0</v>
      </c>
      <c r="AY33" cm="1">
        <f t="array" ref="AY33">COUNTIFS($D33:$AG33,"9",$D$4:$AG$4,"1")+SUM(COUNTIFS($D33:$AG33,{"8","9"},$D$4:$AG$4,"2"))+COUNTIFS($D33:$AG33,"8",$D$4:$AG$4,"3")</f>
        <v>0</v>
      </c>
      <c r="AZ33">
        <f>COUNTIFS($D33:$AG33,"9",$D$4:$AG$4,"3")</f>
        <v>0</v>
      </c>
      <c r="BA33">
        <f>SUM(AV33:AZ33)</f>
        <v>0</v>
      </c>
      <c r="BB33">
        <f>AV33*'Spreadsheet Key'!$A$27+AW33*'Spreadsheet Key'!$A$28+AX33*'Spreadsheet Key'!$A$29+AY33*'Spreadsheet Key'!$A$30+AZ33*'Spreadsheet Key'!$A$31</f>
        <v>0</v>
      </c>
    </row>
    <row r="34" spans="1:56" s="3211" customFormat="1">
      <c r="A34" s="3422" t="s">
        <v>129</v>
      </c>
      <c r="B34" s="3187" t="s">
        <v>474</v>
      </c>
      <c r="C34" s="3180" t="str">
        <f>CONCATENATE(A34," ",UPPER(B34))</f>
        <v>FC1 FERNANDEZ</v>
      </c>
      <c r="D34" s="3491">
        <v>0</v>
      </c>
      <c r="E34" s="3491">
        <v>0</v>
      </c>
      <c r="F34" s="3491">
        <v>0</v>
      </c>
      <c r="G34" s="3491">
        <v>0</v>
      </c>
      <c r="H34" s="3491">
        <v>0</v>
      </c>
      <c r="I34" s="3491">
        <v>9</v>
      </c>
      <c r="J34" s="3491">
        <v>0</v>
      </c>
      <c r="K34" s="3491">
        <v>0</v>
      </c>
      <c r="L34" s="3491">
        <v>0</v>
      </c>
      <c r="M34" s="3491">
        <v>0</v>
      </c>
      <c r="N34" s="3491">
        <v>9</v>
      </c>
      <c r="O34" s="3491">
        <v>0</v>
      </c>
      <c r="P34" s="3491">
        <v>0</v>
      </c>
      <c r="Q34" s="3491">
        <v>0</v>
      </c>
      <c r="R34" s="3491">
        <v>9</v>
      </c>
      <c r="S34" s="3491">
        <v>0</v>
      </c>
      <c r="T34" s="3491">
        <v>0</v>
      </c>
      <c r="U34" s="3491">
        <v>0</v>
      </c>
      <c r="V34" s="3491">
        <v>0</v>
      </c>
      <c r="W34" s="3491">
        <v>0</v>
      </c>
      <c r="X34" s="3491">
        <v>0</v>
      </c>
      <c r="Y34" s="3491">
        <v>0</v>
      </c>
      <c r="Z34" s="3491">
        <v>0</v>
      </c>
      <c r="AA34" s="3491">
        <v>0</v>
      </c>
      <c r="AB34" s="3491">
        <v>0</v>
      </c>
      <c r="AC34" s="3491">
        <v>0</v>
      </c>
      <c r="AD34" s="3491">
        <v>0</v>
      </c>
      <c r="AE34" s="3491">
        <v>0</v>
      </c>
      <c r="AF34" s="3491">
        <v>0</v>
      </c>
      <c r="AG34" s="3491">
        <v>0</v>
      </c>
      <c r="AH34" s="3500">
        <v>0</v>
      </c>
      <c r="AI34" s="3202">
        <v>0</v>
      </c>
      <c r="AJ34" cm="1">
        <f t="array" ref="AJ34">SUM(COUNTIFS($D34:$AG34,{"0","4","5","6","7","8","9"}))</f>
        <v>30</v>
      </c>
      <c r="AK34" cm="1">
        <f t="array" ref="AK34">SUM(COUNTIFS($D34:$AG34,{"0","4","5","6","7","8","9"},$D$4:$AG$4,"0"))</f>
        <v>16</v>
      </c>
      <c r="AL34" cm="1">
        <f t="array" ref="AL34">SUM(COUNTIFS($D34:$AG34,{"0","4","5","6","7","8","9"},$D$4:$AG$4,"1"))</f>
        <v>4</v>
      </c>
      <c r="AM34" cm="1">
        <f t="array" ref="AM34">SUM(COUNTIFS($D34:$AG34,{"0","4","5","6","7","8","9"},$D$4:$AG$4,"2"))</f>
        <v>6</v>
      </c>
      <c r="AN34" cm="1">
        <f t="array" ref="AN34">SUM(COUNTIFS($D34:$AG34,{"0","4","5","6","7","8","9"},$D$4:$AG$4,"3"))</f>
        <v>4</v>
      </c>
      <c r="AO34" cm="1">
        <f t="array" ref="AO34">SUM(COUNTIFS($D34:$AG34,{"1","2","3"}))</f>
        <v>0</v>
      </c>
      <c r="AP34" cm="1">
        <f t="array" ref="AP34">SUM(COUNTIFS($D34:$AG34,{"4","5","6"}))</f>
        <v>0</v>
      </c>
      <c r="AQ34">
        <f>AK34*'Spreadsheet Key'!$A$23 + AL34*'Spreadsheet Key'!$A$24 + AM34*'Spreadsheet Key'!$A$25 + AN34*'Spreadsheet Key'!$A$26</f>
        <v>1224</v>
      </c>
      <c r="AR34">
        <f>AJ34/('JUN Statistics'!$B$30)*ABS(AI34-1)</f>
        <v>5.9880239520958084E-2</v>
      </c>
      <c r="AS34">
        <f>AI34*AT34</f>
        <v>0</v>
      </c>
      <c r="AT34" s="3388">
        <f>AR34*'JUN Statistics'!$C$11</f>
        <v>73.09381437125748</v>
      </c>
      <c r="AU34"/>
      <c r="AV34">
        <f>COUNTIFS($D34:$AG34,"8",$D$4:$AG$4,"0")</f>
        <v>0</v>
      </c>
      <c r="AW34">
        <f>COUNTIFS($D34:$AG34,"9",$D$4:$AG$4,"0")</f>
        <v>1</v>
      </c>
      <c r="AX34">
        <f>COUNTIFS($D34:$AG34,"8",$D$4:$AG$4,"1")</f>
        <v>0</v>
      </c>
      <c r="AY34" cm="1">
        <f t="array" ref="AY34">COUNTIFS($D34:$AG34,"9",$D$4:$AG$4,"1")+SUM(COUNTIFS($D34:$AG34,{"8","9"},$D$4:$AG$4,"2"))+COUNTIFS($D34:$AG34,"8",$D$4:$AG$4,"3")</f>
        <v>2</v>
      </c>
      <c r="AZ34">
        <f>COUNTIFS($D34:$AG34,"9",$D$4:$AG$4,"3")</f>
        <v>0</v>
      </c>
      <c r="BA34">
        <f>SUM(AV34:AZ34)</f>
        <v>3</v>
      </c>
      <c r="BB34">
        <f>AV34*'Spreadsheet Key'!$A$27+AW34*'Spreadsheet Key'!$A$28+AX34*'Spreadsheet Key'!$A$29+AY34*'Spreadsheet Key'!$A$30+AZ34*'Spreadsheet Key'!$A$31</f>
        <v>84</v>
      </c>
      <c r="BC34"/>
      <c r="BD34">
        <f>AT34-BB34</f>
        <v>-10.90618562874252</v>
      </c>
    </row>
    <row r="35" spans="1:56">
      <c r="A35" s="3212"/>
      <c r="B35" s="3212"/>
      <c r="C35" s="3180" t="str">
        <f>CONCATENATE(A35," ",UPPER(B35))</f>
        <v xml:space="preserve"> </v>
      </c>
      <c r="D35" s="3501"/>
      <c r="E35" s="3502"/>
      <c r="F35" s="6480" t="s">
        <v>1418</v>
      </c>
      <c r="G35" s="6481"/>
      <c r="H35" s="6481"/>
      <c r="I35" s="6481"/>
      <c r="J35" s="6481"/>
      <c r="K35" s="6481"/>
      <c r="L35" s="6481"/>
      <c r="M35" s="6481"/>
      <c r="N35" s="6481"/>
      <c r="O35" s="6481"/>
      <c r="P35" s="6481"/>
      <c r="Q35" s="6481"/>
      <c r="R35" s="6481"/>
      <c r="S35" s="6481"/>
      <c r="T35" s="6481"/>
      <c r="U35" s="6481"/>
      <c r="V35" s="6481"/>
      <c r="W35" s="6481"/>
      <c r="X35" s="6481"/>
      <c r="Y35" s="6481"/>
      <c r="Z35" s="6481"/>
      <c r="AA35" s="6481"/>
      <c r="AB35" s="6481"/>
      <c r="AC35" s="6481"/>
      <c r="AD35" s="6482"/>
      <c r="AE35" s="3401" t="s">
        <v>1386</v>
      </c>
      <c r="AF35" s="6483" t="s">
        <v>112</v>
      </c>
      <c r="AG35" s="6484"/>
      <c r="AH35" s="6485"/>
      <c r="AI35" s="3202"/>
      <c r="AT35" s="3388"/>
      <c r="AV35">
        <f>COUNTIFS($D35:$AG35,"8",$D$4:$AG$4,"0")</f>
        <v>0</v>
      </c>
      <c r="AW35">
        <f>COUNTIFS($D35:$AG35,"9",$D$4:$AG$4,"0")</f>
        <v>0</v>
      </c>
      <c r="AX35">
        <f>COUNTIFS($D35:$AG35,"8",$D$4:$AG$4,"1")</f>
        <v>0</v>
      </c>
      <c r="AY35" cm="1">
        <f t="array" ref="AY35">COUNTIFS($D35:$AG35,"9",$D$4:$AG$4,"1")+SUM(COUNTIFS($D35:$AG35,{"8","9"},$D$4:$AG$4,"2"))+COUNTIFS($D35:$AG35,"8",$D$4:$AG$4,"3")</f>
        <v>0</v>
      </c>
      <c r="AZ35">
        <f>COUNTIFS($D35:$AG35,"9",$D$4:$AG$4,"3")</f>
        <v>0</v>
      </c>
      <c r="BA35">
        <f>SUM(AV35:AZ35)</f>
        <v>0</v>
      </c>
      <c r="BB35">
        <f>AV35*'Spreadsheet Key'!$A$27+AW35*'Spreadsheet Key'!$A$28+AX35*'Spreadsheet Key'!$A$29+AY35*'Spreadsheet Key'!$A$30+AZ35*'Spreadsheet Key'!$A$31</f>
        <v>0</v>
      </c>
    </row>
    <row r="36" spans="1:56" s="3211" customFormat="1">
      <c r="A36" s="3180" t="s">
        <v>283</v>
      </c>
      <c r="B36" s="3180" t="s">
        <v>1036</v>
      </c>
      <c r="C36" s="3180" t="str">
        <f>CONCATENATE(A36," ",UPPER(B36))</f>
        <v>LCDR  KIM</v>
      </c>
      <c r="D36" s="3386">
        <v>8</v>
      </c>
      <c r="E36" s="3386">
        <v>0</v>
      </c>
      <c r="F36" s="3386">
        <v>2</v>
      </c>
      <c r="G36" s="3386">
        <v>2</v>
      </c>
      <c r="H36" s="3386">
        <v>2</v>
      </c>
      <c r="I36" s="3386">
        <v>2</v>
      </c>
      <c r="J36" s="3386">
        <v>2</v>
      </c>
      <c r="K36" s="3386">
        <v>2</v>
      </c>
      <c r="L36" s="3386">
        <v>2</v>
      </c>
      <c r="M36" s="3386">
        <v>2</v>
      </c>
      <c r="N36" s="3386">
        <v>2</v>
      </c>
      <c r="O36" s="3386">
        <v>2</v>
      </c>
      <c r="P36" s="3386">
        <v>2</v>
      </c>
      <c r="Q36" s="3386">
        <v>2</v>
      </c>
      <c r="R36" s="3386">
        <v>2</v>
      </c>
      <c r="S36" s="3386">
        <v>2</v>
      </c>
      <c r="T36" s="3386">
        <v>2</v>
      </c>
      <c r="U36" s="3386">
        <v>2</v>
      </c>
      <c r="V36" s="3386">
        <v>2</v>
      </c>
      <c r="W36" s="3386">
        <v>2</v>
      </c>
      <c r="X36" s="3386">
        <v>2</v>
      </c>
      <c r="Y36" s="3386">
        <v>2</v>
      </c>
      <c r="Z36" s="3386">
        <v>2</v>
      </c>
      <c r="AA36" s="3386">
        <v>2</v>
      </c>
      <c r="AB36" s="3386">
        <v>2</v>
      </c>
      <c r="AC36" s="3386">
        <v>2</v>
      </c>
      <c r="AD36" s="3386">
        <v>2</v>
      </c>
      <c r="AE36" s="3386">
        <v>2</v>
      </c>
      <c r="AF36" s="3386">
        <v>2</v>
      </c>
      <c r="AG36" s="3386">
        <v>2</v>
      </c>
      <c r="AH36" s="3386">
        <v>2</v>
      </c>
      <c r="AI36" s="3202">
        <v>1</v>
      </c>
      <c r="AJ36" cm="1">
        <f t="array" ref="AJ36">SUM(COUNTIFS($D36:$AG36,{"0","4","5","6","7","8","9"}))</f>
        <v>2</v>
      </c>
      <c r="AK36" cm="1">
        <f t="array" ref="AK36">SUM(COUNTIFS($D36:$AG36,{"0","4","5","6","7","8","9"},$D$4:$AG$4,"0"))</f>
        <v>2</v>
      </c>
      <c r="AL36" cm="1">
        <f t="array" ref="AL36">SUM(COUNTIFS($D36:$AG36,{"0","4","5","6","7","8","9"},$D$4:$AG$4,"1"))</f>
        <v>0</v>
      </c>
      <c r="AM36" cm="1">
        <f t="array" ref="AM36">SUM(COUNTIFS($D36:$AG36,{"0","4","5","6","7","8","9"},$D$4:$AG$4,"2"))</f>
        <v>0</v>
      </c>
      <c r="AN36" cm="1">
        <f t="array" ref="AN36">SUM(COUNTIFS($D36:$AG36,{"0","4","5","6","7","8","9"},$D$4:$AG$4,"3"))</f>
        <v>0</v>
      </c>
      <c r="AO36" cm="1">
        <f t="array" ref="AO36">SUM(COUNTIFS($D36:$AG36,{"1","2","3"}))</f>
        <v>28</v>
      </c>
      <c r="AP36" cm="1">
        <f t="array" ref="AP36">SUM(COUNTIFS($D36:$AG36,{"4","5","6"}))</f>
        <v>0</v>
      </c>
      <c r="AQ36">
        <f>AK36*'Spreadsheet Key'!$A$23 + AL36*'Spreadsheet Key'!$A$24 + AM36*'Spreadsheet Key'!$A$25 + AN36*'Spreadsheet Key'!$A$26</f>
        <v>44</v>
      </c>
      <c r="AR36">
        <f>AJ36/('JUN Statistics'!$B$30)*ABS(AI36-1)</f>
        <v>0</v>
      </c>
      <c r="AS36">
        <f>AI36*AT36</f>
        <v>1.8666666666666667</v>
      </c>
      <c r="AT36" s="3388">
        <f>(AJ36/'JUN Statistics'!$B$6)*'Spreadsheet Key'!$A$32</f>
        <v>1.8666666666666667</v>
      </c>
      <c r="AU36"/>
      <c r="AV36">
        <f>COUNTIFS($D36:$AG36,"8",$D$4:$AG$4,"0")</f>
        <v>1</v>
      </c>
      <c r="AW36">
        <f>COUNTIFS($D36:$AG36,"9",$D$4:$AG$4,"0")</f>
        <v>0</v>
      </c>
      <c r="AX36">
        <f>COUNTIFS($D36:$AG36,"8",$D$4:$AG$4,"1")</f>
        <v>0</v>
      </c>
      <c r="AY36" cm="1">
        <f t="array" ref="AY36">COUNTIFS($D36:$AG36,"9",$D$4:$AG$4,"1")+SUM(COUNTIFS($D36:$AG36,{"8","9"},$D$4:$AG$4,"2"))+COUNTIFS($D36:$AG36,"8",$D$4:$AG$4,"3")</f>
        <v>0</v>
      </c>
      <c r="AZ36">
        <f>COUNTIFS($D36:$AG36,"9",$D$4:$AG$4,"3")</f>
        <v>0</v>
      </c>
      <c r="BA36">
        <f>SUM(AV36:AZ36)</f>
        <v>1</v>
      </c>
      <c r="BB36">
        <f>AV36*'Spreadsheet Key'!$A$27+AW36*'Spreadsheet Key'!$A$28+AX36*'Spreadsheet Key'!$A$29+AY36*'Spreadsheet Key'!$A$30+AZ36*'Spreadsheet Key'!$A$31</f>
        <v>10</v>
      </c>
      <c r="BC36"/>
      <c r="BD36">
        <f>AT36-BB36</f>
        <v>-8.1333333333333329</v>
      </c>
    </row>
    <row r="37" spans="1:56">
      <c r="A37" s="3208"/>
      <c r="B37" s="3208"/>
      <c r="C37" s="3180" t="str">
        <f>CONCATENATE(A37," ",UPPER(B37))</f>
        <v xml:space="preserve"> </v>
      </c>
      <c r="D37" s="3501"/>
      <c r="E37" s="3502"/>
      <c r="F37" s="6480" t="s">
        <v>1418</v>
      </c>
      <c r="G37" s="6481"/>
      <c r="H37" s="6481"/>
      <c r="I37" s="6481"/>
      <c r="J37" s="6481"/>
      <c r="K37" s="6481"/>
      <c r="L37" s="6481"/>
      <c r="M37" s="6481"/>
      <c r="N37" s="6481"/>
      <c r="O37" s="6481"/>
      <c r="P37" s="6481"/>
      <c r="Q37" s="6481"/>
      <c r="R37" s="6481"/>
      <c r="S37" s="6481"/>
      <c r="T37" s="6481"/>
      <c r="U37" s="6481"/>
      <c r="V37" s="6481"/>
      <c r="W37" s="6481"/>
      <c r="X37" s="6481"/>
      <c r="Y37" s="6481"/>
      <c r="Z37" s="6481"/>
      <c r="AA37" s="6481"/>
      <c r="AB37" s="6481"/>
      <c r="AC37" s="6481"/>
      <c r="AD37" s="6482"/>
      <c r="AE37" s="3401" t="s">
        <v>1386</v>
      </c>
      <c r="AF37" s="6483" t="s">
        <v>112</v>
      </c>
      <c r="AG37" s="6484"/>
      <c r="AH37" s="6485"/>
      <c r="AI37" s="3202"/>
      <c r="AT37" s="3388"/>
      <c r="AV37">
        <f>COUNTIFS($D37:$AG37,"8",$D$4:$AG$4,"0")</f>
        <v>0</v>
      </c>
      <c r="AW37">
        <f>COUNTIFS($D37:$AG37,"9",$D$4:$AG$4,"0")</f>
        <v>0</v>
      </c>
      <c r="AX37">
        <f>COUNTIFS($D37:$AG37,"8",$D$4:$AG$4,"1")</f>
        <v>0</v>
      </c>
      <c r="AY37" cm="1">
        <f t="array" ref="AY37">COUNTIFS($D37:$AG37,"9",$D$4:$AG$4,"1")+SUM(COUNTIFS($D37:$AG37,{"8","9"},$D$4:$AG$4,"2"))+COUNTIFS($D37:$AG37,"8",$D$4:$AG$4,"3")</f>
        <v>0</v>
      </c>
      <c r="AZ37">
        <f>COUNTIFS($D37:$AG37,"9",$D$4:$AG$4,"3")</f>
        <v>0</v>
      </c>
      <c r="BA37">
        <f>SUM(AV37:AZ37)</f>
        <v>0</v>
      </c>
      <c r="BB37">
        <f>AV37*'Spreadsheet Key'!$A$27+AW37*'Spreadsheet Key'!$A$28+AX37*'Spreadsheet Key'!$A$29+AY37*'Spreadsheet Key'!$A$30+AZ37*'Spreadsheet Key'!$A$31</f>
        <v>0</v>
      </c>
    </row>
    <row r="38" spans="1:56" s="3211" customFormat="1">
      <c r="A38" s="3423" t="s">
        <v>95</v>
      </c>
      <c r="B38" s="3180" t="s">
        <v>1058</v>
      </c>
      <c r="C38" s="3180" t="str">
        <f>CONCATENATE(A38," ",UPPER(B38))</f>
        <v>LT GARCIA</v>
      </c>
      <c r="D38" s="3386">
        <v>9</v>
      </c>
      <c r="E38" s="3386">
        <v>0</v>
      </c>
      <c r="F38" s="3386">
        <v>2</v>
      </c>
      <c r="G38" s="3386">
        <v>2</v>
      </c>
      <c r="H38" s="3386">
        <v>2</v>
      </c>
      <c r="I38" s="3386">
        <v>2</v>
      </c>
      <c r="J38" s="3386">
        <v>2</v>
      </c>
      <c r="K38" s="3386">
        <v>2</v>
      </c>
      <c r="L38" s="3386">
        <v>2</v>
      </c>
      <c r="M38" s="3386">
        <v>2</v>
      </c>
      <c r="N38" s="3386">
        <v>2</v>
      </c>
      <c r="O38" s="3386">
        <v>2</v>
      </c>
      <c r="P38" s="3386">
        <v>2</v>
      </c>
      <c r="Q38" s="3386">
        <v>2</v>
      </c>
      <c r="R38" s="3386">
        <v>2</v>
      </c>
      <c r="S38" s="3386">
        <v>2</v>
      </c>
      <c r="T38" s="3386">
        <v>2</v>
      </c>
      <c r="U38" s="3386">
        <v>2</v>
      </c>
      <c r="V38" s="3386">
        <v>2</v>
      </c>
      <c r="W38" s="3386">
        <v>2</v>
      </c>
      <c r="X38" s="3386">
        <v>2</v>
      </c>
      <c r="Y38" s="3386">
        <v>2</v>
      </c>
      <c r="Z38" s="3386">
        <v>2</v>
      </c>
      <c r="AA38" s="3386">
        <v>2</v>
      </c>
      <c r="AB38" s="3386">
        <v>2</v>
      </c>
      <c r="AC38" s="3386">
        <v>2</v>
      </c>
      <c r="AD38" s="3386">
        <v>2</v>
      </c>
      <c r="AE38" s="3386">
        <v>2</v>
      </c>
      <c r="AF38" s="3386">
        <v>2</v>
      </c>
      <c r="AG38" s="3386">
        <v>2</v>
      </c>
      <c r="AH38" s="3386">
        <v>2</v>
      </c>
      <c r="AI38" s="3202">
        <v>0</v>
      </c>
      <c r="AJ38" cm="1">
        <f t="array" ref="AJ38">SUM(COUNTIFS($D38:$AG38,{"0","4","5","6","7","8","9"}))</f>
        <v>2</v>
      </c>
      <c r="AK38" cm="1">
        <f t="array" ref="AK38">SUM(COUNTIFS($D38:$AG38,{"0","4","5","6","7","8","9"},$D$4:$AG$4,"0"))</f>
        <v>2</v>
      </c>
      <c r="AL38" cm="1">
        <f t="array" ref="AL38">SUM(COUNTIFS($D38:$AG38,{"0","4","5","6","7","8","9"},$D$4:$AG$4,"1"))</f>
        <v>0</v>
      </c>
      <c r="AM38" cm="1">
        <f t="array" ref="AM38">SUM(COUNTIFS($D38:$AG38,{"0","4","5","6","7","8","9"},$D$4:$AG$4,"2"))</f>
        <v>0</v>
      </c>
      <c r="AN38" cm="1">
        <f t="array" ref="AN38">SUM(COUNTIFS($D38:$AG38,{"0","4","5","6","7","8","9"},$D$4:$AG$4,"3"))</f>
        <v>0</v>
      </c>
      <c r="AO38" cm="1">
        <f t="array" ref="AO38">SUM(COUNTIFS($D38:$AG38,{"1","2","3"}))</f>
        <v>28</v>
      </c>
      <c r="AP38" cm="1">
        <f t="array" ref="AP38">SUM(COUNTIFS($D38:$AG38,{"4","5","6"}))</f>
        <v>0</v>
      </c>
      <c r="AQ38">
        <f>AK38*'Spreadsheet Key'!$A$23 + AL38*'Spreadsheet Key'!$A$24 + AM38*'Spreadsheet Key'!$A$25 + AN38*'Spreadsheet Key'!$A$26</f>
        <v>44</v>
      </c>
      <c r="AR38">
        <f>AJ38/('JUN Statistics'!$B$30)*ABS(AI38-1)</f>
        <v>3.9920159680638719E-3</v>
      </c>
      <c r="AS38">
        <f>AI38*AT38</f>
        <v>0</v>
      </c>
      <c r="AT38" s="3388">
        <f>AR38*'JUN Statistics'!$C$11</f>
        <v>4.8729209580838315</v>
      </c>
      <c r="AU38"/>
      <c r="AV38">
        <f>COUNTIFS($D38:$AG38,"8",$D$4:$AG$4,"0")</f>
        <v>0</v>
      </c>
      <c r="AW38">
        <f>COUNTIFS($D38:$AG38,"9",$D$4:$AG$4,"0")</f>
        <v>1</v>
      </c>
      <c r="AX38">
        <f>COUNTIFS($D38:$AG38,"8",$D$4:$AG$4,"1")</f>
        <v>0</v>
      </c>
      <c r="AY38" cm="1">
        <f t="array" ref="AY38">COUNTIFS($D38:$AG38,"9",$D$4:$AG$4,"1")+SUM(COUNTIFS($D38:$AG38,{"8","9"},$D$4:$AG$4,"2"))+COUNTIFS($D38:$AG38,"8",$D$4:$AG$4,"3")</f>
        <v>0</v>
      </c>
      <c r="AZ38">
        <f>COUNTIFS($D38:$AG38,"9",$D$4:$AG$4,"3")</f>
        <v>0</v>
      </c>
      <c r="BA38">
        <f>SUM(AV38:AZ38)</f>
        <v>1</v>
      </c>
      <c r="BB38">
        <f>AV38*'Spreadsheet Key'!$A$27+AW38*'Spreadsheet Key'!$A$28+AX38*'Spreadsheet Key'!$A$29+AY38*'Spreadsheet Key'!$A$30+AZ38*'Spreadsheet Key'!$A$31</f>
        <v>12</v>
      </c>
      <c r="BC38"/>
      <c r="BD38">
        <f>AT38-BB38</f>
        <v>-7.1270790419161685</v>
      </c>
    </row>
    <row r="39" spans="1:56">
      <c r="A39" s="3208"/>
      <c r="B39" s="3208"/>
      <c r="C39" s="3180" t="str">
        <f>CONCATENATE(A39," ",UPPER(B39))</f>
        <v xml:space="preserve"> </v>
      </c>
      <c r="D39" s="3501"/>
      <c r="E39" s="3502"/>
      <c r="F39" s="6480" t="s">
        <v>1418</v>
      </c>
      <c r="G39" s="6481"/>
      <c r="H39" s="6481"/>
      <c r="I39" s="6481"/>
      <c r="J39" s="6481"/>
      <c r="K39" s="6481"/>
      <c r="L39" s="6481"/>
      <c r="M39" s="6481"/>
      <c r="N39" s="6481"/>
      <c r="O39" s="6481"/>
      <c r="P39" s="6481"/>
      <c r="Q39" s="6481"/>
      <c r="R39" s="6481"/>
      <c r="S39" s="6481"/>
      <c r="T39" s="6481"/>
      <c r="U39" s="6481"/>
      <c r="V39" s="6481"/>
      <c r="W39" s="6481"/>
      <c r="X39" s="6481"/>
      <c r="Y39" s="6481"/>
      <c r="Z39" s="6481"/>
      <c r="AA39" s="6481"/>
      <c r="AB39" s="6481"/>
      <c r="AC39" s="6481"/>
      <c r="AD39" s="6482"/>
      <c r="AE39" s="3401" t="s">
        <v>1386</v>
      </c>
      <c r="AF39" s="6483" t="s">
        <v>112</v>
      </c>
      <c r="AG39" s="6484"/>
      <c r="AH39" s="6485"/>
      <c r="AI39" s="3202"/>
      <c r="AT39" s="3388"/>
      <c r="AV39">
        <f>COUNTIFS($D39:$AG39,"8",$D$4:$AG$4,"0")</f>
        <v>0</v>
      </c>
      <c r="AW39">
        <f>COUNTIFS($D39:$AG39,"9",$D$4:$AG$4,"0")</f>
        <v>0</v>
      </c>
      <c r="AX39">
        <f>COUNTIFS($D39:$AG39,"8",$D$4:$AG$4,"1")</f>
        <v>0</v>
      </c>
      <c r="AY39" cm="1">
        <f t="array" ref="AY39">COUNTIFS($D39:$AG39,"9",$D$4:$AG$4,"1")+SUM(COUNTIFS($D39:$AG39,{"8","9"},$D$4:$AG$4,"2"))+COUNTIFS($D39:$AG39,"8",$D$4:$AG$4,"3")</f>
        <v>0</v>
      </c>
      <c r="AZ39">
        <f>COUNTIFS($D39:$AG39,"9",$D$4:$AG$4,"3")</f>
        <v>0</v>
      </c>
      <c r="BA39">
        <f>SUM(AV39:AZ39)</f>
        <v>0</v>
      </c>
      <c r="BB39">
        <f>AV39*'Spreadsheet Key'!$A$27+AW39*'Spreadsheet Key'!$A$28+AX39*'Spreadsheet Key'!$A$29+AY39*'Spreadsheet Key'!$A$30+AZ39*'Spreadsheet Key'!$A$31</f>
        <v>0</v>
      </c>
    </row>
    <row r="40" spans="1:56" s="3211" customFormat="1">
      <c r="A40" s="3423" t="s">
        <v>95</v>
      </c>
      <c r="B40" s="3180" t="s">
        <v>620</v>
      </c>
      <c r="C40" s="3180" t="str">
        <f>CONCATENATE(A40," ",UPPER(B40))</f>
        <v>LT GRAHAM</v>
      </c>
      <c r="D40" s="3386">
        <v>0</v>
      </c>
      <c r="E40" s="3386">
        <v>0</v>
      </c>
      <c r="F40" s="3386">
        <v>2</v>
      </c>
      <c r="G40" s="3386">
        <v>2</v>
      </c>
      <c r="H40" s="3386">
        <v>2</v>
      </c>
      <c r="I40" s="3386">
        <v>2</v>
      </c>
      <c r="J40" s="3386">
        <v>2</v>
      </c>
      <c r="K40" s="3386">
        <v>2</v>
      </c>
      <c r="L40" s="3517">
        <v>2</v>
      </c>
      <c r="M40" s="3386">
        <v>2</v>
      </c>
      <c r="N40" s="3386">
        <v>2</v>
      </c>
      <c r="O40" s="3386">
        <v>2</v>
      </c>
      <c r="P40" s="3386">
        <v>2</v>
      </c>
      <c r="Q40" s="3386">
        <v>2</v>
      </c>
      <c r="R40" s="3386">
        <v>2</v>
      </c>
      <c r="S40" s="3386">
        <v>2</v>
      </c>
      <c r="T40" s="3386">
        <v>2</v>
      </c>
      <c r="U40" s="3386">
        <v>2</v>
      </c>
      <c r="V40" s="3386">
        <v>2</v>
      </c>
      <c r="W40" s="3386">
        <v>2</v>
      </c>
      <c r="X40" s="3386">
        <v>2</v>
      </c>
      <c r="Y40" s="3386">
        <v>2</v>
      </c>
      <c r="Z40" s="3386">
        <v>2</v>
      </c>
      <c r="AA40" s="3386">
        <v>2</v>
      </c>
      <c r="AB40" s="3386">
        <v>2</v>
      </c>
      <c r="AC40" s="3386">
        <v>2</v>
      </c>
      <c r="AD40" s="3386">
        <v>2</v>
      </c>
      <c r="AE40" s="3386">
        <v>2</v>
      </c>
      <c r="AF40" s="3386">
        <v>2</v>
      </c>
      <c r="AG40" s="3386">
        <v>2</v>
      </c>
      <c r="AH40" s="3386">
        <v>2</v>
      </c>
      <c r="AI40" s="3202">
        <v>0</v>
      </c>
      <c r="AJ40" cm="1">
        <f t="array" ref="AJ40">SUM(COUNTIFS($D40:$AG40,{"0","4","5","6","7","8","9"}))</f>
        <v>2</v>
      </c>
      <c r="AK40" cm="1">
        <f t="array" ref="AK40">SUM(COUNTIFS($D40:$AG40,{"0","4","5","6","7","8","9"},$D$4:$AG$4,"0"))</f>
        <v>2</v>
      </c>
      <c r="AL40" cm="1">
        <f t="array" ref="AL40">SUM(COUNTIFS($D40:$AG40,{"0","4","5","6","7","8","9"},$D$4:$AG$4,"1"))</f>
        <v>0</v>
      </c>
      <c r="AM40" cm="1">
        <f t="array" ref="AM40">SUM(COUNTIFS($D40:$AG40,{"0","4","5","6","7","8","9"},$D$4:$AG$4,"2"))</f>
        <v>0</v>
      </c>
      <c r="AN40" cm="1">
        <f t="array" ref="AN40">SUM(COUNTIFS($D40:$AG40,{"0","4","5","6","7","8","9"},$D$4:$AG$4,"3"))</f>
        <v>0</v>
      </c>
      <c r="AO40" cm="1">
        <f t="array" ref="AO40">SUM(COUNTIFS($D40:$AG40,{"1","2","3"}))</f>
        <v>28</v>
      </c>
      <c r="AP40" cm="1">
        <f t="array" ref="AP40">SUM(COUNTIFS($D40:$AG40,{"4","5","6"}))</f>
        <v>0</v>
      </c>
      <c r="AQ40">
        <f>AK40*'Spreadsheet Key'!$A$23 + AL40*'Spreadsheet Key'!$A$24 + AM40*'Spreadsheet Key'!$A$25 + AN40*'Spreadsheet Key'!$A$26</f>
        <v>44</v>
      </c>
      <c r="AR40">
        <f>AJ40/('JUN Statistics'!$B$30)*ABS(AI40-1)</f>
        <v>3.9920159680638719E-3</v>
      </c>
      <c r="AS40">
        <f>AI40*AT40</f>
        <v>0</v>
      </c>
      <c r="AT40" s="3388">
        <f>AR40*'JUN Statistics'!$C$11</f>
        <v>4.8729209580838315</v>
      </c>
      <c r="AU40"/>
      <c r="AV40">
        <f>COUNTIFS($D40:$AG40,"8",$D$4:$AG$4,"0")</f>
        <v>0</v>
      </c>
      <c r="AW40">
        <f>COUNTIFS($D40:$AG40,"9",$D$4:$AG$4,"0")</f>
        <v>0</v>
      </c>
      <c r="AX40">
        <f>COUNTIFS($D40:$AG40,"8",$D$4:$AG$4,"1")</f>
        <v>0</v>
      </c>
      <c r="AY40" cm="1">
        <f t="array" ref="AY40">COUNTIFS($D40:$AG40,"9",$D$4:$AG$4,"1")+SUM(COUNTIFS($D40:$AG40,{"8","9"},$D$4:$AG$4,"2"))+COUNTIFS($D40:$AG40,"8",$D$4:$AG$4,"3")</f>
        <v>0</v>
      </c>
      <c r="AZ40">
        <f>COUNTIFS($D40:$AG40,"9",$D$4:$AG$4,"3")</f>
        <v>0</v>
      </c>
      <c r="BA40">
        <f>SUM(AV40:AZ40)</f>
        <v>0</v>
      </c>
      <c r="BB40">
        <f>AV40*'Spreadsheet Key'!$A$27+AW40*'Spreadsheet Key'!$A$28+AX40*'Spreadsheet Key'!$A$29+AY40*'Spreadsheet Key'!$A$30+AZ40*'Spreadsheet Key'!$A$31</f>
        <v>0</v>
      </c>
      <c r="BC40"/>
      <c r="BD40">
        <f>AT40-BB40</f>
        <v>4.8729209580838315</v>
      </c>
    </row>
    <row r="41" spans="1:56" ht="15.75" customHeight="1">
      <c r="A41" s="3208"/>
      <c r="B41" s="3208"/>
      <c r="C41" s="3180" t="str">
        <f>CONCATENATE(A41," ",UPPER(B41))</f>
        <v xml:space="preserve"> </v>
      </c>
      <c r="D41" s="6511" t="s">
        <v>1423</v>
      </c>
      <c r="E41" s="6511"/>
      <c r="F41" s="6511"/>
      <c r="G41" s="3391" t="s">
        <v>1386</v>
      </c>
      <c r="H41" s="6519" t="s">
        <v>1429</v>
      </c>
      <c r="I41" s="6519"/>
      <c r="J41" s="6519"/>
      <c r="K41" s="3492"/>
      <c r="L41" s="3391" t="s">
        <v>1386</v>
      </c>
      <c r="M41" s="6512" t="s">
        <v>1430</v>
      </c>
      <c r="N41" s="6512"/>
      <c r="O41" s="6512"/>
      <c r="P41" s="6512"/>
      <c r="Q41" s="6512"/>
      <c r="R41" s="6512"/>
      <c r="S41" s="6512"/>
      <c r="T41" s="6512"/>
      <c r="U41" s="6512"/>
      <c r="V41" s="6512"/>
      <c r="W41" s="6512"/>
      <c r="X41" s="6512"/>
      <c r="Y41" s="6512"/>
      <c r="Z41" s="6512"/>
      <c r="AA41" s="6512"/>
      <c r="AB41" s="6512"/>
      <c r="AC41" s="6512"/>
      <c r="AD41" s="6513"/>
      <c r="AE41" s="3401" t="s">
        <v>1386</v>
      </c>
      <c r="AF41" s="3490"/>
      <c r="AG41" s="3490"/>
      <c r="AH41" s="3503"/>
      <c r="AI41" s="3202"/>
      <c r="AT41" s="3388"/>
      <c r="AV41">
        <f>COUNTIFS($D41:$AG41,"8",$D$4:$AG$4,"0")</f>
        <v>0</v>
      </c>
      <c r="AW41">
        <f>COUNTIFS($D41:$AG41,"9",$D$4:$AG$4,"0")</f>
        <v>0</v>
      </c>
      <c r="AX41">
        <f>COUNTIFS($D41:$AG41,"8",$D$4:$AG$4,"1")</f>
        <v>0</v>
      </c>
      <c r="AY41" cm="1">
        <f t="array" ref="AY41">COUNTIFS($D41:$AG41,"9",$D$4:$AG$4,"1")+SUM(COUNTIFS($D41:$AG41,{"8","9"},$D$4:$AG$4,"2"))+COUNTIFS($D41:$AG41,"8",$D$4:$AG$4,"3")</f>
        <v>0</v>
      </c>
      <c r="AZ41">
        <f>COUNTIFS($D41:$AG41,"9",$D$4:$AG$4,"3")</f>
        <v>0</v>
      </c>
      <c r="BA41">
        <f>SUM(AV41:AZ41)</f>
        <v>0</v>
      </c>
      <c r="BB41">
        <f>AV41*'Spreadsheet Key'!$A$27+AW41*'Spreadsheet Key'!$A$28+AX41*'Spreadsheet Key'!$A$29+AY41*'Spreadsheet Key'!$A$30+AZ41*'Spreadsheet Key'!$A$31</f>
        <v>0</v>
      </c>
    </row>
    <row r="42" spans="1:56" s="3211" customFormat="1">
      <c r="A42" s="3180" t="s">
        <v>95</v>
      </c>
      <c r="B42" s="3180" t="s">
        <v>1037</v>
      </c>
      <c r="C42" s="3180" t="str">
        <f>CONCATENATE(A42," ",UPPER(B42))</f>
        <v>LT DECKER</v>
      </c>
      <c r="D42" s="3386">
        <v>2</v>
      </c>
      <c r="E42" s="3386">
        <v>2</v>
      </c>
      <c r="F42" s="3386">
        <v>2</v>
      </c>
      <c r="G42" s="3386">
        <v>3</v>
      </c>
      <c r="H42" s="3386">
        <v>4</v>
      </c>
      <c r="I42" s="3386">
        <v>5</v>
      </c>
      <c r="J42" s="3386">
        <v>6</v>
      </c>
      <c r="K42" s="3386">
        <v>0</v>
      </c>
      <c r="L42" s="3518">
        <v>2</v>
      </c>
      <c r="M42" s="3386">
        <v>2</v>
      </c>
      <c r="N42" s="3386">
        <v>2</v>
      </c>
      <c r="O42" s="3386">
        <v>2</v>
      </c>
      <c r="P42" s="3386">
        <v>2</v>
      </c>
      <c r="Q42" s="3386">
        <v>2</v>
      </c>
      <c r="R42" s="3386">
        <v>2</v>
      </c>
      <c r="S42" s="3386">
        <v>2</v>
      </c>
      <c r="T42" s="3386">
        <v>2</v>
      </c>
      <c r="U42" s="3386">
        <v>2</v>
      </c>
      <c r="V42" s="3386">
        <v>2</v>
      </c>
      <c r="W42" s="3386">
        <v>2</v>
      </c>
      <c r="X42" s="3386">
        <v>2</v>
      </c>
      <c r="Y42" s="3386">
        <v>2</v>
      </c>
      <c r="Z42" s="3386">
        <v>2</v>
      </c>
      <c r="AA42" s="3386">
        <v>2</v>
      </c>
      <c r="AB42" s="3386">
        <v>2</v>
      </c>
      <c r="AC42" s="3386">
        <v>2</v>
      </c>
      <c r="AD42" s="3386">
        <v>2</v>
      </c>
      <c r="AE42" s="3386">
        <v>2</v>
      </c>
      <c r="AF42" s="3386">
        <v>0</v>
      </c>
      <c r="AG42" s="3386">
        <v>9</v>
      </c>
      <c r="AH42" s="3386">
        <v>0</v>
      </c>
      <c r="AI42" s="3202">
        <v>0</v>
      </c>
      <c r="AJ42" cm="1">
        <f t="array" ref="AJ42">SUM(COUNTIFS($D42:$AG42,{"0","4","5","6","7","8","9"}))</f>
        <v>6</v>
      </c>
      <c r="AK42" cm="1">
        <f t="array" ref="AK42">SUM(COUNTIFS($D42:$AG42,{"0","4","5","6","7","8","9"},$D$4:$AG$4,"0"))</f>
        <v>3</v>
      </c>
      <c r="AL42" cm="1">
        <f t="array" ref="AL42">SUM(COUNTIFS($D42:$AG42,{"0","4","5","6","7","8","9"},$D$4:$AG$4,"1"))</f>
        <v>0</v>
      </c>
      <c r="AM42" cm="1">
        <f t="array" ref="AM42">SUM(COUNTIFS($D42:$AG42,{"0","4","5","6","7","8","9"},$D$4:$AG$4,"2"))</f>
        <v>2</v>
      </c>
      <c r="AN42" cm="1">
        <f t="array" ref="AN42">SUM(COUNTIFS($D42:$AG42,{"0","4","5","6","7","8","9"},$D$4:$AG$4,"3"))</f>
        <v>1</v>
      </c>
      <c r="AO42" cm="1">
        <f t="array" ref="AO42">SUM(COUNTIFS($D42:$AG42,{"1","2","3"}))</f>
        <v>24</v>
      </c>
      <c r="AP42" cm="1">
        <f t="array" ref="AP42">SUM(COUNTIFS($D42:$AG42,{"4","5","6"}))</f>
        <v>3</v>
      </c>
      <c r="AQ42">
        <f>AK42*'Spreadsheet Key'!$A$23 + AL42*'Spreadsheet Key'!$A$24 + AM42*'Spreadsheet Key'!$A$25 + AN42*'Spreadsheet Key'!$A$26</f>
        <v>266</v>
      </c>
      <c r="AR42">
        <f>AJ42/('JUN Statistics'!$B$30)*ABS(AI42-1)</f>
        <v>1.1976047904191617E-2</v>
      </c>
      <c r="AS42">
        <f>AI42*AT42</f>
        <v>0</v>
      </c>
      <c r="AT42" s="3388">
        <f>AR42*'JUN Statistics'!$C$11</f>
        <v>14.618762874251498</v>
      </c>
      <c r="AU42"/>
      <c r="AV42">
        <f>COUNTIFS($D42:$AG42,"8",$D$4:$AG$4,"0")</f>
        <v>0</v>
      </c>
      <c r="AW42">
        <f>COUNTIFS($D42:$AG42,"9",$D$4:$AG$4,"0")</f>
        <v>1</v>
      </c>
      <c r="AX42">
        <f>COUNTIFS($D42:$AG42,"8",$D$4:$AG$4,"1")</f>
        <v>0</v>
      </c>
      <c r="AY42" cm="1">
        <f t="array" ref="AY42">COUNTIFS($D42:$AG42,"9",$D$4:$AG$4,"1")+SUM(COUNTIFS($D42:$AG42,{"8","9"},$D$4:$AG$4,"2"))+COUNTIFS($D42:$AG42,"8",$D$4:$AG$4,"3")</f>
        <v>0</v>
      </c>
      <c r="AZ42">
        <f>COUNTIFS($D42:$AG42,"9",$D$4:$AG$4,"3")</f>
        <v>0</v>
      </c>
      <c r="BA42">
        <f>SUM(AV42:AZ42)</f>
        <v>1</v>
      </c>
      <c r="BB42">
        <f>AV42*'Spreadsheet Key'!$A$27+AW42*'Spreadsheet Key'!$A$28+AX42*'Spreadsheet Key'!$A$29+AY42*'Spreadsheet Key'!$A$30+AZ42*'Spreadsheet Key'!$A$31</f>
        <v>12</v>
      </c>
      <c r="BC42"/>
      <c r="BD42">
        <f>AT42-BB42</f>
        <v>2.6187628742514981</v>
      </c>
    </row>
    <row r="43" spans="1:56">
      <c r="A43" s="3208"/>
      <c r="B43" s="3208"/>
      <c r="C43" s="3180" t="str">
        <f>CONCATENATE(A43," ",UPPER(B43))</f>
        <v xml:space="preserve"> </v>
      </c>
      <c r="D43" s="3504"/>
      <c r="E43" s="3494"/>
      <c r="F43" s="6480" t="s">
        <v>1418</v>
      </c>
      <c r="G43" s="6481"/>
      <c r="H43" s="6481"/>
      <c r="I43" s="6481"/>
      <c r="J43" s="6481"/>
      <c r="K43" s="6481"/>
      <c r="L43" s="6481"/>
      <c r="M43" s="6481"/>
      <c r="N43" s="6481"/>
      <c r="O43" s="6481"/>
      <c r="P43" s="6481"/>
      <c r="Q43" s="6481"/>
      <c r="R43" s="6481"/>
      <c r="S43" s="6481"/>
      <c r="T43" s="6481"/>
      <c r="U43" s="6481"/>
      <c r="V43" s="6481"/>
      <c r="W43" s="6481"/>
      <c r="X43" s="6481"/>
      <c r="Y43" s="6481"/>
      <c r="Z43" s="6481"/>
      <c r="AA43" s="6481"/>
      <c r="AB43" s="6481"/>
      <c r="AC43" s="6481"/>
      <c r="AD43" s="6482"/>
      <c r="AE43" s="3401" t="s">
        <v>1386</v>
      </c>
      <c r="AF43" s="3490"/>
      <c r="AG43" s="3490"/>
      <c r="AH43" s="3503"/>
      <c r="AI43" s="3202"/>
      <c r="AT43" s="3388"/>
      <c r="AV43">
        <f>COUNTIFS($D43:$AG43,"8",$D$4:$AG$4,"0")</f>
        <v>0</v>
      </c>
      <c r="AW43">
        <f>COUNTIFS($D43:$AG43,"9",$D$4:$AG$4,"0")</f>
        <v>0</v>
      </c>
      <c r="AX43">
        <f>COUNTIFS($D43:$AG43,"8",$D$4:$AG$4,"1")</f>
        <v>0</v>
      </c>
      <c r="AY43" cm="1">
        <f t="array" ref="AY43">COUNTIFS($D43:$AG43,"9",$D$4:$AG$4,"1")+SUM(COUNTIFS($D43:$AG43,{"8","9"},$D$4:$AG$4,"2"))+COUNTIFS($D43:$AG43,"8",$D$4:$AG$4,"3")</f>
        <v>0</v>
      </c>
      <c r="AZ43">
        <f>COUNTIFS($D43:$AG43,"9",$D$4:$AG$4,"3")</f>
        <v>0</v>
      </c>
      <c r="BA43">
        <f>SUM(AV43:AZ43)</f>
        <v>0</v>
      </c>
      <c r="BB43">
        <f>AV43*'Spreadsheet Key'!$A$27+AW43*'Spreadsheet Key'!$A$28+AX43*'Spreadsheet Key'!$A$29+AY43*'Spreadsheet Key'!$A$30+AZ43*'Spreadsheet Key'!$A$31</f>
        <v>0</v>
      </c>
    </row>
    <row r="44" spans="1:56" s="3211" customFormat="1">
      <c r="A44" s="3423" t="s">
        <v>739</v>
      </c>
      <c r="B44" s="3180" t="s">
        <v>740</v>
      </c>
      <c r="C44" s="3180" t="str">
        <f>CONCATENATE(A44," ",UPPER(B44))</f>
        <v>STGC PLACENCIA</v>
      </c>
      <c r="D44" s="3386">
        <v>0</v>
      </c>
      <c r="E44" s="3386">
        <v>0</v>
      </c>
      <c r="F44" s="3386">
        <v>2</v>
      </c>
      <c r="G44" s="3386">
        <v>2</v>
      </c>
      <c r="H44" s="3386">
        <v>2</v>
      </c>
      <c r="I44" s="3386">
        <v>2</v>
      </c>
      <c r="J44" s="3386">
        <v>2</v>
      </c>
      <c r="K44" s="3386">
        <v>2</v>
      </c>
      <c r="L44" s="3517">
        <v>2</v>
      </c>
      <c r="M44" s="3386">
        <v>2</v>
      </c>
      <c r="N44" s="3386">
        <v>2</v>
      </c>
      <c r="O44" s="3386">
        <v>2</v>
      </c>
      <c r="P44" s="3386">
        <v>2</v>
      </c>
      <c r="Q44" s="3386">
        <v>2</v>
      </c>
      <c r="R44" s="3386">
        <v>2</v>
      </c>
      <c r="S44" s="3386">
        <v>2</v>
      </c>
      <c r="T44" s="3386">
        <v>2</v>
      </c>
      <c r="U44" s="3386">
        <v>2</v>
      </c>
      <c r="V44" s="3386">
        <v>2</v>
      </c>
      <c r="W44" s="3386">
        <v>2</v>
      </c>
      <c r="X44" s="3386">
        <v>2</v>
      </c>
      <c r="Y44" s="3386">
        <v>2</v>
      </c>
      <c r="Z44" s="3386">
        <v>2</v>
      </c>
      <c r="AA44" s="3386">
        <v>2</v>
      </c>
      <c r="AB44" s="3386">
        <v>2</v>
      </c>
      <c r="AC44" s="3386">
        <v>2</v>
      </c>
      <c r="AD44" s="3386">
        <v>2</v>
      </c>
      <c r="AE44" s="3386">
        <v>2</v>
      </c>
      <c r="AF44" s="3386">
        <v>0</v>
      </c>
      <c r="AG44" s="3386">
        <v>8</v>
      </c>
      <c r="AH44" s="3386">
        <v>0</v>
      </c>
      <c r="AI44" s="3202">
        <v>0</v>
      </c>
      <c r="AJ44" cm="1">
        <f t="array" ref="AJ44">SUM(COUNTIFS($D44:$AG44,{"0","4","5","6","7","8","9"}))</f>
        <v>4</v>
      </c>
      <c r="AK44" cm="1">
        <f t="array" ref="AK44">SUM(COUNTIFS($D44:$AG44,{"0","4","5","6","7","8","9"},$D$4:$AG$4,"0"))</f>
        <v>4</v>
      </c>
      <c r="AL44" cm="1">
        <f t="array" ref="AL44">SUM(COUNTIFS($D44:$AG44,{"0","4","5","6","7","8","9"},$D$4:$AG$4,"1"))</f>
        <v>0</v>
      </c>
      <c r="AM44" cm="1">
        <f t="array" ref="AM44">SUM(COUNTIFS($D44:$AG44,{"0","4","5","6","7","8","9"},$D$4:$AG$4,"2"))</f>
        <v>0</v>
      </c>
      <c r="AN44" cm="1">
        <f t="array" ref="AN44">SUM(COUNTIFS($D44:$AG44,{"0","4","5","6","7","8","9"},$D$4:$AG$4,"3"))</f>
        <v>0</v>
      </c>
      <c r="AO44" cm="1">
        <f t="array" ref="AO44">SUM(COUNTIFS($D44:$AG44,{"1","2","3"}))</f>
        <v>26</v>
      </c>
      <c r="AP44" cm="1">
        <f t="array" ref="AP44">SUM(COUNTIFS($D44:$AG44,{"4","5","6"}))</f>
        <v>0</v>
      </c>
      <c r="AQ44">
        <f>AK44*'Spreadsheet Key'!$A$23 + AL44*'Spreadsheet Key'!$A$24 + AM44*'Spreadsheet Key'!$A$25 + AN44*'Spreadsheet Key'!$A$26</f>
        <v>88</v>
      </c>
      <c r="AR44">
        <f>AJ44/('JUN Statistics'!$B$30)*ABS(AI44-1)</f>
        <v>7.9840319361277438E-3</v>
      </c>
      <c r="AS44">
        <f>AI44*AT44</f>
        <v>0</v>
      </c>
      <c r="AT44" s="3388">
        <f>AR44*'JUN Statistics'!$C$11</f>
        <v>9.745841916167663</v>
      </c>
      <c r="AU44"/>
      <c r="AV44">
        <f>COUNTIFS($D44:$AG44,"8",$D$4:$AG$4,"0")</f>
        <v>1</v>
      </c>
      <c r="AW44">
        <f>COUNTIFS($D44:$AG44,"9",$D$4:$AG$4,"0")</f>
        <v>0</v>
      </c>
      <c r="AX44">
        <f>COUNTIFS($D44:$AG44,"8",$D$4:$AG$4,"1")</f>
        <v>0</v>
      </c>
      <c r="AY44" cm="1">
        <f t="array" ref="AY44">COUNTIFS($D44:$AG44,"9",$D$4:$AG$4,"1")+SUM(COUNTIFS($D44:$AG44,{"8","9"},$D$4:$AG$4,"2"))+COUNTIFS($D44:$AG44,"8",$D$4:$AG$4,"3")</f>
        <v>0</v>
      </c>
      <c r="AZ44">
        <f>COUNTIFS($D44:$AG44,"9",$D$4:$AG$4,"3")</f>
        <v>0</v>
      </c>
      <c r="BA44">
        <f>SUM(AV44:AZ44)</f>
        <v>1</v>
      </c>
      <c r="BB44">
        <f>AV44*'Spreadsheet Key'!$A$27+AW44*'Spreadsheet Key'!$A$28+AX44*'Spreadsheet Key'!$A$29+AY44*'Spreadsheet Key'!$A$30+AZ44*'Spreadsheet Key'!$A$31</f>
        <v>10</v>
      </c>
      <c r="BC44"/>
      <c r="BD44">
        <f>AT44-BB44</f>
        <v>-0.25415808383233696</v>
      </c>
    </row>
    <row r="45" spans="1:56">
      <c r="A45" s="3208"/>
      <c r="B45" s="3208"/>
      <c r="C45" s="3180" t="str">
        <f>CONCATENATE(A45," ",UPPER(B45))</f>
        <v xml:space="preserve"> </v>
      </c>
      <c r="D45" s="3505"/>
      <c r="E45" s="3506"/>
      <c r="F45" s="6480" t="s">
        <v>1418</v>
      </c>
      <c r="G45" s="6481"/>
      <c r="H45" s="6481"/>
      <c r="I45" s="6481"/>
      <c r="J45" s="6481"/>
      <c r="K45" s="6481"/>
      <c r="L45" s="6481"/>
      <c r="M45" s="6481"/>
      <c r="N45" s="6481"/>
      <c r="O45" s="6481"/>
      <c r="P45" s="6481"/>
      <c r="Q45" s="6481"/>
      <c r="R45" s="6481"/>
      <c r="S45" s="6481"/>
      <c r="T45" s="6481"/>
      <c r="U45" s="6481"/>
      <c r="V45" s="6481"/>
      <c r="W45" s="6481"/>
      <c r="X45" s="6481"/>
      <c r="Y45" s="6481"/>
      <c r="Z45" s="6481"/>
      <c r="AA45" s="6481"/>
      <c r="AB45" s="6481"/>
      <c r="AC45" s="6481"/>
      <c r="AD45" s="6482"/>
      <c r="AE45" s="3507" t="s">
        <v>1386</v>
      </c>
      <c r="AF45" s="3506"/>
      <c r="AG45" s="3506"/>
      <c r="AH45" s="3508"/>
      <c r="AI45" s="3202"/>
      <c r="AT45" s="3388"/>
      <c r="AV45">
        <f>COUNTIFS($D45:$AG45,"8",$D$4:$AG$4,"0")</f>
        <v>0</v>
      </c>
      <c r="AW45">
        <f>COUNTIFS($D45:$AG45,"9",$D$4:$AG$4,"0")</f>
        <v>0</v>
      </c>
      <c r="AX45">
        <f>COUNTIFS($D45:$AG45,"8",$D$4:$AG$4,"1")</f>
        <v>0</v>
      </c>
      <c r="AY45" cm="1">
        <f t="array" ref="AY45">COUNTIFS($D45:$AG45,"9",$D$4:$AG$4,"1")+SUM(COUNTIFS($D45:$AG45,{"8","9"},$D$4:$AG$4,"2"))+COUNTIFS($D45:$AG45,"8",$D$4:$AG$4,"3")</f>
        <v>0</v>
      </c>
      <c r="AZ45">
        <f>COUNTIFS($D45:$AG45,"9",$D$4:$AG$4,"3")</f>
        <v>0</v>
      </c>
      <c r="BA45">
        <f>SUM(AV45:AZ45)</f>
        <v>0</v>
      </c>
      <c r="BB45">
        <f>AV45*'Spreadsheet Key'!$A$27+AW45*'Spreadsheet Key'!$A$28+AX45*'Spreadsheet Key'!$A$29+AY45*'Spreadsheet Key'!$A$30+AZ45*'Spreadsheet Key'!$A$31</f>
        <v>0</v>
      </c>
    </row>
    <row r="46" spans="1:56" s="3211" customFormat="1">
      <c r="A46" s="3423" t="s">
        <v>108</v>
      </c>
      <c r="B46" s="3180" t="s">
        <v>1106</v>
      </c>
      <c r="C46" s="3180" t="str">
        <f>CONCATENATE(A46," ",UPPER(B46))</f>
        <v>OS1 LARA</v>
      </c>
      <c r="D46" s="3386">
        <v>0</v>
      </c>
      <c r="E46" s="3386">
        <v>0</v>
      </c>
      <c r="F46" s="3386">
        <v>2</v>
      </c>
      <c r="G46" s="3386">
        <v>2</v>
      </c>
      <c r="H46" s="3386">
        <v>2</v>
      </c>
      <c r="I46" s="3386">
        <v>2</v>
      </c>
      <c r="J46" s="3386">
        <v>2</v>
      </c>
      <c r="K46" s="3386">
        <v>2</v>
      </c>
      <c r="L46" s="3517">
        <v>2</v>
      </c>
      <c r="M46" s="3386">
        <v>2</v>
      </c>
      <c r="N46" s="3386">
        <v>2</v>
      </c>
      <c r="O46" s="3386">
        <v>2</v>
      </c>
      <c r="P46" s="3386">
        <v>2</v>
      </c>
      <c r="Q46" s="3386">
        <v>2</v>
      </c>
      <c r="R46" s="3386">
        <v>2</v>
      </c>
      <c r="S46" s="3386">
        <v>2</v>
      </c>
      <c r="T46" s="3386">
        <v>2</v>
      </c>
      <c r="U46" s="3386">
        <v>2</v>
      </c>
      <c r="V46" s="3386">
        <v>2</v>
      </c>
      <c r="W46" s="3386">
        <v>2</v>
      </c>
      <c r="X46" s="3386">
        <v>2</v>
      </c>
      <c r="Y46" s="3386">
        <v>2</v>
      </c>
      <c r="Z46" s="3386">
        <v>2</v>
      </c>
      <c r="AA46" s="3386">
        <v>2</v>
      </c>
      <c r="AB46" s="3386">
        <v>2</v>
      </c>
      <c r="AC46" s="3386">
        <v>2</v>
      </c>
      <c r="AD46" s="3386">
        <v>2</v>
      </c>
      <c r="AE46" s="3386">
        <v>2</v>
      </c>
      <c r="AF46" s="3386">
        <v>0</v>
      </c>
      <c r="AG46" s="3386">
        <v>0</v>
      </c>
      <c r="AH46" s="3386">
        <v>9</v>
      </c>
      <c r="AI46" s="3202">
        <v>0</v>
      </c>
      <c r="AJ46" cm="1">
        <f t="array" ref="AJ46">SUM(COUNTIFS($D46:$AG46,{"0","4","5","6","7","8","9"}))</f>
        <v>4</v>
      </c>
      <c r="AK46" cm="1">
        <f t="array" ref="AK46">SUM(COUNTIFS($D46:$AG46,{"0","4","5","6","7","8","9"},$D$4:$AG$4,"0"))</f>
        <v>4</v>
      </c>
      <c r="AL46" cm="1">
        <f t="array" ref="AL46">SUM(COUNTIFS($D46:$AG46,{"0","4","5","6","7","8","9"},$D$4:$AG$4,"1"))</f>
        <v>0</v>
      </c>
      <c r="AM46" cm="1">
        <f t="array" ref="AM46">SUM(COUNTIFS($D46:$AG46,{"0","4","5","6","7","8","9"},$D$4:$AG$4,"2"))</f>
        <v>0</v>
      </c>
      <c r="AN46" cm="1">
        <f t="array" ref="AN46">SUM(COUNTIFS($D46:$AG46,{"0","4","5","6","7","8","9"},$D$4:$AG$4,"3"))</f>
        <v>0</v>
      </c>
      <c r="AO46" cm="1">
        <f t="array" ref="AO46">SUM(COUNTIFS($D46:$AG46,{"1","2","3"}))</f>
        <v>26</v>
      </c>
      <c r="AP46" cm="1">
        <f t="array" ref="AP46">SUM(COUNTIFS($D46:$AG46,{"4","5","6"}))</f>
        <v>0</v>
      </c>
      <c r="AQ46">
        <f>AK46*'Spreadsheet Key'!$A$23 + AL46*'Spreadsheet Key'!$A$24 + AM46*'Spreadsheet Key'!$A$25 + AN46*'Spreadsheet Key'!$A$26</f>
        <v>88</v>
      </c>
      <c r="AR46">
        <f>AJ46/('JUN Statistics'!$B$30)*ABS(AI46-1)</f>
        <v>7.9840319361277438E-3</v>
      </c>
      <c r="AS46">
        <f>AI46*AT46</f>
        <v>0</v>
      </c>
      <c r="AT46" s="3388">
        <f>AR46*'JUN Statistics'!$C$11</f>
        <v>9.745841916167663</v>
      </c>
      <c r="AU46"/>
      <c r="AV46">
        <f>COUNTIFS($D46:$AG46,"8",$D$4:$AG$4,"0")</f>
        <v>0</v>
      </c>
      <c r="AW46">
        <f>COUNTIFS($D46:$AG46,"9",$D$4:$AG$4,"0")</f>
        <v>0</v>
      </c>
      <c r="AX46">
        <f>COUNTIFS($D46:$AG46,"8",$D$4:$AG$4,"1")</f>
        <v>0</v>
      </c>
      <c r="AY46" cm="1">
        <f t="array" ref="AY46">COUNTIFS($D46:$AG46,"9",$D$4:$AG$4,"1")+SUM(COUNTIFS($D46:$AG46,{"8","9"},$D$4:$AG$4,"2"))+COUNTIFS($D46:$AG46,"8",$D$4:$AG$4,"3")</f>
        <v>0</v>
      </c>
      <c r="AZ46">
        <f>COUNTIFS($D46:$AG46,"9",$D$4:$AG$4,"3")</f>
        <v>0</v>
      </c>
      <c r="BA46">
        <f>SUM(AV46:AZ46)</f>
        <v>0</v>
      </c>
      <c r="BB46">
        <f>AV46*'Spreadsheet Key'!$A$27+AW46*'Spreadsheet Key'!$A$28+AX46*'Spreadsheet Key'!$A$29+AY46*'Spreadsheet Key'!$A$30+AZ46*'Spreadsheet Key'!$A$31</f>
        <v>0</v>
      </c>
      <c r="BC46"/>
      <c r="BD46">
        <f>AT46-BB46</f>
        <v>9.745841916167663</v>
      </c>
    </row>
    <row r="47" spans="1:56">
      <c r="A47" s="3208"/>
      <c r="B47" s="3208"/>
      <c r="C47" s="3180" t="str">
        <f>CONCATENATE(A47," ",UPPER(B47))</f>
        <v xml:space="preserve"> </v>
      </c>
      <c r="D47" s="3415" t="s">
        <v>1426</v>
      </c>
      <c r="E47" s="3397"/>
      <c r="F47" s="3397"/>
      <c r="G47" s="3397"/>
      <c r="H47" s="3397"/>
      <c r="I47" s="3397"/>
      <c r="J47" s="3397"/>
      <c r="K47" s="3397"/>
      <c r="L47" s="3397"/>
      <c r="M47" s="3397"/>
      <c r="N47" s="3397"/>
      <c r="O47" s="3397"/>
      <c r="P47" s="3397"/>
      <c r="Q47" s="3397"/>
      <c r="R47" s="3397"/>
      <c r="S47" s="3397"/>
      <c r="T47" s="3397"/>
      <c r="U47" s="3397"/>
      <c r="V47" s="3397"/>
      <c r="W47" s="3397"/>
      <c r="X47" s="3397"/>
      <c r="Y47" s="3397"/>
      <c r="Z47" s="3397"/>
      <c r="AA47" s="3397"/>
      <c r="AB47" s="3397"/>
      <c r="AC47" s="3397"/>
      <c r="AD47" s="3397"/>
      <c r="AE47" s="3397"/>
      <c r="AF47" s="3397"/>
      <c r="AG47" s="3397"/>
      <c r="AH47" s="3398"/>
      <c r="AI47" s="3202"/>
      <c r="AT47" s="3388"/>
      <c r="AV47">
        <f>COUNTIFS($D47:$AG47,"8",$D$4:$AG$4,"0")</f>
        <v>0</v>
      </c>
      <c r="AW47">
        <f>COUNTIFS($D47:$AG47,"9",$D$4:$AG$4,"0")</f>
        <v>0</v>
      </c>
      <c r="AX47">
        <f>COUNTIFS($D47:$AG47,"8",$D$4:$AG$4,"1")</f>
        <v>0</v>
      </c>
      <c r="AY47" cm="1">
        <f t="array" ref="AY47">COUNTIFS($D47:$AG47,"9",$D$4:$AG$4,"1")+SUM(COUNTIFS($D47:$AG47,{"8","9"},$D$4:$AG$4,"2"))+COUNTIFS($D47:$AG47,"8",$D$4:$AG$4,"3")</f>
        <v>0</v>
      </c>
      <c r="AZ47">
        <f>COUNTIFS($D47:$AG47,"9",$D$4:$AG$4,"3")</f>
        <v>0</v>
      </c>
      <c r="BA47">
        <f>SUM(AV47:AZ47)</f>
        <v>0</v>
      </c>
      <c r="BB47">
        <f>AV47*'Spreadsheet Key'!$A$27+AW47*'Spreadsheet Key'!$A$28+AX47*'Spreadsheet Key'!$A$29+AY47*'Spreadsheet Key'!$A$30+AZ47*'Spreadsheet Key'!$A$31</f>
        <v>0</v>
      </c>
    </row>
    <row r="48" spans="1:56" s="3211" customFormat="1">
      <c r="A48" s="3180" t="s">
        <v>145</v>
      </c>
      <c r="B48" s="3180" t="s">
        <v>148</v>
      </c>
      <c r="C48" s="3180" t="str">
        <f>CONCATENATE(A48," ",UPPER(B48))</f>
        <v>ITC ANTERO</v>
      </c>
      <c r="D48" s="3386">
        <v>2</v>
      </c>
      <c r="E48" s="3386">
        <v>2</v>
      </c>
      <c r="F48" s="3386">
        <v>2</v>
      </c>
      <c r="G48" s="3386">
        <v>2</v>
      </c>
      <c r="H48" s="3386">
        <v>2</v>
      </c>
      <c r="I48" s="3386">
        <v>2</v>
      </c>
      <c r="J48" s="3386">
        <v>2</v>
      </c>
      <c r="K48" s="3386">
        <v>2</v>
      </c>
      <c r="L48" s="3386">
        <v>2</v>
      </c>
      <c r="M48" s="3386">
        <v>2</v>
      </c>
      <c r="N48" s="3386">
        <v>2</v>
      </c>
      <c r="O48" s="3386">
        <v>2</v>
      </c>
      <c r="P48" s="3386">
        <v>2</v>
      </c>
      <c r="Q48" s="3386">
        <v>2</v>
      </c>
      <c r="R48" s="3386">
        <v>2</v>
      </c>
      <c r="S48" s="3386">
        <v>2</v>
      </c>
      <c r="T48" s="3386">
        <v>2</v>
      </c>
      <c r="U48" s="3386">
        <v>2</v>
      </c>
      <c r="V48" s="3386">
        <v>2</v>
      </c>
      <c r="W48" s="3386">
        <v>2</v>
      </c>
      <c r="X48" s="3386">
        <v>2</v>
      </c>
      <c r="Y48" s="3386">
        <v>2</v>
      </c>
      <c r="Z48" s="3386">
        <v>2</v>
      </c>
      <c r="AA48" s="3386">
        <v>2</v>
      </c>
      <c r="AB48" s="3386">
        <v>2</v>
      </c>
      <c r="AC48" s="3386">
        <v>2</v>
      </c>
      <c r="AD48" s="3386">
        <v>2</v>
      </c>
      <c r="AE48" s="3386">
        <v>2</v>
      </c>
      <c r="AF48" s="3386">
        <v>2</v>
      </c>
      <c r="AG48" s="3386">
        <v>2</v>
      </c>
      <c r="AH48" s="3386">
        <v>2</v>
      </c>
      <c r="AI48" s="3202">
        <v>0</v>
      </c>
      <c r="AJ48" cm="1">
        <f t="array" ref="AJ48">SUM(COUNTIFS($D48:$AG48,{"0","4","5","6","7","8","9"}))</f>
        <v>0</v>
      </c>
      <c r="AK48" cm="1">
        <f t="array" ref="AK48">SUM(COUNTIFS($D48:$AG48,{"0","4","5","6","7","8","9"},$D$4:$AG$4,"0"))</f>
        <v>0</v>
      </c>
      <c r="AL48" cm="1">
        <f t="array" ref="AL48">SUM(COUNTIFS($D48:$AG48,{"0","4","5","6","7","8","9"},$D$4:$AG$4,"1"))</f>
        <v>0</v>
      </c>
      <c r="AM48" cm="1">
        <f t="array" ref="AM48">SUM(COUNTIFS($D48:$AG48,{"0","4","5","6","7","8","9"},$D$4:$AG$4,"2"))</f>
        <v>0</v>
      </c>
      <c r="AN48" cm="1">
        <f t="array" ref="AN48">SUM(COUNTIFS($D48:$AG48,{"0","4","5","6","7","8","9"},$D$4:$AG$4,"3"))</f>
        <v>0</v>
      </c>
      <c r="AO48" cm="1">
        <f t="array" ref="AO48">SUM(COUNTIFS($D48:$AG48,{"1","2","3"}))</f>
        <v>30</v>
      </c>
      <c r="AP48" cm="1">
        <f t="array" ref="AP48">SUM(COUNTIFS($D48:$AG48,{"4","5","6"}))</f>
        <v>0</v>
      </c>
      <c r="AQ48">
        <f>AK48*'Spreadsheet Key'!$A$23 + AL48*'Spreadsheet Key'!$A$24 + AM48*'Spreadsheet Key'!$A$25 + AN48*'Spreadsheet Key'!$A$26</f>
        <v>0</v>
      </c>
      <c r="AR48">
        <f>AJ48/('JUN Statistics'!$B$30)*ABS(AI48-1)</f>
        <v>0</v>
      </c>
      <c r="AS48">
        <f>AI48*AT48</f>
        <v>0</v>
      </c>
      <c r="AT48" s="3388">
        <f>AR48*'JUN Statistics'!$C$11</f>
        <v>0</v>
      </c>
      <c r="AU48"/>
      <c r="AV48">
        <f>COUNTIFS($D48:$AG48,"8",$D$4:$AG$4,"0")</f>
        <v>0</v>
      </c>
      <c r="AW48">
        <f>COUNTIFS($D48:$AG48,"9",$D$4:$AG$4,"0")</f>
        <v>0</v>
      </c>
      <c r="AX48">
        <f>COUNTIFS($D48:$AG48,"8",$D$4:$AG$4,"1")</f>
        <v>0</v>
      </c>
      <c r="AY48" cm="1">
        <f t="array" ref="AY48">COUNTIFS($D48:$AG48,"9",$D$4:$AG$4,"1")+SUM(COUNTIFS($D48:$AG48,{"8","9"},$D$4:$AG$4,"2"))+COUNTIFS($D48:$AG48,"8",$D$4:$AG$4,"3")</f>
        <v>0</v>
      </c>
      <c r="AZ48">
        <f>COUNTIFS($D48:$AG48,"9",$D$4:$AG$4,"3")</f>
        <v>0</v>
      </c>
      <c r="BA48">
        <f>SUM(AV48:AZ48)</f>
        <v>0</v>
      </c>
      <c r="BB48">
        <f>AV48*'Spreadsheet Key'!$A$27+AW48*'Spreadsheet Key'!$A$28+AX48*'Spreadsheet Key'!$A$29+AY48*'Spreadsheet Key'!$A$30+AZ48*'Spreadsheet Key'!$A$31</f>
        <v>0</v>
      </c>
      <c r="BC48"/>
      <c r="BD48">
        <f>AT48-BB48</f>
        <v>0</v>
      </c>
    </row>
    <row r="49" spans="1:56">
      <c r="A49" s="3208"/>
      <c r="B49" s="3208"/>
      <c r="C49" s="3180" t="str">
        <f>CONCATENATE(A49," ",UPPER(B49))</f>
        <v xml:space="preserve"> </v>
      </c>
      <c r="D49" s="3415" t="s">
        <v>1426</v>
      </c>
      <c r="E49" s="3397"/>
      <c r="F49" s="3397"/>
      <c r="G49" s="3397"/>
      <c r="H49" s="3397"/>
      <c r="I49" s="3397"/>
      <c r="J49" s="3397"/>
      <c r="K49" s="3397"/>
      <c r="L49" s="3397"/>
      <c r="M49" s="3397"/>
      <c r="N49" s="3397"/>
      <c r="O49" s="3397"/>
      <c r="P49" s="3397"/>
      <c r="Q49" s="3397"/>
      <c r="R49" s="3397"/>
      <c r="S49" s="3397"/>
      <c r="T49" s="3397"/>
      <c r="U49" s="3397"/>
      <c r="V49" s="3397"/>
      <c r="W49" s="3397"/>
      <c r="X49" s="3397"/>
      <c r="Y49" s="3397"/>
      <c r="Z49" s="3397"/>
      <c r="AA49" s="3397"/>
      <c r="AB49" s="3397"/>
      <c r="AC49" s="3397"/>
      <c r="AD49" s="3397"/>
      <c r="AE49" s="3397"/>
      <c r="AF49" s="3397"/>
      <c r="AG49" s="3397"/>
      <c r="AH49" s="3398"/>
      <c r="AI49" s="3202"/>
      <c r="AT49" s="3388"/>
      <c r="AV49">
        <f>COUNTIFS($D49:$AG49,"8",$D$4:$AG$4,"0")</f>
        <v>0</v>
      </c>
      <c r="AW49">
        <f>COUNTIFS($D49:$AG49,"9",$D$4:$AG$4,"0")</f>
        <v>0</v>
      </c>
      <c r="AX49">
        <f>COUNTIFS($D49:$AG49,"8",$D$4:$AG$4,"1")</f>
        <v>0</v>
      </c>
      <c r="AY49" cm="1">
        <f t="array" ref="AY49">COUNTIFS($D49:$AG49,"9",$D$4:$AG$4,"1")+SUM(COUNTIFS($D49:$AG49,{"8","9"},$D$4:$AG$4,"2"))+COUNTIFS($D49:$AG49,"8",$D$4:$AG$4,"3")</f>
        <v>0</v>
      </c>
      <c r="AZ49">
        <f>COUNTIFS($D49:$AG49,"9",$D$4:$AG$4,"3")</f>
        <v>0</v>
      </c>
      <c r="BA49">
        <f>SUM(AV49:AZ49)</f>
        <v>0</v>
      </c>
      <c r="BB49">
        <f>AV49*'Spreadsheet Key'!$A$27+AW49*'Spreadsheet Key'!$A$28+AX49*'Spreadsheet Key'!$A$29+AY49*'Spreadsheet Key'!$A$30+AZ49*'Spreadsheet Key'!$A$31</f>
        <v>0</v>
      </c>
    </row>
    <row r="50" spans="1:56" s="3211" customFormat="1">
      <c r="A50" s="3421" t="s">
        <v>1272</v>
      </c>
      <c r="B50" s="3180" t="s">
        <v>618</v>
      </c>
      <c r="C50" s="3180" t="str">
        <f>CONCATENATE(A50," ",UPPER(B50))</f>
        <v>ITCS VALENCIA</v>
      </c>
      <c r="D50" s="3386">
        <v>2</v>
      </c>
      <c r="E50" s="3386">
        <v>2</v>
      </c>
      <c r="F50" s="3386">
        <v>2</v>
      </c>
      <c r="G50" s="3386">
        <v>2</v>
      </c>
      <c r="H50" s="3386">
        <v>2</v>
      </c>
      <c r="I50" s="3386">
        <v>2</v>
      </c>
      <c r="J50" s="3386">
        <v>2</v>
      </c>
      <c r="K50" s="3386">
        <v>2</v>
      </c>
      <c r="L50" s="3386">
        <v>2</v>
      </c>
      <c r="M50" s="3386">
        <v>2</v>
      </c>
      <c r="N50" s="3386">
        <v>2</v>
      </c>
      <c r="O50" s="3386">
        <v>2</v>
      </c>
      <c r="P50" s="3386">
        <v>2</v>
      </c>
      <c r="Q50" s="3386">
        <v>2</v>
      </c>
      <c r="R50" s="3386">
        <v>2</v>
      </c>
      <c r="S50" s="3386">
        <v>2</v>
      </c>
      <c r="T50" s="3386">
        <v>2</v>
      </c>
      <c r="U50" s="3386">
        <v>2</v>
      </c>
      <c r="V50" s="3386">
        <v>2</v>
      </c>
      <c r="W50" s="3386">
        <v>2</v>
      </c>
      <c r="X50" s="3386">
        <v>2</v>
      </c>
      <c r="Y50" s="3386">
        <v>2</v>
      </c>
      <c r="Z50" s="3386">
        <v>2</v>
      </c>
      <c r="AA50" s="3386">
        <v>2</v>
      </c>
      <c r="AB50" s="3386">
        <v>2</v>
      </c>
      <c r="AC50" s="3386">
        <v>2</v>
      </c>
      <c r="AD50" s="3386">
        <v>2</v>
      </c>
      <c r="AE50" s="3386">
        <v>2</v>
      </c>
      <c r="AF50" s="3386">
        <v>2</v>
      </c>
      <c r="AG50" s="3386">
        <v>2</v>
      </c>
      <c r="AH50" s="3386">
        <v>2</v>
      </c>
      <c r="AI50" s="3202">
        <v>0</v>
      </c>
      <c r="AJ50" cm="1">
        <f t="array" ref="AJ50">SUM(COUNTIFS($D50:$AG50,{"0","4","5","6","7","8","9"}))</f>
        <v>0</v>
      </c>
      <c r="AK50" cm="1">
        <f t="array" ref="AK50">SUM(COUNTIFS($D50:$AG50,{"0","4","5","6","7","8","9"},$D$4:$AG$4,"0"))</f>
        <v>0</v>
      </c>
      <c r="AL50" cm="1">
        <f t="array" ref="AL50">SUM(COUNTIFS($D50:$AG50,{"0","4","5","6","7","8","9"},$D$4:$AG$4,"1"))</f>
        <v>0</v>
      </c>
      <c r="AM50" cm="1">
        <f t="array" ref="AM50">SUM(COUNTIFS($D50:$AG50,{"0","4","5","6","7","8","9"},$D$4:$AG$4,"2"))</f>
        <v>0</v>
      </c>
      <c r="AN50" cm="1">
        <f t="array" ref="AN50">SUM(COUNTIFS($D50:$AG50,{"0","4","5","6","7","8","9"},$D$4:$AG$4,"3"))</f>
        <v>0</v>
      </c>
      <c r="AO50" cm="1">
        <f t="array" ref="AO50">SUM(COUNTIFS($D50:$AG50,{"1","2","3"}))</f>
        <v>30</v>
      </c>
      <c r="AP50" cm="1">
        <f t="array" ref="AP50">SUM(COUNTIFS($D50:$AG50,{"4","5","6"}))</f>
        <v>0</v>
      </c>
      <c r="AQ50">
        <f>AK50*'Spreadsheet Key'!$A$23 + AL50*'Spreadsheet Key'!$A$24 + AM50*'Spreadsheet Key'!$A$25 + AN50*'Spreadsheet Key'!$A$26</f>
        <v>0</v>
      </c>
      <c r="AR50">
        <f>AJ50/('JUN Statistics'!$B$30)*ABS(AI50-1)</f>
        <v>0</v>
      </c>
      <c r="AS50">
        <f>AI50*AT50</f>
        <v>0</v>
      </c>
      <c r="AT50" s="3388">
        <f>AR50*'JUN Statistics'!$C$11</f>
        <v>0</v>
      </c>
      <c r="AU50"/>
      <c r="AV50">
        <f>COUNTIFS($D50:$AG50,"8",$D$4:$AG$4,"0")</f>
        <v>0</v>
      </c>
      <c r="AW50">
        <f>COUNTIFS($D50:$AG50,"9",$D$4:$AG$4,"0")</f>
        <v>0</v>
      </c>
      <c r="AX50">
        <f>COUNTIFS($D50:$AG50,"8",$D$4:$AG$4,"1")</f>
        <v>0</v>
      </c>
      <c r="AY50" cm="1">
        <f t="array" ref="AY50">COUNTIFS($D50:$AG50,"9",$D$4:$AG$4,"1")+SUM(COUNTIFS($D50:$AG50,{"8","9"},$D$4:$AG$4,"2"))+COUNTIFS($D50:$AG50,"8",$D$4:$AG$4,"3")</f>
        <v>0</v>
      </c>
      <c r="AZ50">
        <f>COUNTIFS($D50:$AG50,"9",$D$4:$AG$4,"3")</f>
        <v>0</v>
      </c>
      <c r="BA50">
        <f>SUM(AV50:AZ50)</f>
        <v>0</v>
      </c>
      <c r="BB50">
        <f>AV50*'Spreadsheet Key'!$A$27+AW50*'Spreadsheet Key'!$A$28+AX50*'Spreadsheet Key'!$A$29+AY50*'Spreadsheet Key'!$A$30+AZ50*'Spreadsheet Key'!$A$31</f>
        <v>0</v>
      </c>
      <c r="BC50"/>
      <c r="BD50">
        <f>AT50-BB50</f>
        <v>0</v>
      </c>
    </row>
    <row r="51" spans="1:56">
      <c r="A51" s="3208"/>
      <c r="B51" s="3208"/>
      <c r="C51" s="3180" t="str">
        <f>CONCATENATE(A51," ",UPPER(B51))</f>
        <v xml:space="preserve"> </v>
      </c>
      <c r="D51" s="3415" t="s">
        <v>1426</v>
      </c>
      <c r="E51" s="3397"/>
      <c r="F51" s="3397"/>
      <c r="G51" s="3397"/>
      <c r="H51" s="3397"/>
      <c r="I51" s="3397"/>
      <c r="J51" s="3397"/>
      <c r="K51" s="3397"/>
      <c r="L51" s="3397"/>
      <c r="M51" s="3397"/>
      <c r="N51" s="3397"/>
      <c r="O51" s="3397"/>
      <c r="P51" s="3397"/>
      <c r="Q51" s="3397"/>
      <c r="R51" s="3397"/>
      <c r="S51" s="3397"/>
      <c r="T51" s="3397"/>
      <c r="U51" s="3397"/>
      <c r="V51" s="3397"/>
      <c r="W51" s="3397"/>
      <c r="X51" s="3397"/>
      <c r="Y51" s="3397"/>
      <c r="Z51" s="3397"/>
      <c r="AA51" s="3397"/>
      <c r="AB51" s="3397"/>
      <c r="AC51" s="3397"/>
      <c r="AD51" s="3397"/>
      <c r="AE51" s="3397"/>
      <c r="AF51" s="3397"/>
      <c r="AG51" s="3397"/>
      <c r="AH51" s="3398"/>
      <c r="AI51" s="3202"/>
      <c r="AT51" s="3388"/>
      <c r="AV51">
        <f>COUNTIFS($D51:$AG51,"8",$D$4:$AG$4,"0")</f>
        <v>0</v>
      </c>
      <c r="AW51">
        <f>COUNTIFS($D51:$AG51,"9",$D$4:$AG$4,"0")</f>
        <v>0</v>
      </c>
      <c r="AX51">
        <f>COUNTIFS($D51:$AG51,"8",$D$4:$AG$4,"1")</f>
        <v>0</v>
      </c>
      <c r="AY51" cm="1">
        <f t="array" ref="AY51">COUNTIFS($D51:$AG51,"9",$D$4:$AG$4,"1")+SUM(COUNTIFS($D51:$AG51,{"8","9"},$D$4:$AG$4,"2"))+COUNTIFS($D51:$AG51,"8",$D$4:$AG$4,"3")</f>
        <v>0</v>
      </c>
      <c r="AZ51">
        <f>COUNTIFS($D51:$AG51,"9",$D$4:$AG$4,"3")</f>
        <v>0</v>
      </c>
      <c r="BA51">
        <f>SUM(AV51:AZ51)</f>
        <v>0</v>
      </c>
      <c r="BB51">
        <f>AV51*'Spreadsheet Key'!$A$27+AW51*'Spreadsheet Key'!$A$28+AX51*'Spreadsheet Key'!$A$29+AY51*'Spreadsheet Key'!$A$30+AZ51*'Spreadsheet Key'!$A$31</f>
        <v>0</v>
      </c>
    </row>
    <row r="52" spans="1:56" s="3211" customFormat="1">
      <c r="A52" s="3180" t="s">
        <v>149</v>
      </c>
      <c r="B52" s="3180" t="s">
        <v>151</v>
      </c>
      <c r="C52" s="3180" t="str">
        <f>CONCATENATE(A52," ",UPPER(B52))</f>
        <v>IT1 LUCAS</v>
      </c>
      <c r="D52" s="3386">
        <v>2</v>
      </c>
      <c r="E52" s="3386">
        <v>2</v>
      </c>
      <c r="F52" s="3386">
        <v>2</v>
      </c>
      <c r="G52" s="3386">
        <v>2</v>
      </c>
      <c r="H52" s="3386">
        <v>2</v>
      </c>
      <c r="I52" s="3386">
        <v>2</v>
      </c>
      <c r="J52" s="3386">
        <v>2</v>
      </c>
      <c r="K52" s="3386">
        <v>2</v>
      </c>
      <c r="L52" s="3386">
        <v>2</v>
      </c>
      <c r="M52" s="3386">
        <v>2</v>
      </c>
      <c r="N52" s="3386">
        <v>2</v>
      </c>
      <c r="O52" s="3386">
        <v>2</v>
      </c>
      <c r="P52" s="3386">
        <v>2</v>
      </c>
      <c r="Q52" s="3386">
        <v>2</v>
      </c>
      <c r="R52" s="3386">
        <v>2</v>
      </c>
      <c r="S52" s="3386">
        <v>2</v>
      </c>
      <c r="T52" s="3386">
        <v>2</v>
      </c>
      <c r="U52" s="3386">
        <v>2</v>
      </c>
      <c r="V52" s="3386">
        <v>2</v>
      </c>
      <c r="W52" s="3386">
        <v>2</v>
      </c>
      <c r="X52" s="3386">
        <v>2</v>
      </c>
      <c r="Y52" s="3386">
        <v>2</v>
      </c>
      <c r="Z52" s="3386">
        <v>2</v>
      </c>
      <c r="AA52" s="3386">
        <v>2</v>
      </c>
      <c r="AB52" s="3386">
        <v>2</v>
      </c>
      <c r="AC52" s="3386">
        <v>2</v>
      </c>
      <c r="AD52" s="3386">
        <v>2</v>
      </c>
      <c r="AE52" s="3386">
        <v>2</v>
      </c>
      <c r="AF52" s="3386">
        <v>2</v>
      </c>
      <c r="AG52" s="3386">
        <v>2</v>
      </c>
      <c r="AH52" s="3386">
        <v>2</v>
      </c>
      <c r="AI52" s="3202">
        <v>0</v>
      </c>
      <c r="AJ52" cm="1">
        <f t="array" ref="AJ52">SUM(COUNTIFS($D52:$AG52,{"0","4","5","6","7","8","9"}))</f>
        <v>0</v>
      </c>
      <c r="AK52" cm="1">
        <f t="array" ref="AK52">SUM(COUNTIFS($D52:$AG52,{"0","4","5","6","7","8","9"},$D$4:$AG$4,"0"))</f>
        <v>0</v>
      </c>
      <c r="AL52" cm="1">
        <f t="array" ref="AL52">SUM(COUNTIFS($D52:$AG52,{"0","4","5","6","7","8","9"},$D$4:$AG$4,"1"))</f>
        <v>0</v>
      </c>
      <c r="AM52" cm="1">
        <f t="array" ref="AM52">SUM(COUNTIFS($D52:$AG52,{"0","4","5","6","7","8","9"},$D$4:$AG$4,"2"))</f>
        <v>0</v>
      </c>
      <c r="AN52" cm="1">
        <f t="array" ref="AN52">SUM(COUNTIFS($D52:$AG52,{"0","4","5","6","7","8","9"},$D$4:$AG$4,"3"))</f>
        <v>0</v>
      </c>
      <c r="AO52" cm="1">
        <f t="array" ref="AO52">SUM(COUNTIFS($D52:$AG52,{"1","2","3"}))</f>
        <v>30</v>
      </c>
      <c r="AP52" cm="1">
        <f t="array" ref="AP52">SUM(COUNTIFS($D52:$AG52,{"4","5","6"}))</f>
        <v>0</v>
      </c>
      <c r="AQ52">
        <f>AK52*'Spreadsheet Key'!$A$23 + AL52*'Spreadsheet Key'!$A$24 + AM52*'Spreadsheet Key'!$A$25 + AN52*'Spreadsheet Key'!$A$26</f>
        <v>0</v>
      </c>
      <c r="AR52">
        <f>AJ52/('JUN Statistics'!$B$30)*ABS(AI52-1)</f>
        <v>0</v>
      </c>
      <c r="AS52">
        <f>AI52*AT52</f>
        <v>0</v>
      </c>
      <c r="AT52" s="3388">
        <f>AR52*'JUN Statistics'!$C$11</f>
        <v>0</v>
      </c>
      <c r="AU52"/>
      <c r="AV52">
        <f>COUNTIFS($D52:$AG52,"8",$D$4:$AG$4,"0")</f>
        <v>0</v>
      </c>
      <c r="AW52">
        <f>COUNTIFS($D52:$AG52,"9",$D$4:$AG$4,"0")</f>
        <v>0</v>
      </c>
      <c r="AX52">
        <f>COUNTIFS($D52:$AG52,"8",$D$4:$AG$4,"1")</f>
        <v>0</v>
      </c>
      <c r="AY52" cm="1">
        <f t="array" ref="AY52">COUNTIFS($D52:$AG52,"9",$D$4:$AG$4,"1")+SUM(COUNTIFS($D52:$AG52,{"8","9"},$D$4:$AG$4,"2"))+COUNTIFS($D52:$AG52,"8",$D$4:$AG$4,"3")</f>
        <v>0</v>
      </c>
      <c r="AZ52">
        <f>COUNTIFS($D52:$AG52,"9",$D$4:$AG$4,"3")</f>
        <v>0</v>
      </c>
      <c r="BA52">
        <f>SUM(AV52:AZ52)</f>
        <v>0</v>
      </c>
      <c r="BB52">
        <f>AV52*'Spreadsheet Key'!$A$27+AW52*'Spreadsheet Key'!$A$28+AX52*'Spreadsheet Key'!$A$29+AY52*'Spreadsheet Key'!$A$30+AZ52*'Spreadsheet Key'!$A$31</f>
        <v>0</v>
      </c>
      <c r="BC52"/>
      <c r="BD52">
        <f>AT52-BB52</f>
        <v>0</v>
      </c>
    </row>
    <row r="53" spans="1:56">
      <c r="A53" s="3208"/>
      <c r="B53" s="778"/>
      <c r="C53" s="778"/>
      <c r="D53" s="3152" t="s">
        <v>1386</v>
      </c>
      <c r="E53" s="461"/>
      <c r="F53" s="461"/>
      <c r="G53" s="461"/>
      <c r="H53" s="3401" t="s">
        <v>1386</v>
      </c>
      <c r="I53" s="6192" t="s">
        <v>1427</v>
      </c>
      <c r="J53" s="6317"/>
      <c r="K53" s="6317"/>
      <c r="L53" s="6317"/>
      <c r="M53" s="6317"/>
      <c r="N53" s="6317"/>
      <c r="O53" s="6317"/>
      <c r="P53" s="6317"/>
      <c r="Q53" s="6317"/>
      <c r="R53" s="6317"/>
      <c r="S53" s="6193"/>
      <c r="T53" s="3401" t="s">
        <v>1386</v>
      </c>
      <c r="U53" s="461"/>
      <c r="V53" s="461"/>
      <c r="W53" s="461"/>
      <c r="X53" s="3509" t="s">
        <v>1431</v>
      </c>
      <c r="Y53" s="461"/>
      <c r="Z53" s="461"/>
      <c r="AA53" s="3510" t="s">
        <v>1432</v>
      </c>
      <c r="AB53" s="3511"/>
      <c r="AC53" s="6420" t="s">
        <v>325</v>
      </c>
      <c r="AD53" s="6421"/>
      <c r="AE53" s="6421"/>
      <c r="AF53" s="6421"/>
      <c r="AG53" s="6160"/>
      <c r="AH53" s="6514"/>
      <c r="AI53" s="3202"/>
      <c r="AT53" s="3388"/>
      <c r="AV53">
        <f>COUNTIFS($D53:$AG53,"8",$D$4:$AG$4,"0")</f>
        <v>0</v>
      </c>
      <c r="AW53">
        <f>COUNTIFS($D53:$AG53,"9",$D$4:$AG$4,"0")</f>
        <v>0</v>
      </c>
      <c r="AX53">
        <f>COUNTIFS($D53:$AG53,"8",$D$4:$AG$4,"1")</f>
        <v>0</v>
      </c>
      <c r="AY53" cm="1">
        <f t="array" ref="AY53">COUNTIFS($D53:$AG53,"9",$D$4:$AG$4,"1")+SUM(COUNTIFS($D53:$AG53,{"8","9"},$D$4:$AG$4,"2"))+COUNTIFS($D53:$AG53,"8",$D$4:$AG$4,"3")</f>
        <v>0</v>
      </c>
      <c r="AZ53">
        <f>COUNTIFS($D53:$AG53,"9",$D$4:$AG$4,"3")</f>
        <v>0</v>
      </c>
      <c r="BA53">
        <f>SUM(AV53:AZ53)</f>
        <v>0</v>
      </c>
      <c r="BB53">
        <f>AV53*'Spreadsheet Key'!$A$27+AW53*'Spreadsheet Key'!$A$28+AX53*'Spreadsheet Key'!$A$29+AY53*'Spreadsheet Key'!$A$30+AZ53*'Spreadsheet Key'!$A$31</f>
        <v>0</v>
      </c>
    </row>
    <row r="54" spans="1:56" s="3211" customFormat="1">
      <c r="A54" s="3423" t="s">
        <v>77</v>
      </c>
      <c r="B54" s="3180" t="s">
        <v>1005</v>
      </c>
      <c r="C54" s="3180" t="str">
        <f>CONCATENATE(A54," ",UPPER(B54))</f>
        <v>LCDR DESORMIER</v>
      </c>
      <c r="D54" s="3386">
        <v>3</v>
      </c>
      <c r="E54" s="3386">
        <v>0</v>
      </c>
      <c r="F54" s="3386">
        <v>0</v>
      </c>
      <c r="G54" s="3386">
        <v>0</v>
      </c>
      <c r="H54" s="3386">
        <v>1</v>
      </c>
      <c r="I54" s="3386">
        <v>2</v>
      </c>
      <c r="J54" s="3386">
        <v>2</v>
      </c>
      <c r="K54" s="3386">
        <v>2</v>
      </c>
      <c r="L54" s="3386">
        <v>2</v>
      </c>
      <c r="M54" s="3386">
        <v>2</v>
      </c>
      <c r="N54" s="3386">
        <v>2</v>
      </c>
      <c r="O54" s="3386">
        <v>2</v>
      </c>
      <c r="P54" s="3386">
        <v>2</v>
      </c>
      <c r="Q54" s="3386">
        <v>2</v>
      </c>
      <c r="R54" s="3386">
        <v>2</v>
      </c>
      <c r="S54" s="3386">
        <v>2</v>
      </c>
      <c r="T54" s="3386">
        <v>3</v>
      </c>
      <c r="U54" s="3386">
        <v>0</v>
      </c>
      <c r="V54" s="3386">
        <v>0</v>
      </c>
      <c r="W54" s="3386">
        <v>0</v>
      </c>
      <c r="X54" s="3386">
        <v>7</v>
      </c>
      <c r="Y54" s="3386">
        <v>8</v>
      </c>
      <c r="Z54" s="3386">
        <v>0</v>
      </c>
      <c r="AA54" s="3386">
        <v>7</v>
      </c>
      <c r="AB54" s="3386">
        <v>0</v>
      </c>
      <c r="AC54" s="3386">
        <v>2</v>
      </c>
      <c r="AD54" s="3386">
        <v>2</v>
      </c>
      <c r="AE54" s="3386">
        <v>2</v>
      </c>
      <c r="AF54" s="3386">
        <v>2</v>
      </c>
      <c r="AG54" s="3386">
        <v>2</v>
      </c>
      <c r="AH54" s="3386">
        <v>2</v>
      </c>
      <c r="AI54" s="3202">
        <v>1</v>
      </c>
      <c r="AJ54" cm="1">
        <f t="array" ref="AJ54">SUM(COUNTIFS($D54:$AG54,{"0","4","5","6","7","8","9"}))</f>
        <v>11</v>
      </c>
      <c r="AK54" cm="1">
        <f t="array" ref="AK54">SUM(COUNTIFS($D54:$AG54,{"0","4","5","6","7","8","9"},$D$4:$AG$4,"0"))</f>
        <v>5</v>
      </c>
      <c r="AL54" cm="1">
        <f t="array" ref="AL54">SUM(COUNTIFS($D54:$AG54,{"0","4","5","6","7","8","9"},$D$4:$AG$4,"1"))</f>
        <v>3</v>
      </c>
      <c r="AM54" cm="1">
        <f t="array" ref="AM54">SUM(COUNTIFS($D54:$AG54,{"0","4","5","6","7","8","9"},$D$4:$AG$4,"2"))</f>
        <v>2</v>
      </c>
      <c r="AN54" cm="1">
        <f t="array" ref="AN54">SUM(COUNTIFS($D54:$AG54,{"0","4","5","6","7","8","9"},$D$4:$AG$4,"3"))</f>
        <v>1</v>
      </c>
      <c r="AO54" cm="1">
        <f t="array" ref="AO54">SUM(COUNTIFS($D54:$AG54,{"1","2","3"}))</f>
        <v>19</v>
      </c>
      <c r="AP54" cm="1">
        <f t="array" ref="AP54">SUM(COUNTIFS($D54:$AG54,{"4","5","6"}))</f>
        <v>0</v>
      </c>
      <c r="AQ54">
        <f>AK54*'Spreadsheet Key'!$A$23 + AL54*'Spreadsheet Key'!$A$24 + AM54*'Spreadsheet Key'!$A$25 + AN54*'Spreadsheet Key'!$A$26</f>
        <v>472</v>
      </c>
      <c r="AR54">
        <f>AJ54/('JUN Statistics'!$B$30)*ABS(AI54-1)</f>
        <v>0</v>
      </c>
      <c r="AS54">
        <f>AI54*AT54</f>
        <v>10.266666666666666</v>
      </c>
      <c r="AT54" s="3388">
        <f>(AJ54/'JUN Statistics'!$B$6)*'Spreadsheet Key'!$A$32</f>
        <v>10.266666666666666</v>
      </c>
      <c r="AU54"/>
      <c r="AV54">
        <f>COUNTIFS($D54:$AG54,"8",$D$4:$AG$4,"0")</f>
        <v>1</v>
      </c>
      <c r="AW54">
        <f>COUNTIFS($D54:$AG54,"9",$D$4:$AG$4,"0")</f>
        <v>0</v>
      </c>
      <c r="AX54">
        <f>COUNTIFS($D54:$AG54,"8",$D$4:$AG$4,"1")</f>
        <v>0</v>
      </c>
      <c r="AY54" cm="1">
        <f t="array" ref="AY54">COUNTIFS($D54:$AG54,"9",$D$4:$AG$4,"1")+SUM(COUNTIFS($D54:$AG54,{"8","9"},$D$4:$AG$4,"2"))+COUNTIFS($D54:$AG54,"8",$D$4:$AG$4,"3")</f>
        <v>0</v>
      </c>
      <c r="AZ54">
        <f>COUNTIFS($D54:$AG54,"9",$D$4:$AG$4,"3")</f>
        <v>0</v>
      </c>
      <c r="BA54">
        <f>SUM(AV54:AZ54)</f>
        <v>1</v>
      </c>
      <c r="BB54">
        <f>AV54*'Spreadsheet Key'!$A$27+AW54*'Spreadsheet Key'!$A$28+AX54*'Spreadsheet Key'!$A$29+AY54*'Spreadsheet Key'!$A$30+AZ54*'Spreadsheet Key'!$A$31</f>
        <v>10</v>
      </c>
      <c r="BC54"/>
      <c r="BD54">
        <f>AT54-BB54</f>
        <v>0.26666666666666572</v>
      </c>
    </row>
    <row r="55" spans="1:56">
      <c r="A55" s="3208"/>
      <c r="B55" s="3208"/>
      <c r="C55" s="3180" t="str">
        <f>CONCATENATE(A55," ",UPPER(B55))</f>
        <v xml:space="preserve"> 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512"/>
      <c r="Y55" s="2"/>
      <c r="Z55" s="2"/>
      <c r="AA55" s="590"/>
      <c r="AB55" s="2"/>
      <c r="AC55" s="2"/>
      <c r="AD55" s="2"/>
      <c r="AE55" s="2"/>
      <c r="AF55" s="2"/>
      <c r="AG55" s="705"/>
      <c r="AH55" s="696"/>
      <c r="AI55" s="3202"/>
      <c r="AT55" s="3388"/>
      <c r="AV55">
        <f>COUNTIFS($D55:$AG55,"8",$D$4:$AG$4,"0")</f>
        <v>0</v>
      </c>
      <c r="AW55">
        <f>COUNTIFS($D55:$AG55,"9",$D$4:$AG$4,"0")</f>
        <v>0</v>
      </c>
      <c r="AX55">
        <f>COUNTIFS($D55:$AG55,"8",$D$4:$AG$4,"1")</f>
        <v>0</v>
      </c>
      <c r="AY55" cm="1">
        <f t="array" ref="AY55">COUNTIFS($D55:$AG55,"9",$D$4:$AG$4,"1")+SUM(COUNTIFS($D55:$AG55,{"8","9"},$D$4:$AG$4,"2"))+COUNTIFS($D55:$AG55,"8",$D$4:$AG$4,"3")</f>
        <v>0</v>
      </c>
      <c r="AZ55">
        <f>COUNTIFS($D55:$AG55,"9",$D$4:$AG$4,"3")</f>
        <v>0</v>
      </c>
      <c r="BA55">
        <f>SUM(AV55:AZ55)</f>
        <v>0</v>
      </c>
      <c r="BB55">
        <f>AV55*'Spreadsheet Key'!$A$27+AW55*'Spreadsheet Key'!$A$28+AX55*'Spreadsheet Key'!$A$29+AY55*'Spreadsheet Key'!$A$30+AZ55*'Spreadsheet Key'!$A$31</f>
        <v>0</v>
      </c>
    </row>
    <row r="56" spans="1:56" s="3211" customFormat="1">
      <c r="A56" s="3421" t="s">
        <v>602</v>
      </c>
      <c r="B56" s="3216" t="s">
        <v>660</v>
      </c>
      <c r="C56" s="3180" t="str">
        <f>CONCATENATE(A56," ",UPPER(B56))</f>
        <v>BMC FUENTES</v>
      </c>
      <c r="D56" s="3386">
        <v>0</v>
      </c>
      <c r="E56" s="3386">
        <v>0</v>
      </c>
      <c r="F56" s="3386">
        <v>0</v>
      </c>
      <c r="G56" s="3386">
        <v>0</v>
      </c>
      <c r="H56" s="3386">
        <v>0</v>
      </c>
      <c r="I56" s="3386">
        <v>0</v>
      </c>
      <c r="J56" s="3386">
        <v>9</v>
      </c>
      <c r="K56" s="3386">
        <v>0</v>
      </c>
      <c r="L56" s="3386">
        <v>0</v>
      </c>
      <c r="M56" s="3386">
        <v>0</v>
      </c>
      <c r="N56" s="3386">
        <v>8</v>
      </c>
      <c r="O56" s="3386">
        <v>0</v>
      </c>
      <c r="P56" s="3386">
        <v>0</v>
      </c>
      <c r="Q56" s="3386">
        <v>0</v>
      </c>
      <c r="R56" s="3386">
        <v>0</v>
      </c>
      <c r="S56" s="3386">
        <v>0</v>
      </c>
      <c r="T56" s="3386">
        <v>0</v>
      </c>
      <c r="U56" s="3386">
        <v>0</v>
      </c>
      <c r="V56" s="3386">
        <v>0</v>
      </c>
      <c r="W56" s="3386">
        <v>0</v>
      </c>
      <c r="X56" s="3386">
        <v>8</v>
      </c>
      <c r="Y56" s="3386">
        <v>0</v>
      </c>
      <c r="Z56" s="3386">
        <v>0</v>
      </c>
      <c r="AA56" s="3386">
        <v>8</v>
      </c>
      <c r="AB56" s="3386">
        <v>0</v>
      </c>
      <c r="AC56" s="3386">
        <v>0</v>
      </c>
      <c r="AD56" s="3386">
        <v>8</v>
      </c>
      <c r="AE56" s="3386">
        <v>0</v>
      </c>
      <c r="AF56" s="3386">
        <v>0</v>
      </c>
      <c r="AG56" s="3386">
        <v>0</v>
      </c>
      <c r="AH56" s="3386">
        <v>0</v>
      </c>
      <c r="AI56" s="3202">
        <v>0</v>
      </c>
      <c r="AJ56" cm="1">
        <f t="array" ref="AJ56">SUM(COUNTIFS($D56:$AG56,{"0","4","5","6","7","8","9"}))</f>
        <v>30</v>
      </c>
      <c r="AK56" cm="1">
        <f t="array" ref="AK56">SUM(COUNTIFS($D56:$AG56,{"0","4","5","6","7","8","9"},$D$4:$AG$4,"0"))</f>
        <v>16</v>
      </c>
      <c r="AL56" cm="1">
        <f t="array" ref="AL56">SUM(COUNTIFS($D56:$AG56,{"0","4","5","6","7","8","9"},$D$4:$AG$4,"1"))</f>
        <v>4</v>
      </c>
      <c r="AM56" cm="1">
        <f t="array" ref="AM56">SUM(COUNTIFS($D56:$AG56,{"0","4","5","6","7","8","9"},$D$4:$AG$4,"2"))</f>
        <v>6</v>
      </c>
      <c r="AN56" cm="1">
        <f t="array" ref="AN56">SUM(COUNTIFS($D56:$AG56,{"0","4","5","6","7","8","9"},$D$4:$AG$4,"3"))</f>
        <v>4</v>
      </c>
      <c r="AO56" cm="1">
        <f t="array" ref="AO56">SUM(COUNTIFS($D56:$AG56,{"1","2","3"}))</f>
        <v>0</v>
      </c>
      <c r="AP56" cm="1">
        <f t="array" ref="AP56">SUM(COUNTIFS($D56:$AG56,{"4","5","6"}))</f>
        <v>0</v>
      </c>
      <c r="AQ56">
        <f>AK56*'Spreadsheet Key'!$A$23 + AL56*'Spreadsheet Key'!$A$24 + AM56*'Spreadsheet Key'!$A$25 + AN56*'Spreadsheet Key'!$A$26</f>
        <v>1224</v>
      </c>
      <c r="AR56">
        <f>AJ56/('JUN Statistics'!$B$30)*ABS(AI56-1)</f>
        <v>5.9880239520958084E-2</v>
      </c>
      <c r="AS56">
        <f>AI56*AT56</f>
        <v>0</v>
      </c>
      <c r="AT56" s="3388">
        <f>AR56*'JUN Statistics'!$C$11</f>
        <v>73.09381437125748</v>
      </c>
      <c r="AU56"/>
      <c r="AV56">
        <f>COUNTIFS($D56:$AG56,"8",$D$4:$AG$4,"0")</f>
        <v>2</v>
      </c>
      <c r="AW56">
        <f>COUNTIFS($D56:$AG56,"9",$D$4:$AG$4,"0")</f>
        <v>0</v>
      </c>
      <c r="AX56">
        <f>COUNTIFS($D56:$AG56,"8",$D$4:$AG$4,"1")</f>
        <v>1</v>
      </c>
      <c r="AY56" cm="1">
        <f t="array" ref="AY56">COUNTIFS($D56:$AG56,"9",$D$4:$AG$4,"1")+SUM(COUNTIFS($D56:$AG56,{"8","9"},$D$4:$AG$4,"2"))+COUNTIFS($D56:$AG56,"8",$D$4:$AG$4,"3")</f>
        <v>1</v>
      </c>
      <c r="AZ56">
        <f>COUNTIFS($D56:$AG56,"9",$D$4:$AG$4,"3")</f>
        <v>1</v>
      </c>
      <c r="BA56">
        <f>SUM(AV56:AZ56)</f>
        <v>5</v>
      </c>
      <c r="BB56">
        <f>AV56*'Spreadsheet Key'!$A$27+AW56*'Spreadsheet Key'!$A$28+AX56*'Spreadsheet Key'!$A$29+AY56*'Spreadsheet Key'!$A$30+AZ56*'Spreadsheet Key'!$A$31</f>
        <v>94</v>
      </c>
      <c r="BC56"/>
      <c r="BD56">
        <f>AT56-BB56</f>
        <v>-20.90618562874252</v>
      </c>
    </row>
    <row r="57" spans="1:56">
      <c r="A57" s="3208"/>
      <c r="B57" s="3208"/>
      <c r="C57" s="3180" t="str">
        <f>CONCATENATE(A57," ",UPPER(B57))</f>
        <v xml:space="preserve"> </v>
      </c>
      <c r="D57" s="3415" t="s">
        <v>1426</v>
      </c>
      <c r="E57" s="3397"/>
      <c r="F57" s="3397"/>
      <c r="G57" s="3397"/>
      <c r="H57" s="3397"/>
      <c r="I57" s="3397"/>
      <c r="J57" s="3397"/>
      <c r="K57" s="3397"/>
      <c r="L57" s="3397"/>
      <c r="M57" s="3397"/>
      <c r="N57" s="3397"/>
      <c r="O57" s="3397"/>
      <c r="P57" s="3397"/>
      <c r="Q57" s="3397"/>
      <c r="R57" s="3397"/>
      <c r="S57" s="3397"/>
      <c r="T57" s="3397"/>
      <c r="U57" s="3397"/>
      <c r="V57" s="3397"/>
      <c r="W57" s="3397"/>
      <c r="X57" s="3397"/>
      <c r="Y57" s="3397"/>
      <c r="Z57" s="3397"/>
      <c r="AA57" s="3397"/>
      <c r="AB57" s="3397"/>
      <c r="AC57" s="3397"/>
      <c r="AD57" s="3397"/>
      <c r="AE57" s="3397"/>
      <c r="AF57" s="3397"/>
      <c r="AG57" s="3397"/>
      <c r="AH57" s="3398"/>
      <c r="AI57" s="3202"/>
      <c r="AT57" s="3388"/>
      <c r="AV57">
        <f>COUNTIFS($D57:$AG57,"8",$D$4:$AG$4,"0")</f>
        <v>0</v>
      </c>
      <c r="AW57">
        <f>COUNTIFS($D57:$AG57,"9",$D$4:$AG$4,"0")</f>
        <v>0</v>
      </c>
      <c r="AX57">
        <f>COUNTIFS($D57:$AG57,"8",$D$4:$AG$4,"1")</f>
        <v>0</v>
      </c>
      <c r="AY57" cm="1">
        <f t="array" ref="AY57">COUNTIFS($D57:$AG57,"9",$D$4:$AG$4,"1")+SUM(COUNTIFS($D57:$AG57,{"8","9"},$D$4:$AG$4,"2"))+COUNTIFS($D57:$AG57,"8",$D$4:$AG$4,"3")</f>
        <v>0</v>
      </c>
      <c r="AZ57">
        <f>COUNTIFS($D57:$AG57,"9",$D$4:$AG$4,"3")</f>
        <v>0</v>
      </c>
      <c r="BA57">
        <f>SUM(AV57:AZ57)</f>
        <v>0</v>
      </c>
      <c r="BB57">
        <f>AV57*'Spreadsheet Key'!$A$27+AW57*'Spreadsheet Key'!$A$28+AX57*'Spreadsheet Key'!$A$29+AY57*'Spreadsheet Key'!$A$30+AZ57*'Spreadsheet Key'!$A$31</f>
        <v>0</v>
      </c>
    </row>
    <row r="58" spans="1:56" s="3211" customFormat="1">
      <c r="A58" s="3423" t="s">
        <v>81</v>
      </c>
      <c r="B58" s="3180" t="s">
        <v>396</v>
      </c>
      <c r="C58" s="3180" t="str">
        <f>CONCATENATE(A58," ",UPPER(B58))</f>
        <v>LTJG MOORE</v>
      </c>
      <c r="D58" s="3386">
        <v>2</v>
      </c>
      <c r="E58" s="3386">
        <v>2</v>
      </c>
      <c r="F58" s="3386">
        <v>2</v>
      </c>
      <c r="G58" s="3386">
        <v>2</v>
      </c>
      <c r="H58" s="3386">
        <v>2</v>
      </c>
      <c r="I58" s="3386">
        <v>2</v>
      </c>
      <c r="J58" s="3386">
        <v>2</v>
      </c>
      <c r="K58" s="3386">
        <v>2</v>
      </c>
      <c r="L58" s="3386">
        <v>2</v>
      </c>
      <c r="M58" s="3386">
        <v>2</v>
      </c>
      <c r="N58" s="3386">
        <v>2</v>
      </c>
      <c r="O58" s="3386">
        <v>2</v>
      </c>
      <c r="P58" s="3386">
        <v>2</v>
      </c>
      <c r="Q58" s="3386">
        <v>2</v>
      </c>
      <c r="R58" s="3386">
        <v>2</v>
      </c>
      <c r="S58" s="3386">
        <v>2</v>
      </c>
      <c r="T58" s="3386">
        <v>2</v>
      </c>
      <c r="U58" s="3386">
        <v>2</v>
      </c>
      <c r="V58" s="3386">
        <v>2</v>
      </c>
      <c r="W58" s="3386">
        <v>2</v>
      </c>
      <c r="X58" s="3386">
        <v>2</v>
      </c>
      <c r="Y58" s="3386">
        <v>2</v>
      </c>
      <c r="Z58" s="3386">
        <v>2</v>
      </c>
      <c r="AA58" s="3386">
        <v>2</v>
      </c>
      <c r="AB58" s="3386">
        <v>2</v>
      </c>
      <c r="AC58" s="3386">
        <v>2</v>
      </c>
      <c r="AD58" s="3386">
        <v>2</v>
      </c>
      <c r="AE58" s="3386">
        <v>2</v>
      </c>
      <c r="AF58" s="3386">
        <v>2</v>
      </c>
      <c r="AG58" s="3386">
        <v>2</v>
      </c>
      <c r="AH58" s="3386">
        <v>2</v>
      </c>
      <c r="AI58" s="3202">
        <v>0</v>
      </c>
      <c r="AJ58" cm="1">
        <f t="array" ref="AJ58">SUM(COUNTIFS($D58:$AG58,{"0","4","5","6","7","8","9"}))</f>
        <v>0</v>
      </c>
      <c r="AK58" cm="1">
        <f t="array" ref="AK58">SUM(COUNTIFS($D58:$AG58,{"0","4","5","6","7","8","9"},$D$4:$AG$4,"0"))</f>
        <v>0</v>
      </c>
      <c r="AL58" cm="1">
        <f t="array" ref="AL58">SUM(COUNTIFS($D58:$AG58,{"0","4","5","6","7","8","9"},$D$4:$AG$4,"1"))</f>
        <v>0</v>
      </c>
      <c r="AM58" cm="1">
        <f t="array" ref="AM58">SUM(COUNTIFS($D58:$AG58,{"0","4","5","6","7","8","9"},$D$4:$AG$4,"2"))</f>
        <v>0</v>
      </c>
      <c r="AN58" cm="1">
        <f t="array" ref="AN58">SUM(COUNTIFS($D58:$AG58,{"0","4","5","6","7","8","9"},$D$4:$AG$4,"3"))</f>
        <v>0</v>
      </c>
      <c r="AO58" cm="1">
        <f t="array" ref="AO58">SUM(COUNTIFS($D58:$AG58,{"1","2","3"}))</f>
        <v>30</v>
      </c>
      <c r="AP58" cm="1">
        <f t="array" ref="AP58">SUM(COUNTIFS($D58:$AG58,{"4","5","6"}))</f>
        <v>0</v>
      </c>
      <c r="AQ58">
        <f>AK58*'Spreadsheet Key'!$A$23 + AL58*'Spreadsheet Key'!$A$24 + AM58*'Spreadsheet Key'!$A$25 + AN58*'Spreadsheet Key'!$A$26</f>
        <v>0</v>
      </c>
      <c r="AR58">
        <f>AJ58/('JUN Statistics'!$B$30)*ABS(AI58-1)</f>
        <v>0</v>
      </c>
      <c r="AS58">
        <v>0</v>
      </c>
      <c r="AT58" s="3388">
        <f>AR58*'JUN Statistics'!$C$11</f>
        <v>0</v>
      </c>
      <c r="AU58"/>
      <c r="AV58">
        <f>COUNTIFS($D58:$AG58,"8",$D$4:$AG$4,"0")</f>
        <v>0</v>
      </c>
      <c r="AW58">
        <f>COUNTIFS($D58:$AG58,"9",$D$4:$AG$4,"0")</f>
        <v>0</v>
      </c>
      <c r="AX58">
        <f>COUNTIFS($D58:$AG58,"8",$D$4:$AG$4,"1")</f>
        <v>0</v>
      </c>
      <c r="AY58" cm="1">
        <f t="array" ref="AY58">COUNTIFS($D58:$AG58,"9",$D$4:$AG$4,"1")+SUM(COUNTIFS($D58:$AG58,{"8","9"},$D$4:$AG$4,"2"))+COUNTIFS($D58:$AG58,"8",$D$4:$AG$4,"3")</f>
        <v>0</v>
      </c>
      <c r="AZ58">
        <f>COUNTIFS($D58:$AG58,"9",$D$4:$AG$4,"3")</f>
        <v>0</v>
      </c>
      <c r="BA58">
        <f>SUM(AV58:AZ58)</f>
        <v>0</v>
      </c>
      <c r="BB58">
        <f>AV58*'Spreadsheet Key'!$A$27+AW58*'Spreadsheet Key'!$A$28+AX58*'Spreadsheet Key'!$A$29+AY58*'Spreadsheet Key'!$A$30+AZ58*'Spreadsheet Key'!$A$31</f>
        <v>0</v>
      </c>
      <c r="BC58"/>
      <c r="BD58">
        <f>AT58-BB58</f>
        <v>0</v>
      </c>
    </row>
    <row r="59" spans="1:56">
      <c r="A59" s="3208"/>
      <c r="B59" s="3208"/>
      <c r="C59" s="3180" t="str">
        <f>CONCATENATE(A59," ",UPPER(B59))</f>
        <v xml:space="preserve"> </v>
      </c>
      <c r="D59" s="6169" t="s">
        <v>711</v>
      </c>
      <c r="E59" s="6509"/>
      <c r="F59" s="778"/>
      <c r="G59" s="5910" t="s">
        <v>1433</v>
      </c>
      <c r="H59" s="4437"/>
      <c r="I59" s="4437"/>
      <c r="J59" s="4438"/>
      <c r="K59" s="785"/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3395" t="s">
        <v>1386</v>
      </c>
      <c r="AC59" s="6510" t="s">
        <v>754</v>
      </c>
      <c r="AD59" s="6510"/>
      <c r="AE59" s="6510"/>
      <c r="AF59" s="3395" t="s">
        <v>1386</v>
      </c>
      <c r="AG59" s="785"/>
      <c r="AH59" s="808"/>
      <c r="AI59" s="3202"/>
      <c r="AT59" s="3388"/>
      <c r="AV59">
        <f>COUNTIFS($D59:$AG59,"8",$D$4:$AG$4,"0")</f>
        <v>0</v>
      </c>
      <c r="AW59">
        <f>COUNTIFS($D59:$AG59,"9",$D$4:$AG$4,"0")</f>
        <v>0</v>
      </c>
      <c r="AX59">
        <f>COUNTIFS($D59:$AG59,"8",$D$4:$AG$4,"1")</f>
        <v>0</v>
      </c>
      <c r="AY59" cm="1">
        <f t="array" ref="AY59">COUNTIFS($D59:$AG59,"9",$D$4:$AG$4,"1")+SUM(COUNTIFS($D59:$AG59,{"8","9"},$D$4:$AG$4,"2"))+COUNTIFS($D59:$AG59,"8",$D$4:$AG$4,"3")</f>
        <v>0</v>
      </c>
      <c r="AZ59">
        <f>COUNTIFS($D59:$AG59,"9",$D$4:$AG$4,"3")</f>
        <v>0</v>
      </c>
      <c r="BA59">
        <f>SUM(AV59:AZ59)</f>
        <v>0</v>
      </c>
      <c r="BB59">
        <f>AV59*'Spreadsheet Key'!$A$27+AW59*'Spreadsheet Key'!$A$28+AX59*'Spreadsheet Key'!$A$29+AY59*'Spreadsheet Key'!$A$30+AZ59*'Spreadsheet Key'!$A$31</f>
        <v>0</v>
      </c>
    </row>
    <row r="60" spans="1:56" s="3211" customFormat="1">
      <c r="A60" s="3180" t="s">
        <v>95</v>
      </c>
      <c r="B60" s="3180" t="s">
        <v>303</v>
      </c>
      <c r="C60" s="3180" t="str">
        <f>CONCATENATE(A60," ",UPPER(B60))</f>
        <v>LT PARRA</v>
      </c>
      <c r="D60" s="3386">
        <v>2</v>
      </c>
      <c r="E60" s="3386">
        <v>2</v>
      </c>
      <c r="F60" s="3386">
        <v>0</v>
      </c>
      <c r="G60" s="3386">
        <v>4</v>
      </c>
      <c r="H60" s="3386">
        <v>5</v>
      </c>
      <c r="I60" s="3386">
        <v>5</v>
      </c>
      <c r="J60" s="3386">
        <v>6</v>
      </c>
      <c r="K60" s="3386">
        <v>0</v>
      </c>
      <c r="L60" s="3386">
        <v>8</v>
      </c>
      <c r="M60" s="3386">
        <v>0</v>
      </c>
      <c r="N60" s="3386">
        <v>0</v>
      </c>
      <c r="O60" s="3386">
        <v>0</v>
      </c>
      <c r="P60" s="3386">
        <v>9</v>
      </c>
      <c r="Q60" s="3386">
        <v>0</v>
      </c>
      <c r="R60" s="3386">
        <v>0</v>
      </c>
      <c r="S60" s="3386">
        <v>8</v>
      </c>
      <c r="T60" s="3386">
        <v>0</v>
      </c>
      <c r="U60" s="3386">
        <v>0</v>
      </c>
      <c r="V60" s="3386">
        <v>9</v>
      </c>
      <c r="W60" s="3386">
        <v>0</v>
      </c>
      <c r="X60" s="3386">
        <v>0</v>
      </c>
      <c r="Y60" s="3386">
        <v>0</v>
      </c>
      <c r="Z60" s="3386">
        <v>8</v>
      </c>
      <c r="AA60" s="3386">
        <v>0</v>
      </c>
      <c r="AB60" s="3386">
        <v>1</v>
      </c>
      <c r="AC60" s="3386">
        <v>2</v>
      </c>
      <c r="AD60" s="3386">
        <v>2</v>
      </c>
      <c r="AE60" s="3386">
        <v>2</v>
      </c>
      <c r="AF60" s="3386">
        <v>3</v>
      </c>
      <c r="AG60" s="3386">
        <v>0</v>
      </c>
      <c r="AH60" s="3386">
        <v>0</v>
      </c>
      <c r="AI60" s="3202">
        <v>0</v>
      </c>
      <c r="AJ60" cm="1">
        <f t="array" ref="AJ60">SUM(COUNTIFS($D60:$AG60,{"0","4","5","6","7","8","9"}))</f>
        <v>23</v>
      </c>
      <c r="AK60" cm="1">
        <f t="array" ref="AK60">SUM(COUNTIFS($D60:$AG60,{"0","4","5","6","7","8","9"},$D$4:$AG$4,"0"))</f>
        <v>12</v>
      </c>
      <c r="AL60" cm="1">
        <f t="array" ref="AL60">SUM(COUNTIFS($D60:$AG60,{"0","4","5","6","7","8","9"},$D$4:$AG$4,"1"))</f>
        <v>3</v>
      </c>
      <c r="AM60" cm="1">
        <f t="array" ref="AM60">SUM(COUNTIFS($D60:$AG60,{"0","4","5","6","7","8","9"},$D$4:$AG$4,"2"))</f>
        <v>5</v>
      </c>
      <c r="AN60" cm="1">
        <f t="array" ref="AN60">SUM(COUNTIFS($D60:$AG60,{"0","4","5","6","7","8","9"},$D$4:$AG$4,"3"))</f>
        <v>3</v>
      </c>
      <c r="AO60" cm="1">
        <f t="array" ref="AO60">SUM(COUNTIFS($D60:$AG60,{"1","2","3"}))</f>
        <v>7</v>
      </c>
      <c r="AP60" cm="1">
        <f t="array" ref="AP60">SUM(COUNTIFS($D60:$AG60,{"4","5","6"}))</f>
        <v>4</v>
      </c>
      <c r="AQ60">
        <f>AK60*'Spreadsheet Key'!$A$23 + AL60*'Spreadsheet Key'!$A$24 + AM60*'Spreadsheet Key'!$A$25 + AN60*'Spreadsheet Key'!$A$26</f>
        <v>954</v>
      </c>
      <c r="AR60">
        <f>AJ60/('JUN Statistics'!$B$30)*ABS(AI60-1)</f>
        <v>4.590818363273453E-2</v>
      </c>
      <c r="AS60">
        <f>AI60*AT60</f>
        <v>0</v>
      </c>
      <c r="AT60" s="3388">
        <f>AR60*'JUN Statistics'!$C$11</f>
        <v>56.038591017964073</v>
      </c>
      <c r="AU60"/>
      <c r="AV60">
        <f>COUNTIFS($D60:$AG60,"8",$D$4:$AG$4,"0")</f>
        <v>3</v>
      </c>
      <c r="AW60">
        <f>COUNTIFS($D60:$AG60,"9",$D$4:$AG$4,"0")</f>
        <v>0</v>
      </c>
      <c r="AX60">
        <f>COUNTIFS($D60:$AG60,"8",$D$4:$AG$4,"1")</f>
        <v>0</v>
      </c>
      <c r="AY60" cm="1">
        <f t="array" ref="AY60">COUNTIFS($D60:$AG60,"9",$D$4:$AG$4,"1")+SUM(COUNTIFS($D60:$AG60,{"8","9"},$D$4:$AG$4,"2"))+COUNTIFS($D60:$AG60,"8",$D$4:$AG$4,"3")</f>
        <v>1</v>
      </c>
      <c r="AZ60">
        <f>COUNTIFS($D60:$AG60,"9",$D$4:$AG$4,"3")</f>
        <v>1</v>
      </c>
      <c r="BA60">
        <f>SUM(AV60:AZ60)</f>
        <v>5</v>
      </c>
      <c r="BB60">
        <f>AV60*'Spreadsheet Key'!$A$27+AW60*'Spreadsheet Key'!$A$28+AX60*'Spreadsheet Key'!$A$29+AY60*'Spreadsheet Key'!$A$30+AZ60*'Spreadsheet Key'!$A$31</f>
        <v>86</v>
      </c>
      <c r="BC60"/>
      <c r="BD60">
        <f>AT60-BB60</f>
        <v>-29.961408982035927</v>
      </c>
    </row>
    <row r="61" spans="1:56" ht="15.75" customHeight="1">
      <c r="A61" s="3208"/>
      <c r="B61" s="3208"/>
      <c r="C61" s="3180" t="str">
        <f>CONCATENATE(A61," ",UPPER(B61))</f>
        <v xml:space="preserve"> </v>
      </c>
      <c r="D61" s="779"/>
      <c r="E61" s="779"/>
      <c r="F61" s="779"/>
      <c r="G61" s="6423" t="s">
        <v>1405</v>
      </c>
      <c r="H61" s="6424"/>
      <c r="I61" s="6424"/>
      <c r="J61" s="6425"/>
      <c r="K61" s="3395" t="s">
        <v>1386</v>
      </c>
      <c r="L61" s="6515" t="s">
        <v>754</v>
      </c>
      <c r="M61" s="6516"/>
      <c r="N61" s="6516"/>
      <c r="O61" s="6516"/>
      <c r="P61" s="6517"/>
      <c r="Q61" s="3395" t="s">
        <v>1386</v>
      </c>
      <c r="R61" s="6518" t="s">
        <v>1434</v>
      </c>
      <c r="S61" s="6424"/>
      <c r="T61" s="6424"/>
      <c r="U61" s="6424"/>
      <c r="V61" s="6424"/>
      <c r="W61" s="6424"/>
      <c r="X61" s="6424"/>
      <c r="Y61" s="6424"/>
      <c r="Z61" s="6424"/>
      <c r="AA61" s="6424"/>
      <c r="AB61" s="6424"/>
      <c r="AC61" s="6424"/>
      <c r="AD61" s="6424"/>
      <c r="AE61" s="6424"/>
      <c r="AF61" s="6424"/>
      <c r="AG61" s="6424"/>
      <c r="AH61" s="6425"/>
      <c r="AI61" s="3202"/>
      <c r="AT61" s="3388"/>
      <c r="AV61">
        <f>COUNTIFS($D61:$AG61,"8",$D$4:$AG$4,"0")</f>
        <v>0</v>
      </c>
      <c r="AW61">
        <f>COUNTIFS($D61:$AG61,"9",$D$4:$AG$4,"0")</f>
        <v>0</v>
      </c>
      <c r="AX61">
        <f>COUNTIFS($D61:$AG61,"8",$D$4:$AG$4,"1")</f>
        <v>0</v>
      </c>
      <c r="AY61" cm="1">
        <f t="array" ref="AY61">COUNTIFS($D61:$AG61,"9",$D$4:$AG$4,"1")+SUM(COUNTIFS($D61:$AG61,{"8","9"},$D$4:$AG$4,"2"))+COUNTIFS($D61:$AG61,"8",$D$4:$AG$4,"3")</f>
        <v>0</v>
      </c>
      <c r="AZ61">
        <f>COUNTIFS($D61:$AG61,"9",$D$4:$AG$4,"3")</f>
        <v>0</v>
      </c>
      <c r="BA61">
        <f>SUM(AV61:AZ61)</f>
        <v>0</v>
      </c>
      <c r="BB61">
        <f>AV61*'Spreadsheet Key'!$A$27+AW61*'Spreadsheet Key'!$A$28+AX61*'Spreadsheet Key'!$A$29+AY61*'Spreadsheet Key'!$A$30+AZ61*'Spreadsheet Key'!$A$31</f>
        <v>0</v>
      </c>
    </row>
    <row r="62" spans="1:56" s="3211" customFormat="1" ht="15" customHeight="1">
      <c r="A62" s="3421" t="s">
        <v>155</v>
      </c>
      <c r="B62" s="3187" t="s">
        <v>532</v>
      </c>
      <c r="C62" s="3180" t="str">
        <f>CONCATENATE(A62," ",UPPER(B62))</f>
        <v>GMC BARTELMEY</v>
      </c>
      <c r="D62" s="3386">
        <v>0</v>
      </c>
      <c r="E62" s="3386">
        <v>9</v>
      </c>
      <c r="F62" s="3386">
        <v>0</v>
      </c>
      <c r="G62" s="3386">
        <v>4</v>
      </c>
      <c r="H62" s="3386">
        <v>5</v>
      </c>
      <c r="I62" s="3386">
        <v>5</v>
      </c>
      <c r="J62" s="3386">
        <v>6</v>
      </c>
      <c r="K62" s="3386">
        <v>1</v>
      </c>
      <c r="L62" s="3386">
        <v>2</v>
      </c>
      <c r="M62" s="3386">
        <v>2</v>
      </c>
      <c r="N62" s="3386">
        <v>2</v>
      </c>
      <c r="O62" s="3386">
        <v>2</v>
      </c>
      <c r="P62" s="3386">
        <v>2</v>
      </c>
      <c r="Q62" s="3386">
        <v>3</v>
      </c>
      <c r="R62" s="3386">
        <v>2</v>
      </c>
      <c r="S62" s="3386">
        <v>2</v>
      </c>
      <c r="T62" s="3386">
        <v>2</v>
      </c>
      <c r="U62" s="3386">
        <v>2</v>
      </c>
      <c r="V62" s="3386">
        <v>2</v>
      </c>
      <c r="W62" s="3386">
        <v>2</v>
      </c>
      <c r="X62" s="3386">
        <v>2</v>
      </c>
      <c r="Y62" s="3386">
        <v>2</v>
      </c>
      <c r="Z62" s="3386">
        <v>2</v>
      </c>
      <c r="AA62" s="3386">
        <v>2</v>
      </c>
      <c r="AB62" s="3386">
        <v>2</v>
      </c>
      <c r="AC62" s="3386">
        <v>2</v>
      </c>
      <c r="AD62" s="3386">
        <v>2</v>
      </c>
      <c r="AE62" s="3386">
        <v>2</v>
      </c>
      <c r="AF62" s="3386">
        <v>2</v>
      </c>
      <c r="AG62" s="3386">
        <v>2</v>
      </c>
      <c r="AH62" s="3386">
        <v>2</v>
      </c>
      <c r="AI62" s="3202">
        <v>0</v>
      </c>
      <c r="AJ62" cm="1">
        <f t="array" ref="AJ62">SUM(COUNTIFS($D62:$AG62,{"0","4","5","6","7","8","9"}))</f>
        <v>7</v>
      </c>
      <c r="AK62" cm="1">
        <f t="array" ref="AK62">SUM(COUNTIFS($D62:$AG62,{"0","4","5","6","7","8","9"},$D$4:$AG$4,"0"))</f>
        <v>2</v>
      </c>
      <c r="AL62" cm="1">
        <f t="array" ref="AL62">SUM(COUNTIFS($D62:$AG62,{"0","4","5","6","7","8","9"},$D$4:$AG$4,"1"))</f>
        <v>1</v>
      </c>
      <c r="AM62" cm="1">
        <f t="array" ref="AM62">SUM(COUNTIFS($D62:$AG62,{"0","4","5","6","7","8","9"},$D$4:$AG$4,"2"))</f>
        <v>3</v>
      </c>
      <c r="AN62" cm="1">
        <f t="array" ref="AN62">SUM(COUNTIFS($D62:$AG62,{"0","4","5","6","7","8","9"},$D$4:$AG$4,"3"))</f>
        <v>1</v>
      </c>
      <c r="AO62" cm="1">
        <f t="array" ref="AO62">SUM(COUNTIFS($D62:$AG62,{"1","2","3"}))</f>
        <v>23</v>
      </c>
      <c r="AP62" cm="1">
        <f t="array" ref="AP62">SUM(COUNTIFS($D62:$AG62,{"4","5","6"}))</f>
        <v>4</v>
      </c>
      <c r="AQ62">
        <f>AK62*'Spreadsheet Key'!$A$23 + AL62*'Spreadsheet Key'!$A$24 + AM62*'Spreadsheet Key'!$A$25 + AN62*'Spreadsheet Key'!$A$26</f>
        <v>370</v>
      </c>
      <c r="AR62">
        <f>AJ62/('JUN Statistics'!$B$30)*ABS(AI62-1)</f>
        <v>1.3972055888223553E-2</v>
      </c>
      <c r="AS62">
        <f>AI62*AT62</f>
        <v>0</v>
      </c>
      <c r="AT62" s="3388">
        <f>AR62*'JUN Statistics'!$C$11</f>
        <v>17.055223353293414</v>
      </c>
      <c r="AU62"/>
      <c r="AV62">
        <f>COUNTIFS($D62:$AG62,"8",$D$4:$AG$4,"0")</f>
        <v>0</v>
      </c>
      <c r="AW62">
        <f>COUNTIFS($D62:$AG62,"9",$D$4:$AG$4,"0")</f>
        <v>1</v>
      </c>
      <c r="AX62">
        <f>COUNTIFS($D62:$AG62,"8",$D$4:$AG$4,"1")</f>
        <v>0</v>
      </c>
      <c r="AY62" cm="1">
        <f t="array" ref="AY62">COUNTIFS($D62:$AG62,"9",$D$4:$AG$4,"1")+SUM(COUNTIFS($D62:$AG62,{"8","9"},$D$4:$AG$4,"2"))+COUNTIFS($D62:$AG62,"8",$D$4:$AG$4,"3")</f>
        <v>0</v>
      </c>
      <c r="AZ62">
        <f>COUNTIFS($D62:$AG62,"9",$D$4:$AG$4,"3")</f>
        <v>0</v>
      </c>
      <c r="BA62">
        <f>SUM(AV62:AZ62)</f>
        <v>1</v>
      </c>
      <c r="BB62">
        <f>AV62*'Spreadsheet Key'!$A$27+AW62*'Spreadsheet Key'!$A$28+AX62*'Spreadsheet Key'!$A$29+AY62*'Spreadsheet Key'!$A$30+AZ62*'Spreadsheet Key'!$A$31</f>
        <v>12</v>
      </c>
      <c r="BC62"/>
      <c r="BD62">
        <f>AT62-BB62</f>
        <v>5.0552233532934139</v>
      </c>
    </row>
    <row r="63" spans="1:56">
      <c r="B63" s="916" t="s">
        <v>720</v>
      </c>
      <c r="C63" s="916"/>
      <c r="D63">
        <f>COUNTIF(D$5:D$62,"D")</f>
        <v>0</v>
      </c>
      <c r="E63">
        <f>COUNTIF(E$5:E$62,"D")</f>
        <v>0</v>
      </c>
      <c r="F63">
        <f>COUNTIF(F$5:F$62,"D")</f>
        <v>0</v>
      </c>
      <c r="G63">
        <f>COUNTIF(G$5:G$62,"D")</f>
        <v>0</v>
      </c>
      <c r="H63">
        <f>COUNTIF(H$5:H$62,"D")</f>
        <v>0</v>
      </c>
      <c r="I63">
        <f>COUNTIF(I$5:I$62,"D")</f>
        <v>0</v>
      </c>
      <c r="J63">
        <f>COUNTIF(J$5:J$62,"D")</f>
        <v>0</v>
      </c>
      <c r="K63">
        <f>COUNTIF(K$5:K$62,"D")</f>
        <v>0</v>
      </c>
      <c r="L63">
        <f>COUNTIF(L$5:L$62,"D")</f>
        <v>0</v>
      </c>
      <c r="M63">
        <f>COUNTIF(M$5:M$62,"D")</f>
        <v>0</v>
      </c>
      <c r="N63">
        <f>COUNTIF(N$5:N$62,"D")</f>
        <v>0</v>
      </c>
      <c r="O63">
        <f>COUNTIF(O$5:O$62,"D")</f>
        <v>0</v>
      </c>
      <c r="P63">
        <f>COUNTIF(P$5:P$62,"D")</f>
        <v>0</v>
      </c>
      <c r="Q63">
        <f>COUNTIF(Q$5:Q$62,"D")</f>
        <v>0</v>
      </c>
      <c r="R63">
        <f>COUNTIF(R$5:R$62,"D")</f>
        <v>0</v>
      </c>
      <c r="S63">
        <f>COUNTIF(S$5:S$62,"D")</f>
        <v>0</v>
      </c>
      <c r="T63">
        <f>COUNTIF(T$5:T$62,"D")</f>
        <v>0</v>
      </c>
      <c r="U63">
        <f>COUNTIF(U$5:U$62,"D")</f>
        <v>0</v>
      </c>
      <c r="V63">
        <f>COUNTIF(V$5:V$62,"D")</f>
        <v>0</v>
      </c>
      <c r="W63">
        <f>COUNTIF(W$5:W$62,"D")</f>
        <v>0</v>
      </c>
      <c r="X63">
        <f>COUNTIF(X$5:X$62,"D")</f>
        <v>0</v>
      </c>
      <c r="Y63">
        <f>COUNTIF(Y$5:Y$62,"D")</f>
        <v>0</v>
      </c>
      <c r="Z63">
        <f>COUNTIF(Z$5:Z$62,"D")</f>
        <v>0</v>
      </c>
      <c r="AA63">
        <f>COUNTIF(AA$5:AA$62,"D")</f>
        <v>0</v>
      </c>
      <c r="AB63">
        <f>COUNTIF(AB$5:AB$62,"D")</f>
        <v>0</v>
      </c>
      <c r="AC63">
        <f>COUNTIF(AC$5:AC$62,"D")</f>
        <v>0</v>
      </c>
      <c r="AD63">
        <f>COUNTIF(AD$5:AD$62,"D")</f>
        <v>0</v>
      </c>
      <c r="AE63">
        <f>COUNTIF(AE$5:AE$62,"D")</f>
        <v>0</v>
      </c>
      <c r="AF63">
        <f>COUNTIF(AF$5:AF$62,"D")</f>
        <v>0</v>
      </c>
      <c r="AG63">
        <f>COUNTIF(AG$5:AG$62,"D")</f>
        <v>0</v>
      </c>
      <c r="AH63">
        <f>COUNTIF(AH$5:AH$62,"D")</f>
        <v>0</v>
      </c>
      <c r="AR63">
        <f>SUM(AR6:AR62)</f>
        <v>0.66467065868263475</v>
      </c>
      <c r="AS63">
        <f>SUM(AS6:AS62)</f>
        <v>12.133333333333333</v>
      </c>
      <c r="AT63" s="3388">
        <f>SUM(AT6:AT62)</f>
        <v>823.4746728542915</v>
      </c>
      <c r="AV63">
        <f>SUM(AV6:AV62)</f>
        <v>15</v>
      </c>
      <c r="AW63">
        <f>SUM(AW6:AW62)</f>
        <v>15</v>
      </c>
      <c r="AX63">
        <f>SUM(AX6:AX62)</f>
        <v>4</v>
      </c>
      <c r="AY63">
        <f>SUM(AY6:AY62)</f>
        <v>18</v>
      </c>
      <c r="AZ63">
        <f>SUM(AZ6:AZ62)</f>
        <v>4</v>
      </c>
      <c r="BA63">
        <f>SUM(BA6:BA62)</f>
        <v>56</v>
      </c>
      <c r="BB63">
        <f>SUM(BB6:BB62)</f>
        <v>1130</v>
      </c>
      <c r="BD63">
        <f>SUM(BD6:BD62)</f>
        <v>-306.52532714570867</v>
      </c>
    </row>
    <row r="64" spans="1:56">
      <c r="B64" s="916">
        <v>8</v>
      </c>
      <c r="C64" s="916"/>
      <c r="D64">
        <f>COUNTIF(D$6:D$62,8)</f>
        <v>1</v>
      </c>
      <c r="E64">
        <f>COUNTIF(E$6:E$62,8)</f>
        <v>1</v>
      </c>
      <c r="F64">
        <f>COUNTIF(F$6:F$62,8)</f>
        <v>1</v>
      </c>
      <c r="G64">
        <f>COUNTIF(G$6:G$62,8)</f>
        <v>1</v>
      </c>
      <c r="H64">
        <f>COUNTIF(H$6:H$62,8)</f>
        <v>1</v>
      </c>
      <c r="I64">
        <f>COUNTIF(I$6:I$62,8)</f>
        <v>1</v>
      </c>
      <c r="J64">
        <f>COUNTIF(J$6:J$62,8)</f>
        <v>1</v>
      </c>
      <c r="K64">
        <f>COUNTIF(K$6:K$62,8)</f>
        <v>1</v>
      </c>
      <c r="L64">
        <f>COUNTIF(L$6:L$62,8)</f>
        <v>1</v>
      </c>
      <c r="M64">
        <f>COUNTIF(M$6:M$62,8)</f>
        <v>1</v>
      </c>
      <c r="N64">
        <f>COUNTIF(N$6:N$62,8)</f>
        <v>1</v>
      </c>
      <c r="O64">
        <f>COUNTIF(O$6:O$62,8)</f>
        <v>1</v>
      </c>
      <c r="P64">
        <f>COUNTIF(P$6:P$62,8)</f>
        <v>1</v>
      </c>
      <c r="Q64">
        <f>COUNTIF(Q$6:Q$62,8)</f>
        <v>1</v>
      </c>
      <c r="R64">
        <f>COUNTIF(R$6:R$62,8)</f>
        <v>1</v>
      </c>
      <c r="S64">
        <f>COUNTIF(S$6:S$62,8)</f>
        <v>1</v>
      </c>
      <c r="T64">
        <f>COUNTIF(T$6:T$62,8)</f>
        <v>1</v>
      </c>
      <c r="U64">
        <f>COUNTIF(U$6:U$62,8)</f>
        <v>1</v>
      </c>
      <c r="V64">
        <f>COUNTIF(V$6:V$62,8)</f>
        <v>1</v>
      </c>
      <c r="W64">
        <f>COUNTIF(W$6:W$62,8)</f>
        <v>1</v>
      </c>
      <c r="X64">
        <f>COUNTIF(X$6:X$62,8)</f>
        <v>1</v>
      </c>
      <c r="Y64">
        <f>COUNTIF(Y$6:Y$62,8)</f>
        <v>1</v>
      </c>
      <c r="Z64">
        <f>COUNTIF(Z$6:Z$62,8)</f>
        <v>1</v>
      </c>
      <c r="AA64">
        <f>COUNTIF(AA$6:AA$62,8)</f>
        <v>1</v>
      </c>
      <c r="AB64">
        <f>COUNTIF(AB$6:AB$62,8)</f>
        <v>1</v>
      </c>
      <c r="AC64">
        <f>COUNTIF(AC$6:AC$62,8)</f>
        <v>1</v>
      </c>
      <c r="AD64">
        <f>COUNTIF(AD$6:AD$62,8)</f>
        <v>1</v>
      </c>
      <c r="AE64">
        <f>COUNTIF(AE$6:AE$62,8)</f>
        <v>1</v>
      </c>
      <c r="AF64">
        <f>COUNTIF(AF$6:AF$62,8)</f>
        <v>1</v>
      </c>
      <c r="AG64">
        <f>COUNTIF(AG$6:AG$62,8)</f>
        <v>1</v>
      </c>
      <c r="AH64">
        <f>COUNTIF(AH$6:AH$62,8)</f>
        <v>1</v>
      </c>
      <c r="AR64" t="s">
        <v>1214</v>
      </c>
      <c r="AS64">
        <f>SUM(AS6:AS62)</f>
        <v>12.133333333333333</v>
      </c>
      <c r="BB64">
        <f>SUM(AV63*'Spreadsheet Key'!A27+'JUL STWO Watchbill'!AW63*'Spreadsheet Key'!A28+'JUL STWO Watchbill'!AX63*'Spreadsheet Key'!A29+'JUL STWO Watchbill'!AY63*'Spreadsheet Key'!A30+'JUL STWO Watchbill'!AZ63*'Spreadsheet Key'!A31)</f>
        <v>1130</v>
      </c>
      <c r="BD64">
        <f>STDEV(BD6:BD62)</f>
        <v>18.452366176274921</v>
      </c>
    </row>
    <row r="65" spans="1:46">
      <c r="B65" s="916" t="s">
        <v>722</v>
      </c>
      <c r="C65" s="916"/>
      <c r="D65">
        <f>COUNTIF(D$5:D$62,"N")</f>
        <v>0</v>
      </c>
      <c r="E65">
        <f>COUNTIF(E$5:E$62,"N")</f>
        <v>0</v>
      </c>
      <c r="F65">
        <f>COUNTIF(F$5:F$62,"N")</f>
        <v>0</v>
      </c>
      <c r="G65">
        <f>COUNTIF(G$5:G$62,"N")</f>
        <v>0</v>
      </c>
      <c r="H65">
        <f>COUNTIF(H$5:H$62,"N")</f>
        <v>0</v>
      </c>
      <c r="I65">
        <f>COUNTIF(I$5:I$62,"N")</f>
        <v>0</v>
      </c>
      <c r="J65">
        <f>COUNTIF(J$5:J$62,"N")</f>
        <v>0</v>
      </c>
      <c r="K65">
        <f>COUNTIF(K$5:K$62,"N")</f>
        <v>0</v>
      </c>
      <c r="L65">
        <f>COUNTIF(L$5:L$62,"N")</f>
        <v>0</v>
      </c>
      <c r="M65">
        <f>COUNTIF(M$5:M$62,"N")</f>
        <v>0</v>
      </c>
      <c r="N65">
        <f>COUNTIF(N$5:N$62,"N")</f>
        <v>0</v>
      </c>
      <c r="O65">
        <f>COUNTIF(O$5:O$62,"N")</f>
        <v>0</v>
      </c>
      <c r="P65">
        <f>COUNTIF(P$5:P$62,"N")</f>
        <v>0</v>
      </c>
      <c r="Q65">
        <f>COUNTIF(Q$5:Q$62,"N")</f>
        <v>0</v>
      </c>
      <c r="R65">
        <f>COUNTIF(R$5:R$62,"N")</f>
        <v>0</v>
      </c>
      <c r="S65">
        <f>COUNTIF(S$5:S$62,"N")</f>
        <v>0</v>
      </c>
      <c r="T65">
        <f>COUNTIF(T$5:T$62,"N")</f>
        <v>0</v>
      </c>
      <c r="U65">
        <f>COUNTIF(U$5:U$62,"N")</f>
        <v>0</v>
      </c>
      <c r="V65">
        <f>COUNTIF(V$5:V$62,"N")</f>
        <v>0</v>
      </c>
      <c r="W65">
        <f>COUNTIF(W$5:W$62,"N")</f>
        <v>0</v>
      </c>
      <c r="X65">
        <f>COUNTIF(X$5:X$62,"N")</f>
        <v>0</v>
      </c>
      <c r="Y65">
        <f>COUNTIF(Y$5:Y$62,"N")</f>
        <v>0</v>
      </c>
      <c r="Z65">
        <f>COUNTIF(Z$5:Z$62,"N")</f>
        <v>0</v>
      </c>
      <c r="AA65">
        <f>COUNTIF(AA$5:AA$62,"N")</f>
        <v>0</v>
      </c>
      <c r="AB65">
        <f>COUNTIF(AB$5:AB$62,"N")</f>
        <v>0</v>
      </c>
      <c r="AC65">
        <f>COUNTIF(AC$5:AC$62,"N")</f>
        <v>0</v>
      </c>
      <c r="AD65">
        <f>COUNTIF(AD$5:AD$62,"N")</f>
        <v>0</v>
      </c>
      <c r="AE65">
        <f>COUNTIF(AE$5:AE$62,"N")</f>
        <v>0</v>
      </c>
      <c r="AF65">
        <f>COUNTIF(AF$5:AF$62,"N")</f>
        <v>0</v>
      </c>
      <c r="AG65">
        <f>COUNTIF(AG$5:AG$62,"N")</f>
        <v>0</v>
      </c>
      <c r="AH65">
        <f>COUNTIF(AH$5:AH$62,"N")</f>
        <v>0</v>
      </c>
    </row>
    <row r="66" spans="1:46">
      <c r="B66" s="916">
        <v>9</v>
      </c>
      <c r="C66" s="916"/>
      <c r="D66">
        <f>COUNTIF(D$6:D$62,9)</f>
        <v>1</v>
      </c>
      <c r="E66">
        <f>COUNTIF(E$6:E$62,9)</f>
        <v>1</v>
      </c>
      <c r="F66">
        <f>COUNTIF(F$6:F$62,9)</f>
        <v>1</v>
      </c>
      <c r="G66">
        <f>COUNTIF(G$6:G$62,9)</f>
        <v>1</v>
      </c>
      <c r="H66">
        <f>COUNTIF(H$6:H$62,9)</f>
        <v>1</v>
      </c>
      <c r="I66">
        <f>COUNTIF(I$6:I$62,9)</f>
        <v>1</v>
      </c>
      <c r="J66">
        <f>COUNTIF(J$6:J$62,9)</f>
        <v>1</v>
      </c>
      <c r="K66">
        <f>COUNTIF(K$6:K$62,9)</f>
        <v>1</v>
      </c>
      <c r="L66">
        <f>COUNTIF(L$6:L$62,9)</f>
        <v>1</v>
      </c>
      <c r="M66">
        <f>COUNTIF(M$6:M$62,9)</f>
        <v>1</v>
      </c>
      <c r="N66">
        <f>COUNTIF(N$6:N$62,9)</f>
        <v>1</v>
      </c>
      <c r="O66">
        <f>COUNTIF(O$6:O$62,9)</f>
        <v>1</v>
      </c>
      <c r="P66">
        <f>COUNTIF(P$6:P$62,9)</f>
        <v>1</v>
      </c>
      <c r="Q66">
        <f>COUNTIF(Q$6:Q$62,9)</f>
        <v>1</v>
      </c>
      <c r="R66">
        <f>COUNTIF(R$6:R$62,9)</f>
        <v>1</v>
      </c>
      <c r="S66">
        <f>COUNTIF(S$6:S$62,9)</f>
        <v>1</v>
      </c>
      <c r="T66">
        <f>COUNTIF(T$6:T$62,9)</f>
        <v>1</v>
      </c>
      <c r="U66">
        <f>COUNTIF(U$6:U$62,9)</f>
        <v>1</v>
      </c>
      <c r="V66">
        <f>COUNTIF(V$6:V$62,9)</f>
        <v>1</v>
      </c>
      <c r="W66">
        <f>COUNTIF(W$6:W$62,9)</f>
        <v>1</v>
      </c>
      <c r="X66">
        <f>COUNTIF(X$6:X$62,9)</f>
        <v>1</v>
      </c>
      <c r="Y66">
        <f>COUNTIF(Y$6:Y$62,9)</f>
        <v>1</v>
      </c>
      <c r="Z66">
        <f>COUNTIF(Z$6:Z$62,9)</f>
        <v>1</v>
      </c>
      <c r="AA66">
        <f>COUNTIF(AA$6:AA$62,9)</f>
        <v>1</v>
      </c>
      <c r="AB66">
        <f>COUNTIF(AB$6:AB$62,9)</f>
        <v>1</v>
      </c>
      <c r="AC66">
        <f>COUNTIF(AC$6:AC$62,9)</f>
        <v>1</v>
      </c>
      <c r="AD66">
        <f>COUNTIF(AD$6:AD$62,9)</f>
        <v>1</v>
      </c>
      <c r="AE66">
        <f>COUNTIF(AE$6:AE$62,9)</f>
        <v>1</v>
      </c>
      <c r="AF66">
        <f>COUNTIF(AF$6:AF$62,9)</f>
        <v>1</v>
      </c>
      <c r="AG66">
        <f>COUNTIF(AG$6:AG$62,9)</f>
        <v>1</v>
      </c>
      <c r="AH66">
        <f>COUNTIF(AH$6:AH$62,9)</f>
        <v>1</v>
      </c>
    </row>
    <row r="67" spans="1:46">
      <c r="A67" t="s">
        <v>1151</v>
      </c>
    </row>
    <row r="68" spans="1:46">
      <c r="A68" t="s">
        <v>1152</v>
      </c>
    </row>
    <row r="69" spans="1:46">
      <c r="A69" t="s">
        <v>1153</v>
      </c>
    </row>
    <row r="70" spans="1:46">
      <c r="A70" t="s">
        <v>1154</v>
      </c>
    </row>
    <row r="72" spans="1:46">
      <c r="AT72" cm="1">
        <f t="array" ref="AT72">SUM(AI6:AI62*AT6:AT62)</f>
        <v>12.133333333333333</v>
      </c>
    </row>
  </sheetData>
  <mergeCells count="41">
    <mergeCell ref="D59:E59"/>
    <mergeCell ref="G59:J59"/>
    <mergeCell ref="AC59:AE59"/>
    <mergeCell ref="G61:J61"/>
    <mergeCell ref="D41:F41"/>
    <mergeCell ref="M41:AD41"/>
    <mergeCell ref="I53:S53"/>
    <mergeCell ref="AC53:AH53"/>
    <mergeCell ref="F43:AD43"/>
    <mergeCell ref="F45:AD45"/>
    <mergeCell ref="L61:P61"/>
    <mergeCell ref="R61:AH61"/>
    <mergeCell ref="H41:J41"/>
    <mergeCell ref="F35:AD35"/>
    <mergeCell ref="AD23:AH23"/>
    <mergeCell ref="AF27:AH27"/>
    <mergeCell ref="AF35:AH35"/>
    <mergeCell ref="S33:AH33"/>
    <mergeCell ref="F37:AD37"/>
    <mergeCell ref="AF37:AH37"/>
    <mergeCell ref="F39:AD39"/>
    <mergeCell ref="AF39:AH39"/>
    <mergeCell ref="A4:B4"/>
    <mergeCell ref="Y17:Z17"/>
    <mergeCell ref="F5:AD5"/>
    <mergeCell ref="F7:AD7"/>
    <mergeCell ref="J9:L9"/>
    <mergeCell ref="V9:AD9"/>
    <mergeCell ref="G13:J13"/>
    <mergeCell ref="Y13:Z13"/>
    <mergeCell ref="D15:F15"/>
    <mergeCell ref="G15:I15"/>
    <mergeCell ref="R15:AH15"/>
    <mergeCell ref="I31:S31"/>
    <mergeCell ref="A1:B1"/>
    <mergeCell ref="AJ1:BH1"/>
    <mergeCell ref="A2:B2"/>
    <mergeCell ref="A3:B3"/>
    <mergeCell ref="AJ3:AT3"/>
    <mergeCell ref="AV3:BB3"/>
    <mergeCell ref="D1:AH1"/>
  </mergeCells>
  <conditionalFormatting sqref="BD1:BD3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3:BD66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3:AG66">
    <cfRule type="cellIs" dxfId="99" priority="112" operator="equal">
      <formula>0</formula>
    </cfRule>
  </conditionalFormatting>
  <conditionalFormatting sqref="D63:AG66">
    <cfRule type="cellIs" dxfId="98" priority="111" operator="equal">
      <formula>1</formula>
    </cfRule>
  </conditionalFormatting>
  <conditionalFormatting sqref="B53:C53 D39:F39 Y39:AG39 AD62 D7:J7 L7:AG7 D23:N23 P23:AG23 D29:O29 N55:AG55 D61:AC62 AE61:AG62 D17:K18 M17:AG18 Q29:V29 X29:AG29 D59:N60 P59:AG60 O60 D19:I19 K19:AG19 D55:H55 J55:L55 D5:AG6 D13:AG16 AH13:AH14 D57:AG57 D11:AH12 D8:AG9 D21:AH22 D24:AG25 D27:AG27 D28:AH28 D31:AG32 D56:AH56 D51:AG51 D50:AH50 D53:AG54 D52:AH52 D58:AH58 D34:AG38 D33:S33 D20:AG20 D26:AH26 D30:AH30 D40:AG49 L18">
    <cfRule type="cellIs" dxfId="97" priority="110" operator="equal">
      <formula>8</formula>
    </cfRule>
  </conditionalFormatting>
  <conditionalFormatting sqref="B53:C53 D39:F39 Y39:AG39 AD62 D7:J7 L7:AG7 D23:N23 P23:AG23 D29:O29 N55:AG55 D61:AC62 AE61:AG62 D17:K18 M17:AG18 Q29:V29 X29:AG29 D59:N60 P59:AG60 O60 D19:I19 K19:AG19 D55:H55 J55:L55 D5:AG6 D13:AG16 AH13:AH14 D57:AG57 D11:AH12 D8:AG9 D21:AH22 D24:AG25 D27:AG27 D28:AH28 D31:AG32 D56:AH56 D51:AG51 D50:AH50 D53:AG54 D52:AH52 D58:AH58 D34:AG38 D33:S33 D20:AG20 D26:AH26 D30:AH30 D40:AG49 L18">
    <cfRule type="cellIs" dxfId="96" priority="109" operator="equal">
      <formula>"D"</formula>
    </cfRule>
  </conditionalFormatting>
  <conditionalFormatting sqref="B53:C53 D39:F39 Y39:AG39 AD62 D7:J7 L7:AG7 D23:N23 P23:AG23 D29:O29 N55:AG55 D61:AC62 AE61:AG62 D17:K18 M17:AG18 Q29:V29 X29:AG29 D59:N60 P59:AG60 O60 D19:I19 K19:AG19 D55:H55 J55:L55 D5:AG6 D13:AG16 AH13:AH14 D57:AG57 D11:AH12 D8:AG9 D21:AH22 D24:AG25 D27:AG27 D28:AH28 D31:AG32 D56:AH56 D51:AG51 D50:AH50 D53:AG54 D52:AH52 D58:AH58 D34:AG38 D33:S33 D20:AG20 D26:AH26 D30:AH30 D40:AG49 L18">
    <cfRule type="cellIs" dxfId="95" priority="108" operator="equal">
      <formula>"N"</formula>
    </cfRule>
  </conditionalFormatting>
  <conditionalFormatting sqref="B53:C53 D39:F39 Y39:AG39 AD62 D7:J7 L7:AG7 D23:N23 P23:AG23 D29:O29 N55:AG55 D61:AC62 AE61:AG62 D17:K18 M17:AG18 Q29:V29 X29:AG29 D59:N60 P59:AG60 O60 D19:I19 K19:AG19 D55:H55 J55:L55 D5:AG6 D13:AG16 AH13:AH14 D57:AG57 D11:AH12 D8:AG9 D21:AH22 D24:AG25 D27:AG27 D28:AH28 D31:AG32 D56:AH56 D51:AG51 D50:AH50 D53:AG54 D52:AH52 D58:AH58 D34:AG38 D33:S33 D20:AG20 D26:AH26 D30:AH30 D40:AG49 L18">
    <cfRule type="cellIs" dxfId="94" priority="107" operator="equal">
      <formula>9</formula>
    </cfRule>
  </conditionalFormatting>
  <conditionalFormatting sqref="Q4:AG4">
    <cfRule type="cellIs" dxfId="93" priority="106" operator="equal">
      <formula>8</formula>
    </cfRule>
  </conditionalFormatting>
  <conditionalFormatting sqref="Q4:AG4">
    <cfRule type="cellIs" dxfId="92" priority="105" operator="equal">
      <formula>"D"</formula>
    </cfRule>
  </conditionalFormatting>
  <conditionalFormatting sqref="Q4:AG4">
    <cfRule type="cellIs" dxfId="91" priority="104" operator="equal">
      <formula>"N"</formula>
    </cfRule>
  </conditionalFormatting>
  <conditionalFormatting sqref="Q4:AG4">
    <cfRule type="cellIs" dxfId="90" priority="103" operator="equal">
      <formula>9</formula>
    </cfRule>
  </conditionalFormatting>
  <conditionalFormatting sqref="BD4:BD62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">
    <cfRule type="cellIs" dxfId="89" priority="90" operator="equal">
      <formula>8</formula>
    </cfRule>
  </conditionalFormatting>
  <conditionalFormatting sqref="O10">
    <cfRule type="cellIs" dxfId="88" priority="89" operator="equal">
      <formula>"D"</formula>
    </cfRule>
  </conditionalFormatting>
  <conditionalFormatting sqref="O10">
    <cfRule type="cellIs" dxfId="87" priority="88" operator="equal">
      <formula>"N"</formula>
    </cfRule>
  </conditionalFormatting>
  <conditionalFormatting sqref="O10">
    <cfRule type="cellIs" dxfId="86" priority="87" operator="equal">
      <formula>9</formula>
    </cfRule>
  </conditionalFormatting>
  <conditionalFormatting sqref="T10">
    <cfRule type="cellIs" dxfId="85" priority="86" operator="equal">
      <formula>8</formula>
    </cfRule>
  </conditionalFormatting>
  <conditionalFormatting sqref="T10">
    <cfRule type="cellIs" dxfId="84" priority="85" operator="equal">
      <formula>"D"</formula>
    </cfRule>
  </conditionalFormatting>
  <conditionalFormatting sqref="T10">
    <cfRule type="cellIs" dxfId="83" priority="84" operator="equal">
      <formula>"N"</formula>
    </cfRule>
  </conditionalFormatting>
  <conditionalFormatting sqref="T10">
    <cfRule type="cellIs" dxfId="82" priority="83" operator="equal">
      <formula>9</formula>
    </cfRule>
  </conditionalFormatting>
  <conditionalFormatting sqref="AH8">
    <cfRule type="cellIs" dxfId="81" priority="82" operator="equal">
      <formula>8</formula>
    </cfRule>
  </conditionalFormatting>
  <conditionalFormatting sqref="AH8">
    <cfRule type="cellIs" dxfId="80" priority="81" operator="equal">
      <formula>"D"</formula>
    </cfRule>
  </conditionalFormatting>
  <conditionalFormatting sqref="AH8">
    <cfRule type="cellIs" dxfId="79" priority="80" operator="equal">
      <formula>"N"</formula>
    </cfRule>
  </conditionalFormatting>
  <conditionalFormatting sqref="AH8">
    <cfRule type="cellIs" dxfId="78" priority="79" operator="equal">
      <formula>9</formula>
    </cfRule>
  </conditionalFormatting>
  <conditionalFormatting sqref="AH6">
    <cfRule type="cellIs" dxfId="77" priority="78" operator="equal">
      <formula>8</formula>
    </cfRule>
  </conditionalFormatting>
  <conditionalFormatting sqref="AH6">
    <cfRule type="cellIs" dxfId="76" priority="77" operator="equal">
      <formula>"D"</formula>
    </cfRule>
  </conditionalFormatting>
  <conditionalFormatting sqref="AH6">
    <cfRule type="cellIs" dxfId="75" priority="76" operator="equal">
      <formula>"N"</formula>
    </cfRule>
  </conditionalFormatting>
  <conditionalFormatting sqref="AH6">
    <cfRule type="cellIs" dxfId="74" priority="75" operator="equal">
      <formula>9</formula>
    </cfRule>
  </conditionalFormatting>
  <conditionalFormatting sqref="AH16">
    <cfRule type="cellIs" dxfId="73" priority="74" operator="equal">
      <formula>8</formula>
    </cfRule>
  </conditionalFormatting>
  <conditionalFormatting sqref="AH16">
    <cfRule type="cellIs" dxfId="72" priority="73" operator="equal">
      <formula>"D"</formula>
    </cfRule>
  </conditionalFormatting>
  <conditionalFormatting sqref="AH16">
    <cfRule type="cellIs" dxfId="71" priority="72" operator="equal">
      <formula>"N"</formula>
    </cfRule>
  </conditionalFormatting>
  <conditionalFormatting sqref="AH16">
    <cfRule type="cellIs" dxfId="70" priority="71" operator="equal">
      <formula>9</formula>
    </cfRule>
  </conditionalFormatting>
  <conditionalFormatting sqref="AH18">
    <cfRule type="cellIs" dxfId="69" priority="70" operator="equal">
      <formula>8</formula>
    </cfRule>
  </conditionalFormatting>
  <conditionalFormatting sqref="AH18">
    <cfRule type="cellIs" dxfId="68" priority="69" operator="equal">
      <formula>"D"</formula>
    </cfRule>
  </conditionalFormatting>
  <conditionalFormatting sqref="AH18">
    <cfRule type="cellIs" dxfId="67" priority="68" operator="equal">
      <formula>"N"</formula>
    </cfRule>
  </conditionalFormatting>
  <conditionalFormatting sqref="AH18">
    <cfRule type="cellIs" dxfId="66" priority="67" operator="equal">
      <formula>9</formula>
    </cfRule>
  </conditionalFormatting>
  <conditionalFormatting sqref="AH20">
    <cfRule type="cellIs" dxfId="65" priority="66" operator="equal">
      <formula>8</formula>
    </cfRule>
  </conditionalFormatting>
  <conditionalFormatting sqref="AH20">
    <cfRule type="cellIs" dxfId="64" priority="65" operator="equal">
      <formula>"D"</formula>
    </cfRule>
  </conditionalFormatting>
  <conditionalFormatting sqref="AH20">
    <cfRule type="cellIs" dxfId="63" priority="64" operator="equal">
      <formula>"N"</formula>
    </cfRule>
  </conditionalFormatting>
  <conditionalFormatting sqref="AH20">
    <cfRule type="cellIs" dxfId="62" priority="63" operator="equal">
      <formula>9</formula>
    </cfRule>
  </conditionalFormatting>
  <conditionalFormatting sqref="AH24">
    <cfRule type="cellIs" dxfId="61" priority="62" operator="equal">
      <formula>8</formula>
    </cfRule>
  </conditionalFormatting>
  <conditionalFormatting sqref="AH24">
    <cfRule type="cellIs" dxfId="60" priority="61" operator="equal">
      <formula>"D"</formula>
    </cfRule>
  </conditionalFormatting>
  <conditionalFormatting sqref="AH24">
    <cfRule type="cellIs" dxfId="59" priority="60" operator="equal">
      <formula>"N"</formula>
    </cfRule>
  </conditionalFormatting>
  <conditionalFormatting sqref="AH24">
    <cfRule type="cellIs" dxfId="58" priority="59" operator="equal">
      <formula>9</formula>
    </cfRule>
  </conditionalFormatting>
  <conditionalFormatting sqref="AH32">
    <cfRule type="cellIs" dxfId="57" priority="58" operator="equal">
      <formula>8</formula>
    </cfRule>
  </conditionalFormatting>
  <conditionalFormatting sqref="AH32">
    <cfRule type="cellIs" dxfId="56" priority="57" operator="equal">
      <formula>"D"</formula>
    </cfRule>
  </conditionalFormatting>
  <conditionalFormatting sqref="AH32">
    <cfRule type="cellIs" dxfId="55" priority="56" operator="equal">
      <formula>"N"</formula>
    </cfRule>
  </conditionalFormatting>
  <conditionalFormatting sqref="AH32">
    <cfRule type="cellIs" dxfId="54" priority="55" operator="equal">
      <formula>9</formula>
    </cfRule>
  </conditionalFormatting>
  <conditionalFormatting sqref="AH36">
    <cfRule type="cellIs" dxfId="53" priority="54" operator="equal">
      <formula>8</formula>
    </cfRule>
  </conditionalFormatting>
  <conditionalFormatting sqref="AH36">
    <cfRule type="cellIs" dxfId="52" priority="53" operator="equal">
      <formula>"D"</formula>
    </cfRule>
  </conditionalFormatting>
  <conditionalFormatting sqref="AH36">
    <cfRule type="cellIs" dxfId="51" priority="52" operator="equal">
      <formula>"N"</formula>
    </cfRule>
  </conditionalFormatting>
  <conditionalFormatting sqref="AH36">
    <cfRule type="cellIs" dxfId="50" priority="51" operator="equal">
      <formula>9</formula>
    </cfRule>
  </conditionalFormatting>
  <conditionalFormatting sqref="AH38">
    <cfRule type="cellIs" dxfId="49" priority="50" operator="equal">
      <formula>8</formula>
    </cfRule>
  </conditionalFormatting>
  <conditionalFormatting sqref="AH38">
    <cfRule type="cellIs" dxfId="48" priority="49" operator="equal">
      <formula>"D"</formula>
    </cfRule>
  </conditionalFormatting>
  <conditionalFormatting sqref="AH38">
    <cfRule type="cellIs" dxfId="47" priority="48" operator="equal">
      <formula>"N"</formula>
    </cfRule>
  </conditionalFormatting>
  <conditionalFormatting sqref="AH38">
    <cfRule type="cellIs" dxfId="46" priority="47" operator="equal">
      <formula>9</formula>
    </cfRule>
  </conditionalFormatting>
  <conditionalFormatting sqref="AH40">
    <cfRule type="cellIs" dxfId="45" priority="46" operator="equal">
      <formula>8</formula>
    </cfRule>
  </conditionalFormatting>
  <conditionalFormatting sqref="AH40">
    <cfRule type="cellIs" dxfId="44" priority="45" operator="equal">
      <formula>"D"</formula>
    </cfRule>
  </conditionalFormatting>
  <conditionalFormatting sqref="AH40">
    <cfRule type="cellIs" dxfId="43" priority="44" operator="equal">
      <formula>"N"</formula>
    </cfRule>
  </conditionalFormatting>
  <conditionalFormatting sqref="AH40">
    <cfRule type="cellIs" dxfId="42" priority="43" operator="equal">
      <formula>9</formula>
    </cfRule>
  </conditionalFormatting>
  <conditionalFormatting sqref="AH42">
    <cfRule type="cellIs" dxfId="41" priority="42" operator="equal">
      <formula>8</formula>
    </cfRule>
  </conditionalFormatting>
  <conditionalFormatting sqref="AH42">
    <cfRule type="cellIs" dxfId="40" priority="41" operator="equal">
      <formula>"D"</formula>
    </cfRule>
  </conditionalFormatting>
  <conditionalFormatting sqref="AH42">
    <cfRule type="cellIs" dxfId="39" priority="40" operator="equal">
      <formula>"N"</formula>
    </cfRule>
  </conditionalFormatting>
  <conditionalFormatting sqref="AH42">
    <cfRule type="cellIs" dxfId="38" priority="39" operator="equal">
      <formula>9</formula>
    </cfRule>
  </conditionalFormatting>
  <conditionalFormatting sqref="AH44">
    <cfRule type="cellIs" dxfId="37" priority="38" operator="equal">
      <formula>8</formula>
    </cfRule>
  </conditionalFormatting>
  <conditionalFormatting sqref="AH44">
    <cfRule type="cellIs" dxfId="36" priority="37" operator="equal">
      <formula>"D"</formula>
    </cfRule>
  </conditionalFormatting>
  <conditionalFormatting sqref="AH44">
    <cfRule type="cellIs" dxfId="35" priority="36" operator="equal">
      <formula>"N"</formula>
    </cfRule>
  </conditionalFormatting>
  <conditionalFormatting sqref="AH44">
    <cfRule type="cellIs" dxfId="34" priority="35" operator="equal">
      <formula>9</formula>
    </cfRule>
  </conditionalFormatting>
  <conditionalFormatting sqref="AH46">
    <cfRule type="cellIs" dxfId="33" priority="34" operator="equal">
      <formula>8</formula>
    </cfRule>
  </conditionalFormatting>
  <conditionalFormatting sqref="AH46">
    <cfRule type="cellIs" dxfId="32" priority="33" operator="equal">
      <formula>"D"</formula>
    </cfRule>
  </conditionalFormatting>
  <conditionalFormatting sqref="AH46">
    <cfRule type="cellIs" dxfId="31" priority="32" operator="equal">
      <formula>"N"</formula>
    </cfRule>
  </conditionalFormatting>
  <conditionalFormatting sqref="AH46">
    <cfRule type="cellIs" dxfId="30" priority="31" operator="equal">
      <formula>9</formula>
    </cfRule>
  </conditionalFormatting>
  <conditionalFormatting sqref="AH48">
    <cfRule type="cellIs" dxfId="29" priority="30" operator="equal">
      <formula>8</formula>
    </cfRule>
  </conditionalFormatting>
  <conditionalFormatting sqref="AH48">
    <cfRule type="cellIs" dxfId="28" priority="29" operator="equal">
      <formula>"D"</formula>
    </cfRule>
  </conditionalFormatting>
  <conditionalFormatting sqref="AH48">
    <cfRule type="cellIs" dxfId="27" priority="28" operator="equal">
      <formula>"N"</formula>
    </cfRule>
  </conditionalFormatting>
  <conditionalFormatting sqref="AH48">
    <cfRule type="cellIs" dxfId="26" priority="27" operator="equal">
      <formula>9</formula>
    </cfRule>
  </conditionalFormatting>
  <conditionalFormatting sqref="AH54">
    <cfRule type="cellIs" dxfId="25" priority="26" operator="equal">
      <formula>8</formula>
    </cfRule>
  </conditionalFormatting>
  <conditionalFormatting sqref="AH54">
    <cfRule type="cellIs" dxfId="24" priority="25" operator="equal">
      <formula>"D"</formula>
    </cfRule>
  </conditionalFormatting>
  <conditionalFormatting sqref="AH54">
    <cfRule type="cellIs" dxfId="23" priority="24" operator="equal">
      <formula>"N"</formula>
    </cfRule>
  </conditionalFormatting>
  <conditionalFormatting sqref="AH54">
    <cfRule type="cellIs" dxfId="22" priority="23" operator="equal">
      <formula>9</formula>
    </cfRule>
  </conditionalFormatting>
  <conditionalFormatting sqref="AH60">
    <cfRule type="cellIs" dxfId="21" priority="22" operator="equal">
      <formula>8</formula>
    </cfRule>
  </conditionalFormatting>
  <conditionalFormatting sqref="AH60">
    <cfRule type="cellIs" dxfId="20" priority="21" operator="equal">
      <formula>"D"</formula>
    </cfRule>
  </conditionalFormatting>
  <conditionalFormatting sqref="AH60">
    <cfRule type="cellIs" dxfId="19" priority="20" operator="equal">
      <formula>"N"</formula>
    </cfRule>
  </conditionalFormatting>
  <conditionalFormatting sqref="AH60">
    <cfRule type="cellIs" dxfId="18" priority="19" operator="equal">
      <formula>9</formula>
    </cfRule>
  </conditionalFormatting>
  <conditionalFormatting sqref="AH62">
    <cfRule type="cellIs" dxfId="17" priority="18" operator="equal">
      <formula>8</formula>
    </cfRule>
  </conditionalFormatting>
  <conditionalFormatting sqref="AH62">
    <cfRule type="cellIs" dxfId="16" priority="17" operator="equal">
      <formula>"D"</formula>
    </cfRule>
  </conditionalFormatting>
  <conditionalFormatting sqref="AH62">
    <cfRule type="cellIs" dxfId="15" priority="16" operator="equal">
      <formula>"N"</formula>
    </cfRule>
  </conditionalFormatting>
  <conditionalFormatting sqref="AH62">
    <cfRule type="cellIs" dxfId="14" priority="15" operator="equal">
      <formula>9</formula>
    </cfRule>
  </conditionalFormatting>
  <conditionalFormatting sqref="F10">
    <cfRule type="cellIs" dxfId="13" priority="14" operator="equal">
      <formula>8</formula>
    </cfRule>
  </conditionalFormatting>
  <conditionalFormatting sqref="F10">
    <cfRule type="cellIs" dxfId="12" priority="13" operator="equal">
      <formula>"D"</formula>
    </cfRule>
  </conditionalFormatting>
  <conditionalFormatting sqref="F10">
    <cfRule type="cellIs" dxfId="11" priority="12" operator="equal">
      <formula>"N"</formula>
    </cfRule>
  </conditionalFormatting>
  <conditionalFormatting sqref="F10">
    <cfRule type="cellIs" dxfId="10" priority="11" operator="equal">
      <formula>9</formula>
    </cfRule>
  </conditionalFormatting>
  <conditionalFormatting sqref="S10">
    <cfRule type="cellIs" dxfId="9" priority="10" operator="equal">
      <formula>8</formula>
    </cfRule>
  </conditionalFormatting>
  <conditionalFormatting sqref="S10">
    <cfRule type="cellIs" dxfId="8" priority="9" operator="equal">
      <formula>"D"</formula>
    </cfRule>
  </conditionalFormatting>
  <conditionalFormatting sqref="S10">
    <cfRule type="cellIs" dxfId="7" priority="8" operator="equal">
      <formula>"N"</formula>
    </cfRule>
  </conditionalFormatting>
  <conditionalFormatting sqref="S10">
    <cfRule type="cellIs" dxfId="6" priority="7" operator="equal">
      <formula>9</formula>
    </cfRule>
  </conditionalFormatting>
  <conditionalFormatting sqref="AH63:AH66">
    <cfRule type="cellIs" dxfId="5" priority="6" operator="equal">
      <formula>0</formula>
    </cfRule>
  </conditionalFormatting>
  <conditionalFormatting sqref="AH63:AH66">
    <cfRule type="cellIs" dxfId="4" priority="5" operator="equal">
      <formula>1</formula>
    </cfRule>
  </conditionalFormatting>
  <conditionalFormatting sqref="AF10">
    <cfRule type="cellIs" dxfId="3" priority="4" operator="equal">
      <formula>8</formula>
    </cfRule>
  </conditionalFormatting>
  <conditionalFormatting sqref="AF10">
    <cfRule type="cellIs" dxfId="2" priority="3" operator="equal">
      <formula>"D"</formula>
    </cfRule>
  </conditionalFormatting>
  <conditionalFormatting sqref="AF10">
    <cfRule type="cellIs" dxfId="1" priority="2" operator="equal">
      <formula>"N"</formula>
    </cfRule>
  </conditionalFormatting>
  <conditionalFormatting sqref="AF10">
    <cfRule type="cellIs" dxfId="0" priority="1" operator="equal">
      <formula>9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E6551-CB6C-4516-B977-1943D322D909}">
  <sheetPr>
    <pageSetUpPr fitToPage="1"/>
  </sheetPr>
  <dimension ref="A1:AW87"/>
  <sheetViews>
    <sheetView zoomScale="70" zoomScaleNormal="70" workbookViewId="0">
      <pane xSplit="3" ySplit="3" topLeftCell="D22" activePane="bottomRight" state="frozen"/>
      <selection pane="bottomRight" activeCell="X36" sqref="X36:AA36"/>
      <selection pane="bottomLeft"/>
      <selection pane="topRight"/>
    </sheetView>
  </sheetViews>
  <sheetFormatPr defaultRowHeight="15"/>
  <cols>
    <col min="3" max="3" width="20.5703125" customWidth="1"/>
  </cols>
  <sheetData>
    <row r="1" spans="1:34">
      <c r="A1" s="6648" t="s">
        <v>29</v>
      </c>
      <c r="B1" s="6649"/>
      <c r="C1" s="6649"/>
      <c r="D1" s="6650" t="s">
        <v>1435</v>
      </c>
      <c r="E1" s="6650"/>
      <c r="F1" s="6650"/>
      <c r="G1" s="6650"/>
      <c r="H1" s="6650"/>
      <c r="I1" s="6650"/>
      <c r="J1" s="6650"/>
      <c r="K1" s="6650"/>
      <c r="L1" s="6650"/>
      <c r="M1" s="6650"/>
      <c r="N1" s="6650"/>
      <c r="O1" s="6650"/>
      <c r="P1" s="6650"/>
      <c r="Q1" s="6650"/>
      <c r="R1" s="6650"/>
      <c r="S1" s="6650"/>
      <c r="T1" s="6650"/>
      <c r="U1" s="6650"/>
      <c r="V1" s="6650"/>
      <c r="W1" s="6650"/>
      <c r="X1" s="6650"/>
      <c r="Y1" s="6650"/>
      <c r="Z1" s="6650"/>
      <c r="AA1" s="6650"/>
      <c r="AB1" s="6650"/>
      <c r="AC1" s="6650"/>
      <c r="AD1" s="6650"/>
      <c r="AE1" s="6650"/>
      <c r="AF1" s="6650"/>
      <c r="AG1" s="6650"/>
      <c r="AH1" s="6651"/>
    </row>
    <row r="2" spans="1:34">
      <c r="A2" s="6652" t="s">
        <v>31</v>
      </c>
      <c r="B2" s="6653"/>
      <c r="C2" s="6653"/>
      <c r="D2" s="3728">
        <v>1</v>
      </c>
      <c r="E2" s="3728">
        <v>2</v>
      </c>
      <c r="F2" s="3728">
        <v>3</v>
      </c>
      <c r="G2" s="3728">
        <v>4</v>
      </c>
      <c r="H2" s="3728">
        <v>5</v>
      </c>
      <c r="I2" s="3728">
        <v>6</v>
      </c>
      <c r="J2" s="3728">
        <v>7</v>
      </c>
      <c r="K2" s="3728">
        <v>8</v>
      </c>
      <c r="L2" s="3728">
        <v>9</v>
      </c>
      <c r="M2" s="3728">
        <v>10</v>
      </c>
      <c r="N2" s="3728">
        <v>11</v>
      </c>
      <c r="O2" s="3728">
        <v>12</v>
      </c>
      <c r="P2" s="3728">
        <v>13</v>
      </c>
      <c r="Q2" s="3728">
        <v>14</v>
      </c>
      <c r="R2" s="3728">
        <v>15</v>
      </c>
      <c r="S2" s="3728">
        <v>16</v>
      </c>
      <c r="T2" s="3728">
        <v>17</v>
      </c>
      <c r="U2" s="3728">
        <v>18</v>
      </c>
      <c r="V2" s="3728">
        <v>19</v>
      </c>
      <c r="W2" s="3728">
        <v>20</v>
      </c>
      <c r="X2" s="3728">
        <v>21</v>
      </c>
      <c r="Y2" s="3728">
        <v>22</v>
      </c>
      <c r="Z2" s="3728">
        <v>23</v>
      </c>
      <c r="AA2" s="3728">
        <v>24</v>
      </c>
      <c r="AB2" s="3728">
        <v>25</v>
      </c>
      <c r="AC2" s="3728">
        <v>26</v>
      </c>
      <c r="AD2" s="3728">
        <v>27</v>
      </c>
      <c r="AE2" s="3728">
        <v>28</v>
      </c>
      <c r="AF2" s="3728">
        <v>29</v>
      </c>
      <c r="AG2" s="3728">
        <v>30</v>
      </c>
      <c r="AH2" s="3729">
        <v>31</v>
      </c>
    </row>
    <row r="3" spans="1:34">
      <c r="A3" s="6652" t="s">
        <v>32</v>
      </c>
      <c r="B3" s="6653"/>
      <c r="C3" s="6653"/>
      <c r="D3" s="3730" t="s">
        <v>33</v>
      </c>
      <c r="E3" s="3730" t="s">
        <v>34</v>
      </c>
      <c r="F3" s="3730" t="s">
        <v>33</v>
      </c>
      <c r="G3" s="3731" t="s">
        <v>35</v>
      </c>
      <c r="H3" s="3731" t="s">
        <v>36</v>
      </c>
      <c r="I3" s="3731" t="s">
        <v>36</v>
      </c>
      <c r="J3" s="3732" t="s">
        <v>37</v>
      </c>
      <c r="K3" s="3730" t="s">
        <v>33</v>
      </c>
      <c r="L3" s="3730" t="s">
        <v>34</v>
      </c>
      <c r="M3" s="3728" t="s">
        <v>33</v>
      </c>
      <c r="N3" s="3728" t="s">
        <v>35</v>
      </c>
      <c r="O3" s="3731" t="s">
        <v>36</v>
      </c>
      <c r="P3" s="3731" t="s">
        <v>36</v>
      </c>
      <c r="Q3" s="3728" t="s">
        <v>37</v>
      </c>
      <c r="R3" s="3730" t="s">
        <v>33</v>
      </c>
      <c r="S3" s="3730" t="s">
        <v>34</v>
      </c>
      <c r="T3" s="3728" t="s">
        <v>33</v>
      </c>
      <c r="U3" s="3728" t="s">
        <v>35</v>
      </c>
      <c r="V3" s="3731" t="s">
        <v>36</v>
      </c>
      <c r="W3" s="3731" t="s">
        <v>36</v>
      </c>
      <c r="X3" s="3728" t="s">
        <v>37</v>
      </c>
      <c r="Y3" s="3730" t="s">
        <v>33</v>
      </c>
      <c r="Z3" s="3730" t="s">
        <v>34</v>
      </c>
      <c r="AA3" s="3728" t="s">
        <v>33</v>
      </c>
      <c r="AB3" s="3728" t="s">
        <v>35</v>
      </c>
      <c r="AC3" s="3731" t="s">
        <v>36</v>
      </c>
      <c r="AD3" s="3731" t="s">
        <v>36</v>
      </c>
      <c r="AE3" s="3728" t="s">
        <v>37</v>
      </c>
      <c r="AF3" s="3730" t="s">
        <v>33</v>
      </c>
      <c r="AG3" s="3730" t="s">
        <v>34</v>
      </c>
      <c r="AH3" s="3733" t="s">
        <v>33</v>
      </c>
    </row>
    <row r="4" spans="1:34" ht="15.75">
      <c r="A4" s="6654" t="s">
        <v>38</v>
      </c>
      <c r="B4" s="6655"/>
      <c r="C4" s="6655"/>
      <c r="D4" s="3734"/>
      <c r="E4" s="3734"/>
      <c r="F4" s="3734"/>
      <c r="G4" s="6656" t="s">
        <v>1436</v>
      </c>
      <c r="H4" s="6657"/>
      <c r="I4" s="6657"/>
      <c r="J4" s="6658"/>
      <c r="K4" s="3734"/>
      <c r="L4" s="3734"/>
      <c r="M4" s="3735"/>
      <c r="N4" s="3735"/>
      <c r="O4" s="3735"/>
      <c r="P4" s="3735"/>
      <c r="Q4" s="3736"/>
      <c r="R4" s="3736"/>
      <c r="S4" s="3736"/>
      <c r="T4" s="3736"/>
      <c r="U4" s="3735"/>
      <c r="V4" s="3735"/>
      <c r="W4" s="3735"/>
      <c r="X4" s="3735"/>
      <c r="Y4" s="3735"/>
      <c r="Z4" s="3737"/>
      <c r="AA4" s="3737"/>
      <c r="AB4" s="3737"/>
      <c r="AC4" s="3737"/>
      <c r="AD4" s="3735"/>
      <c r="AE4" s="3735"/>
      <c r="AF4" s="3734"/>
      <c r="AG4" s="3734"/>
      <c r="AH4" s="3738"/>
    </row>
    <row r="5" spans="1:34">
      <c r="A5" s="6639" t="s">
        <v>1171</v>
      </c>
      <c r="B5" s="6639"/>
      <c r="C5" s="6640"/>
      <c r="D5" s="3739"/>
      <c r="E5" s="3739"/>
      <c r="F5" s="3739"/>
      <c r="G5" s="3739"/>
      <c r="H5" s="3740"/>
      <c r="I5" s="3740"/>
      <c r="J5" s="3739"/>
      <c r="K5" s="3739"/>
      <c r="L5" s="3739"/>
      <c r="M5" s="3739"/>
      <c r="N5" s="3739"/>
      <c r="O5" s="3739"/>
      <c r="P5" s="3739"/>
      <c r="Q5" s="3739"/>
      <c r="R5" s="3739"/>
      <c r="S5" s="3739"/>
      <c r="T5" s="3739"/>
      <c r="U5" s="3739"/>
      <c r="V5" s="3739"/>
      <c r="W5" s="3739"/>
      <c r="X5" s="3741"/>
      <c r="Y5" s="3741"/>
      <c r="Z5" s="3741"/>
      <c r="AA5" s="3741"/>
      <c r="AB5" s="3741"/>
      <c r="AC5" s="3741"/>
      <c r="AD5" s="3741"/>
      <c r="AE5" s="3741"/>
      <c r="AF5" s="3742"/>
      <c r="AG5" s="3742"/>
      <c r="AH5" s="3743"/>
    </row>
    <row r="6" spans="1:34">
      <c r="A6" s="6641" t="s">
        <v>1174</v>
      </c>
      <c r="B6" s="6642"/>
      <c r="C6" s="6642"/>
      <c r="D6" s="3734"/>
      <c r="E6" s="3734"/>
      <c r="F6" s="3734"/>
      <c r="G6" s="3734"/>
      <c r="H6" s="3734"/>
      <c r="I6" s="3734"/>
      <c r="J6" s="3734"/>
      <c r="K6" s="3734"/>
      <c r="L6" s="3734"/>
      <c r="M6" s="3735"/>
      <c r="N6" s="3735"/>
      <c r="O6" s="3735"/>
      <c r="P6" s="3735"/>
      <c r="Q6" s="3735"/>
      <c r="R6" s="3735"/>
      <c r="S6" s="3735"/>
      <c r="T6" s="3735"/>
      <c r="U6" s="3735"/>
      <c r="V6" s="3735"/>
      <c r="W6" s="3735"/>
      <c r="X6" s="3735"/>
      <c r="Y6" s="3735"/>
      <c r="Z6" s="3735"/>
      <c r="AA6" s="3735"/>
      <c r="AB6" s="3735"/>
      <c r="AC6" s="3735"/>
      <c r="AD6" s="3735"/>
      <c r="AE6" s="3735"/>
      <c r="AF6" s="3734"/>
      <c r="AG6" s="3734"/>
      <c r="AH6" s="3738"/>
    </row>
    <row r="7" spans="1:34">
      <c r="A7" s="6643" t="s">
        <v>1176</v>
      </c>
      <c r="B7" s="6644"/>
      <c r="C7" s="6644"/>
      <c r="D7" s="3734"/>
      <c r="E7" s="3734"/>
      <c r="F7" s="3735"/>
      <c r="G7" s="3735"/>
      <c r="H7" s="3734"/>
      <c r="I7" s="3734"/>
      <c r="J7" s="3734"/>
      <c r="K7" s="3734"/>
      <c r="L7" s="3734"/>
      <c r="M7" s="3734"/>
      <c r="N7" s="3744"/>
      <c r="O7" s="3744"/>
      <c r="P7" s="3735"/>
      <c r="Q7" s="3735"/>
      <c r="R7" s="3734"/>
      <c r="S7" s="3734"/>
      <c r="T7" s="3734"/>
      <c r="U7" s="3734"/>
      <c r="V7" s="3734"/>
      <c r="W7" s="3734"/>
      <c r="X7" s="3734"/>
      <c r="Y7" s="3734"/>
      <c r="Z7" s="3734"/>
      <c r="AA7" s="3734"/>
      <c r="AB7" s="3734"/>
      <c r="AC7" s="3744"/>
      <c r="AD7" s="3744"/>
      <c r="AE7" s="3734"/>
      <c r="AF7" s="3734"/>
      <c r="AG7" s="3734"/>
      <c r="AH7" s="3738"/>
    </row>
    <row r="8" spans="1:34">
      <c r="A8" s="6645" t="s">
        <v>1437</v>
      </c>
      <c r="B8" s="6646"/>
      <c r="C8" s="6646"/>
      <c r="D8" s="3734"/>
      <c r="E8" s="3734"/>
      <c r="F8" s="3734"/>
      <c r="G8" s="3734"/>
      <c r="H8" s="3734"/>
      <c r="I8" s="3734"/>
      <c r="J8" s="3734"/>
      <c r="K8" s="3734"/>
      <c r="L8" s="3734"/>
      <c r="M8" s="3735"/>
      <c r="N8" s="3735"/>
      <c r="O8" s="3735"/>
      <c r="P8" s="3735"/>
      <c r="Q8" s="3735"/>
      <c r="R8" s="3735"/>
      <c r="S8" s="3735"/>
      <c r="T8" s="3735"/>
      <c r="U8" s="3735"/>
      <c r="V8" s="3735"/>
      <c r="W8" s="3735"/>
      <c r="X8" s="3735"/>
      <c r="Y8" s="3735"/>
      <c r="Z8" s="3735"/>
      <c r="AA8" s="3735"/>
      <c r="AB8" s="3735"/>
      <c r="AC8" s="3735"/>
      <c r="AD8" s="3735"/>
      <c r="AE8" s="3735"/>
      <c r="AF8" s="3734"/>
      <c r="AG8" s="3734"/>
      <c r="AH8" s="3738"/>
    </row>
    <row r="9" spans="1:34">
      <c r="A9" s="6647" t="s">
        <v>1438</v>
      </c>
      <c r="B9" s="6583"/>
      <c r="C9" s="6583"/>
      <c r="D9" s="3734"/>
      <c r="E9" s="6583" t="s">
        <v>1439</v>
      </c>
      <c r="F9" s="6583"/>
      <c r="G9" s="6583"/>
      <c r="H9" s="3734"/>
      <c r="I9" s="3734"/>
      <c r="J9" s="3734"/>
      <c r="K9" s="3734"/>
      <c r="L9" s="3734"/>
      <c r="M9" s="3735"/>
      <c r="N9" s="3735"/>
      <c r="O9" s="3735"/>
      <c r="P9" s="3735"/>
      <c r="Q9" s="3735"/>
      <c r="R9" s="3735"/>
      <c r="S9" s="3735"/>
      <c r="T9" s="3735"/>
      <c r="U9" s="3735"/>
      <c r="V9" s="3735"/>
      <c r="W9" s="3735"/>
      <c r="X9" s="3735"/>
      <c r="Y9" s="6626" t="s">
        <v>1422</v>
      </c>
      <c r="Z9" s="6627"/>
      <c r="AA9" s="3744"/>
      <c r="AB9" s="3745"/>
      <c r="AC9" s="3746"/>
      <c r="AD9" s="3746"/>
      <c r="AE9" s="3735"/>
      <c r="AF9" s="3734"/>
      <c r="AG9" s="3734"/>
      <c r="AH9" s="3738"/>
    </row>
    <row r="10" spans="1:34">
      <c r="A10" s="6628" t="s">
        <v>225</v>
      </c>
      <c r="B10" s="6520"/>
      <c r="C10" s="6520"/>
      <c r="D10" s="3744"/>
      <c r="E10" s="3744"/>
      <c r="F10" s="3744"/>
      <c r="G10" s="3734"/>
      <c r="H10" s="3734"/>
      <c r="I10" s="3734"/>
      <c r="J10" s="6629" t="s">
        <v>1427</v>
      </c>
      <c r="K10" s="6630"/>
      <c r="L10" s="6630"/>
      <c r="M10" s="6630"/>
      <c r="N10" s="6630"/>
      <c r="O10" s="6630"/>
      <c r="P10" s="6630"/>
      <c r="Q10" s="6630"/>
      <c r="R10" s="6630"/>
      <c r="S10" s="6631"/>
      <c r="T10" s="3735"/>
      <c r="U10" s="3734"/>
      <c r="V10" s="3734"/>
      <c r="W10" s="3744"/>
      <c r="X10" s="3744"/>
      <c r="Y10" s="3744"/>
      <c r="Z10" s="3734"/>
      <c r="AA10" s="3734"/>
      <c r="AB10" s="3734"/>
      <c r="AC10" s="3744"/>
      <c r="AD10" s="3744"/>
      <c r="AE10" s="3734"/>
      <c r="AF10" s="3734"/>
      <c r="AG10" s="3734"/>
      <c r="AH10" s="3738"/>
    </row>
    <row r="11" spans="1:34">
      <c r="A11" s="6632" t="s">
        <v>272</v>
      </c>
      <c r="B11" s="6633"/>
      <c r="C11" s="6633"/>
      <c r="D11" s="3734"/>
      <c r="E11" s="3734"/>
      <c r="F11" s="3734"/>
      <c r="G11" s="3734"/>
      <c r="H11" s="3734"/>
      <c r="I11" s="3734"/>
      <c r="J11" s="3734"/>
      <c r="K11" s="3734"/>
      <c r="L11" s="3734"/>
      <c r="M11" s="3735"/>
      <c r="N11" s="3735"/>
      <c r="O11" s="3735"/>
      <c r="P11" s="3735"/>
      <c r="Q11" s="3735"/>
      <c r="R11" s="3735"/>
      <c r="S11" s="3735"/>
      <c r="T11" s="3735"/>
      <c r="U11" s="3735"/>
      <c r="V11" s="3735"/>
      <c r="W11" s="3735"/>
      <c r="X11" s="3735"/>
      <c r="Y11" s="3735"/>
      <c r="Z11" s="3735"/>
      <c r="AA11" s="3735"/>
      <c r="AB11" s="3735"/>
      <c r="AC11" s="3735"/>
      <c r="AD11" s="3735"/>
      <c r="AE11" s="3735"/>
      <c r="AF11" s="3734"/>
      <c r="AG11" s="3734"/>
      <c r="AH11" s="3738"/>
    </row>
    <row r="12" spans="1:34" ht="15.75">
      <c r="A12" s="6634" t="s">
        <v>60</v>
      </c>
      <c r="B12" s="6635"/>
      <c r="C12" s="6635"/>
      <c r="D12" s="3734"/>
      <c r="E12" s="3734"/>
      <c r="F12" s="3734"/>
      <c r="G12" s="3734"/>
      <c r="H12" s="3734"/>
      <c r="I12" s="3734"/>
      <c r="J12" s="3734"/>
      <c r="K12" s="3734"/>
      <c r="L12" s="3734"/>
      <c r="M12" s="3735"/>
      <c r="N12" s="3735"/>
      <c r="O12" s="3735"/>
      <c r="P12" s="3735"/>
      <c r="Q12" s="3735"/>
      <c r="R12" s="3735"/>
      <c r="S12" s="3735"/>
      <c r="T12" s="3735"/>
      <c r="U12" s="3735"/>
      <c r="V12" s="3735"/>
      <c r="W12" s="3747"/>
      <c r="X12" s="3747"/>
      <c r="Y12" s="3747"/>
      <c r="Z12" s="3748"/>
      <c r="AA12" s="3747"/>
      <c r="AB12" s="3749"/>
      <c r="AC12" s="3735"/>
      <c r="AD12" s="3735"/>
      <c r="AE12" s="3735"/>
      <c r="AF12" s="3734"/>
      <c r="AG12" s="3734"/>
      <c r="AH12" s="3738"/>
    </row>
    <row r="13" spans="1:34" ht="15.75">
      <c r="A13" s="6636" t="s">
        <v>593</v>
      </c>
      <c r="B13" s="6637"/>
      <c r="C13" s="6638"/>
      <c r="D13" s="3734"/>
      <c r="E13" s="3734"/>
      <c r="F13" s="3734"/>
      <c r="G13" s="3734"/>
      <c r="H13" s="3734"/>
      <c r="I13" s="3734"/>
      <c r="J13" s="3734"/>
      <c r="K13" s="3734"/>
      <c r="L13" s="3734"/>
      <c r="M13" s="3735"/>
      <c r="N13" s="3735"/>
      <c r="O13" s="3735"/>
      <c r="P13" s="3735"/>
      <c r="Q13" s="3735"/>
      <c r="R13" s="3735"/>
      <c r="S13" s="3735"/>
      <c r="T13" s="3735"/>
      <c r="U13" s="3735"/>
      <c r="V13" s="3748"/>
      <c r="W13" s="3735"/>
      <c r="X13" s="3735"/>
      <c r="Y13" s="3735"/>
      <c r="Z13" s="3750"/>
      <c r="AA13" s="3751" t="s">
        <v>1432</v>
      </c>
      <c r="AB13" s="3749"/>
      <c r="AC13" s="3735"/>
      <c r="AD13" s="3735"/>
      <c r="AE13" s="3735"/>
      <c r="AF13" s="3734"/>
      <c r="AG13" s="3734"/>
      <c r="AH13" s="3738"/>
    </row>
    <row r="14" spans="1:34">
      <c r="A14" s="6613" t="s">
        <v>63</v>
      </c>
      <c r="B14" s="6614"/>
      <c r="C14" s="6615"/>
      <c r="D14" s="3734"/>
      <c r="E14" s="3734"/>
      <c r="F14" s="3735"/>
      <c r="G14" s="3735"/>
      <c r="H14" s="3734"/>
      <c r="I14" s="3752"/>
      <c r="J14" s="3752"/>
      <c r="K14" s="3735"/>
      <c r="L14" s="3734"/>
      <c r="M14" s="3734"/>
      <c r="N14" s="3744"/>
      <c r="O14" s="3744"/>
      <c r="P14" s="3735"/>
      <c r="Q14" s="3735"/>
      <c r="R14" s="3735"/>
      <c r="S14" s="3735"/>
      <c r="T14" s="3734"/>
      <c r="U14" s="3734"/>
      <c r="V14" s="3753"/>
      <c r="W14" s="3734"/>
      <c r="X14" s="3754" t="s">
        <v>1431</v>
      </c>
      <c r="Y14" s="3734"/>
      <c r="Z14" s="3755"/>
      <c r="AA14" s="3756"/>
      <c r="AB14" s="3734"/>
      <c r="AC14" s="3744"/>
      <c r="AD14" s="3744"/>
      <c r="AE14" s="3734"/>
      <c r="AF14" s="3734"/>
      <c r="AG14" s="3734"/>
      <c r="AH14" s="3738"/>
    </row>
    <row r="15" spans="1:34">
      <c r="A15" s="6616" t="s">
        <v>54</v>
      </c>
      <c r="B15" s="6617"/>
      <c r="C15" s="6617"/>
      <c r="D15" s="3734"/>
      <c r="E15" s="3734"/>
      <c r="F15" s="3735"/>
      <c r="G15" s="3735"/>
      <c r="H15" s="3734"/>
      <c r="I15" s="3734"/>
      <c r="J15" s="3734"/>
      <c r="K15" s="3734"/>
      <c r="L15" s="3734"/>
      <c r="M15" s="3734"/>
      <c r="N15" s="3744"/>
      <c r="O15" s="3744"/>
      <c r="P15" s="3735"/>
      <c r="Q15" s="3735"/>
      <c r="R15" s="3734"/>
      <c r="S15" s="3734"/>
      <c r="T15" s="3734"/>
      <c r="U15" s="3734"/>
      <c r="V15" s="3753"/>
      <c r="W15" s="3734"/>
      <c r="X15" s="3734"/>
      <c r="Y15" s="3734"/>
      <c r="Z15" s="3755"/>
      <c r="AA15" s="3734"/>
      <c r="AB15" s="3734"/>
      <c r="AC15" s="3744"/>
      <c r="AD15" s="3744"/>
      <c r="AE15" s="3734"/>
      <c r="AF15" s="3734"/>
      <c r="AG15" s="3734"/>
      <c r="AH15" s="3738"/>
    </row>
    <row r="16" spans="1:34">
      <c r="A16" s="6618" t="s">
        <v>365</v>
      </c>
      <c r="B16" s="6619"/>
      <c r="C16" s="6619"/>
      <c r="D16" s="3734"/>
      <c r="E16" s="3734"/>
      <c r="F16" s="3735"/>
      <c r="G16" s="3735"/>
      <c r="H16" s="3734"/>
      <c r="I16" s="3734"/>
      <c r="J16" s="3734"/>
      <c r="K16" s="3734"/>
      <c r="L16" s="3734"/>
      <c r="M16" s="3734"/>
      <c r="N16" s="3744"/>
      <c r="O16" s="3744"/>
      <c r="P16" s="3735"/>
      <c r="Q16" s="3735"/>
      <c r="R16" s="3734"/>
      <c r="S16" s="3734"/>
      <c r="T16" s="3734"/>
      <c r="U16" s="3735"/>
      <c r="V16" s="3734"/>
      <c r="W16" s="3756"/>
      <c r="X16" s="3756"/>
      <c r="Y16" s="3756"/>
      <c r="Z16" s="3757"/>
      <c r="AA16" s="3734"/>
      <c r="AB16" s="3734"/>
      <c r="AC16" s="3744"/>
      <c r="AD16" s="3744"/>
      <c r="AE16" s="3758"/>
      <c r="AF16" s="3758"/>
      <c r="AG16" s="3758"/>
      <c r="AH16" s="3759"/>
    </row>
    <row r="17" spans="1:34">
      <c r="A17" s="6620" t="s">
        <v>520</v>
      </c>
      <c r="B17" s="6621"/>
      <c r="C17" s="6621"/>
      <c r="D17" s="3734"/>
      <c r="E17" s="3734"/>
      <c r="F17" s="3734"/>
      <c r="G17" s="3734"/>
      <c r="H17" s="3734"/>
      <c r="I17" s="3734"/>
      <c r="J17" s="3734"/>
      <c r="K17" s="3734"/>
      <c r="L17" s="3734"/>
      <c r="M17" s="3735"/>
      <c r="N17" s="3735"/>
      <c r="O17" s="3735"/>
      <c r="P17" s="3735"/>
      <c r="Q17" s="3735"/>
      <c r="R17" s="3735"/>
      <c r="S17" s="3735"/>
      <c r="T17" s="3735"/>
      <c r="U17" s="3735"/>
      <c r="V17" s="3735"/>
      <c r="W17" s="3735"/>
      <c r="X17" s="3735"/>
      <c r="Y17" s="3735"/>
      <c r="Z17" s="3735"/>
      <c r="AA17" s="3735"/>
      <c r="AB17" s="3735"/>
      <c r="AC17" s="3735"/>
      <c r="AD17" s="3735"/>
      <c r="AE17" s="3735"/>
      <c r="AF17" s="3734"/>
      <c r="AG17" s="3734"/>
      <c r="AH17" s="3738"/>
    </row>
    <row r="18" spans="1:34">
      <c r="A18" s="6622" t="s">
        <v>64</v>
      </c>
      <c r="B18" s="6623"/>
      <c r="C18" s="6623"/>
      <c r="D18" s="3734"/>
      <c r="E18" s="3734"/>
      <c r="F18" s="3735"/>
      <c r="G18" s="3735"/>
      <c r="H18" s="3734"/>
      <c r="I18" s="3735"/>
      <c r="J18" s="3735"/>
      <c r="K18" s="3734"/>
      <c r="L18" s="3734"/>
      <c r="M18" s="3734"/>
      <c r="N18" s="3744"/>
      <c r="O18" s="3744"/>
      <c r="P18" s="3735"/>
      <c r="Q18" s="3735"/>
      <c r="R18" s="3735"/>
      <c r="S18" s="3734"/>
      <c r="T18" s="3734"/>
      <c r="U18" s="3734"/>
      <c r="V18" s="3734"/>
      <c r="W18" s="3734"/>
      <c r="X18" s="3734"/>
      <c r="Y18" s="3734"/>
      <c r="Z18" s="3734"/>
      <c r="AA18" s="3734"/>
      <c r="AB18" s="3734"/>
      <c r="AC18" s="3744"/>
      <c r="AD18" s="3744"/>
      <c r="AE18" s="3734"/>
      <c r="AF18" s="3734"/>
      <c r="AG18" s="3760"/>
      <c r="AH18" s="3761"/>
    </row>
    <row r="19" spans="1:34">
      <c r="A19" s="6624" t="s">
        <v>993</v>
      </c>
      <c r="B19" s="6625"/>
      <c r="C19" s="6625"/>
      <c r="D19" s="3735"/>
      <c r="E19" s="3735"/>
      <c r="F19" s="3735"/>
      <c r="G19" s="3735"/>
      <c r="H19" s="3735"/>
      <c r="I19" s="3735"/>
      <c r="J19" s="3735"/>
      <c r="K19" s="3735"/>
      <c r="L19" s="3735"/>
      <c r="M19" s="3735"/>
      <c r="N19" s="3735"/>
      <c r="O19" s="3735"/>
      <c r="P19" s="3735"/>
      <c r="Q19" s="3735"/>
      <c r="R19" s="3735"/>
      <c r="S19" s="3735"/>
      <c r="T19" s="3734"/>
      <c r="U19" s="3734"/>
      <c r="V19" s="3734"/>
      <c r="W19" s="3734"/>
      <c r="X19" s="3734"/>
      <c r="Y19" s="3734"/>
      <c r="Z19" s="3734"/>
      <c r="AA19" s="3734"/>
      <c r="AB19" s="3734"/>
      <c r="AC19" s="3744"/>
      <c r="AD19" s="3744"/>
      <c r="AE19" s="3734"/>
      <c r="AF19" s="3734"/>
      <c r="AG19" s="3734"/>
      <c r="AH19" s="3738"/>
    </row>
    <row r="20" spans="1:34">
      <c r="A20" s="6598" t="s">
        <v>540</v>
      </c>
      <c r="B20" s="6599"/>
      <c r="C20" s="6599"/>
      <c r="D20" s="3734"/>
      <c r="E20" s="3734"/>
      <c r="F20" s="3734"/>
      <c r="G20" s="3734"/>
      <c r="H20" s="3734"/>
      <c r="I20" s="3734"/>
      <c r="J20" s="3734"/>
      <c r="K20" s="3734"/>
      <c r="L20" s="3762"/>
      <c r="M20" s="3762"/>
      <c r="N20" s="3762"/>
      <c r="O20" s="3762"/>
      <c r="P20" s="3762"/>
      <c r="Q20" s="3762"/>
      <c r="R20" s="3762"/>
      <c r="S20" s="3762"/>
      <c r="T20" s="3735"/>
      <c r="U20" s="3735"/>
      <c r="V20" s="3735"/>
      <c r="W20" s="3735"/>
      <c r="X20" s="3735"/>
      <c r="Y20" s="3735"/>
      <c r="Z20" s="3735"/>
      <c r="AA20" s="3735"/>
      <c r="AB20" s="3735"/>
      <c r="AC20" s="3735"/>
      <c r="AD20" s="3735"/>
      <c r="AE20" s="3735"/>
      <c r="AF20" s="3734"/>
      <c r="AG20" s="3734"/>
      <c r="AH20" s="3738"/>
    </row>
    <row r="21" spans="1:34">
      <c r="A21" s="6600" t="s">
        <v>541</v>
      </c>
      <c r="B21" s="6601"/>
      <c r="C21" s="6601"/>
      <c r="D21" s="3734"/>
      <c r="E21" s="3734"/>
      <c r="F21" s="3734"/>
      <c r="G21" s="3734"/>
      <c r="H21" s="3734"/>
      <c r="I21" s="3734"/>
      <c r="J21" s="3734"/>
      <c r="K21" s="3734"/>
      <c r="L21" s="3734"/>
      <c r="M21" s="3734"/>
      <c r="N21" s="3734"/>
      <c r="O21" s="3734"/>
      <c r="P21" s="3734"/>
      <c r="Q21" s="3734"/>
      <c r="R21" s="3734"/>
      <c r="S21" s="3734"/>
      <c r="T21" s="3734"/>
      <c r="U21" s="3734"/>
      <c r="V21" s="3734"/>
      <c r="W21" s="3734"/>
      <c r="X21" s="3734"/>
      <c r="Y21" s="3734"/>
      <c r="Z21" s="3734"/>
      <c r="AA21" s="3734"/>
      <c r="AB21" s="3734"/>
      <c r="AC21" s="3734"/>
      <c r="AD21" s="3734"/>
      <c r="AE21" s="3734"/>
      <c r="AF21" s="3734"/>
      <c r="AG21" s="3734"/>
      <c r="AH21" s="3738"/>
    </row>
    <row r="22" spans="1:34">
      <c r="A22" s="6602" t="s">
        <v>322</v>
      </c>
      <c r="B22" s="6603"/>
      <c r="C22" s="6603"/>
      <c r="D22" s="3734"/>
      <c r="E22" s="3734"/>
      <c r="F22" s="3734"/>
      <c r="G22" s="3734"/>
      <c r="H22" s="3734"/>
      <c r="I22" s="3734"/>
      <c r="J22" s="3734"/>
      <c r="K22" s="3734"/>
      <c r="L22" s="3734"/>
      <c r="M22" s="3734"/>
      <c r="N22" s="3734"/>
      <c r="O22" s="3734"/>
      <c r="P22" s="3734"/>
      <c r="Q22" s="3734"/>
      <c r="R22" s="3734"/>
      <c r="S22" s="3734"/>
      <c r="T22" s="3734"/>
      <c r="U22" s="3734"/>
      <c r="V22" s="3734"/>
      <c r="W22" s="3734"/>
      <c r="X22" s="3734"/>
      <c r="Y22" s="3734"/>
      <c r="Z22" s="3734"/>
      <c r="AA22" s="3734"/>
      <c r="AB22" s="3734"/>
      <c r="AC22" s="3734"/>
      <c r="AD22" s="3734"/>
      <c r="AE22" s="3734"/>
      <c r="AF22" s="3734"/>
      <c r="AG22" s="3734"/>
      <c r="AH22" s="3738"/>
    </row>
    <row r="23" spans="1:34">
      <c r="A23" s="6604" t="s">
        <v>1070</v>
      </c>
      <c r="B23" s="6605"/>
      <c r="C23" s="6605"/>
      <c r="D23" s="3734"/>
      <c r="E23" s="3734"/>
      <c r="F23" s="6606" t="s">
        <v>1418</v>
      </c>
      <c r="G23" s="6607"/>
      <c r="H23" s="6607"/>
      <c r="I23" s="6607"/>
      <c r="J23" s="6607"/>
      <c r="K23" s="6607"/>
      <c r="L23" s="6607"/>
      <c r="M23" s="6607"/>
      <c r="N23" s="6607"/>
      <c r="O23" s="6607"/>
      <c r="P23" s="6607"/>
      <c r="Q23" s="6607"/>
      <c r="R23" s="6607"/>
      <c r="S23" s="6607"/>
      <c r="T23" s="6607"/>
      <c r="U23" s="6607"/>
      <c r="V23" s="6607"/>
      <c r="W23" s="6607"/>
      <c r="X23" s="6607"/>
      <c r="Y23" s="6607"/>
      <c r="Z23" s="6607"/>
      <c r="AA23" s="6607"/>
      <c r="AB23" s="6607"/>
      <c r="AC23" s="6607"/>
      <c r="AD23" s="6608"/>
      <c r="AE23" s="3734"/>
      <c r="AF23" s="3734"/>
      <c r="AG23" s="3734"/>
      <c r="AH23" s="3738"/>
    </row>
    <row r="24" spans="1:34">
      <c r="A24" s="6609" t="s">
        <v>1440</v>
      </c>
      <c r="B24" s="6610"/>
      <c r="C24" s="6611"/>
      <c r="D24" s="6612" t="s">
        <v>1423</v>
      </c>
      <c r="E24" s="6610"/>
      <c r="F24" s="6611"/>
      <c r="G24" s="3763"/>
      <c r="H24" s="3763"/>
      <c r="I24" s="3763"/>
      <c r="J24" s="3763"/>
      <c r="K24" s="3763"/>
      <c r="L24" s="3763"/>
      <c r="M24" s="3763"/>
      <c r="N24" s="3763"/>
      <c r="O24" s="3763"/>
      <c r="P24" s="3763"/>
      <c r="Q24" s="3763"/>
      <c r="R24" s="3763"/>
      <c r="S24" s="3763"/>
      <c r="T24" s="3763"/>
      <c r="U24" s="3763"/>
      <c r="V24" s="3763"/>
      <c r="W24" s="3763"/>
      <c r="X24" s="3763"/>
      <c r="Y24" s="3763"/>
      <c r="Z24" s="3763"/>
      <c r="AA24" s="3763"/>
      <c r="AB24" s="3763"/>
      <c r="AC24" s="3763"/>
      <c r="AD24" s="3763"/>
      <c r="AE24" s="3763"/>
      <c r="AF24" s="3763"/>
      <c r="AG24" s="3763"/>
      <c r="AH24" s="3764"/>
    </row>
    <row r="25" spans="1:34">
      <c r="A25" s="6586" t="s">
        <v>482</v>
      </c>
      <c r="B25" s="6587"/>
      <c r="C25" s="6587"/>
      <c r="D25" s="3765"/>
      <c r="E25" s="3766"/>
      <c r="F25" s="3766"/>
      <c r="G25" s="3766"/>
      <c r="H25" s="3766"/>
      <c r="I25" s="3766"/>
      <c r="J25" s="3766"/>
      <c r="K25" s="3766"/>
      <c r="L25" s="3766"/>
      <c r="M25" s="3766"/>
      <c r="N25" s="3766"/>
      <c r="O25" s="3766"/>
      <c r="P25" s="3766"/>
      <c r="Q25" s="3766"/>
      <c r="R25" s="3766"/>
      <c r="S25" s="3766"/>
      <c r="T25" s="3766"/>
      <c r="U25" s="3766"/>
      <c r="V25" s="3766"/>
      <c r="W25" s="3766"/>
      <c r="X25" s="3766"/>
      <c r="Y25" s="3766"/>
      <c r="Z25" s="3766"/>
      <c r="AA25" s="3766"/>
      <c r="AB25" s="3766"/>
      <c r="AC25" s="3766"/>
      <c r="AD25" s="3766"/>
      <c r="AE25" s="3766"/>
      <c r="AF25" s="3766"/>
      <c r="AG25" s="3766"/>
      <c r="AH25" s="3767"/>
    </row>
    <row r="26" spans="1:34">
      <c r="A26" s="3768" t="s">
        <v>66</v>
      </c>
      <c r="B26" s="3769" t="s">
        <v>67</v>
      </c>
      <c r="C26" s="3770" t="s">
        <v>458</v>
      </c>
      <c r="D26" s="3771"/>
      <c r="E26" s="3771"/>
      <c r="F26" s="3771"/>
      <c r="G26" s="3771"/>
      <c r="H26" s="3771"/>
      <c r="I26" s="3772" t="s">
        <v>1386</v>
      </c>
      <c r="J26" s="6588" t="s">
        <v>1419</v>
      </c>
      <c r="K26" s="6589"/>
      <c r="L26" s="3772" t="s">
        <v>1386</v>
      </c>
      <c r="M26" s="3773"/>
      <c r="N26" s="3773"/>
      <c r="O26" s="3774" t="s">
        <v>1386</v>
      </c>
      <c r="P26" s="6590" t="s">
        <v>1418</v>
      </c>
      <c r="Q26" s="6590"/>
      <c r="R26" s="6590"/>
      <c r="S26" s="6590"/>
      <c r="T26" s="6590"/>
      <c r="U26" s="6590"/>
      <c r="V26" s="6590"/>
      <c r="W26" s="6590"/>
      <c r="X26" s="6590"/>
      <c r="Y26" s="6590"/>
      <c r="Z26" s="6590"/>
      <c r="AA26" s="6590"/>
      <c r="AB26" s="6590"/>
      <c r="AC26" s="6590"/>
      <c r="AD26" s="6591"/>
      <c r="AE26" s="3772" t="s">
        <v>1386</v>
      </c>
      <c r="AF26" s="3771"/>
      <c r="AG26" s="3771"/>
      <c r="AH26" s="3775"/>
    </row>
    <row r="27" spans="1:34">
      <c r="A27" s="3776" t="s">
        <v>73</v>
      </c>
      <c r="B27" s="3777" t="s">
        <v>67</v>
      </c>
      <c r="C27" s="3778" t="s">
        <v>714</v>
      </c>
      <c r="D27" s="6592" t="s">
        <v>325</v>
      </c>
      <c r="E27" s="6593"/>
      <c r="F27" s="6593"/>
      <c r="G27" s="6593"/>
      <c r="H27" s="6593"/>
      <c r="I27" s="6594"/>
      <c r="J27" s="3779"/>
      <c r="K27" s="3779"/>
      <c r="L27" s="3779"/>
      <c r="M27" s="3780"/>
      <c r="N27" s="3781" t="s">
        <v>1386</v>
      </c>
      <c r="O27" s="3781" t="s">
        <v>1386</v>
      </c>
      <c r="P27" s="3782"/>
      <c r="Q27" s="3782"/>
      <c r="R27" s="3782"/>
      <c r="S27" s="3782"/>
      <c r="T27" s="3782"/>
      <c r="U27" s="3782"/>
      <c r="V27" s="3782"/>
      <c r="W27" s="3782"/>
      <c r="X27" s="3782"/>
      <c r="Y27" s="3782"/>
      <c r="Z27" s="3782"/>
      <c r="AA27" s="3782"/>
      <c r="AB27" s="3782"/>
      <c r="AC27" s="3782"/>
      <c r="AD27" s="3783"/>
      <c r="AE27" s="3784" t="s">
        <v>1386</v>
      </c>
      <c r="AF27" s="3779"/>
      <c r="AG27" s="3779"/>
      <c r="AH27" s="3785"/>
    </row>
    <row r="28" spans="1:34">
      <c r="A28" s="3786" t="s">
        <v>599</v>
      </c>
      <c r="B28" s="3787" t="s">
        <v>543</v>
      </c>
      <c r="C28" s="3788" t="s">
        <v>544</v>
      </c>
      <c r="D28" s="3789"/>
      <c r="E28" s="3789"/>
      <c r="F28" s="3789"/>
      <c r="G28" s="3789"/>
      <c r="H28" s="3789"/>
      <c r="I28" s="3789"/>
      <c r="J28" s="3789"/>
      <c r="K28" s="6553" t="s">
        <v>482</v>
      </c>
      <c r="L28" s="6554"/>
      <c r="M28" s="6554"/>
      <c r="N28" s="6555"/>
      <c r="O28" s="3773"/>
      <c r="P28" s="3789"/>
      <c r="Q28" s="3789"/>
      <c r="R28" s="3789"/>
      <c r="S28" s="3789"/>
      <c r="T28" s="3789"/>
      <c r="U28" s="3789"/>
      <c r="V28" s="3789"/>
      <c r="W28" s="3789"/>
      <c r="X28" s="3789"/>
      <c r="Y28" s="3789"/>
      <c r="Z28" s="3789"/>
      <c r="AA28" s="3789"/>
      <c r="AB28" s="3789"/>
      <c r="AC28" s="3789"/>
      <c r="AD28" s="3789"/>
      <c r="AE28" s="3789"/>
      <c r="AF28" s="3789"/>
      <c r="AG28" s="3789"/>
      <c r="AH28" s="3790"/>
    </row>
    <row r="29" spans="1:34">
      <c r="A29" s="6541" t="s">
        <v>84</v>
      </c>
      <c r="B29" s="3791" t="s">
        <v>85</v>
      </c>
      <c r="C29" s="3791" t="s">
        <v>716</v>
      </c>
      <c r="D29" s="3792"/>
      <c r="E29" s="3792"/>
      <c r="F29" s="3792"/>
      <c r="G29" s="3792"/>
      <c r="H29" s="3792"/>
      <c r="I29" s="3792"/>
      <c r="J29" s="3792"/>
      <c r="K29" s="3792"/>
      <c r="L29" s="3792"/>
      <c r="M29" s="3792"/>
      <c r="N29" s="3792"/>
      <c r="O29" s="3792"/>
      <c r="P29" s="3792"/>
      <c r="Q29" s="3792"/>
      <c r="R29" s="3792"/>
      <c r="S29" s="3792"/>
      <c r="T29" s="3792"/>
      <c r="U29" s="3792"/>
      <c r="V29" s="3792"/>
      <c r="W29" s="3792"/>
      <c r="X29" s="3792"/>
      <c r="Y29" s="3793"/>
      <c r="Z29" s="3792"/>
      <c r="AA29" s="3792"/>
      <c r="AB29" s="3792"/>
      <c r="AC29" s="3792"/>
      <c r="AD29" s="3792"/>
      <c r="AE29" s="3792"/>
      <c r="AF29" s="3792"/>
      <c r="AG29" s="3792"/>
      <c r="AH29" s="3794"/>
    </row>
    <row r="30" spans="1:34">
      <c r="A30" s="6542"/>
      <c r="B30" s="3795" t="s">
        <v>283</v>
      </c>
      <c r="C30" s="3795" t="s">
        <v>1187</v>
      </c>
      <c r="D30" s="3774" t="s">
        <v>1386</v>
      </c>
      <c r="E30" s="3796"/>
      <c r="F30" s="3796"/>
      <c r="G30" s="3796"/>
      <c r="H30" s="3796"/>
      <c r="I30" s="3774" t="s">
        <v>1386</v>
      </c>
      <c r="J30" s="6595" t="s">
        <v>1419</v>
      </c>
      <c r="K30" s="6596"/>
      <c r="L30" s="6596"/>
      <c r="M30" s="6596"/>
      <c r="N30" s="6596"/>
      <c r="O30" s="6596"/>
      <c r="P30" s="6596"/>
      <c r="Q30" s="6596"/>
      <c r="R30" s="6596"/>
      <c r="S30" s="6597"/>
      <c r="T30" s="3774" t="s">
        <v>1386</v>
      </c>
      <c r="U30" s="3796"/>
      <c r="V30" s="3796"/>
      <c r="W30" s="3796"/>
      <c r="X30" s="3796"/>
      <c r="Y30" s="3796"/>
      <c r="Z30" s="3796"/>
      <c r="AA30" s="3796"/>
      <c r="AB30" s="3796"/>
      <c r="AC30" s="3796"/>
      <c r="AD30" s="3796"/>
      <c r="AE30" s="3796"/>
      <c r="AF30" s="3746"/>
      <c r="AG30" s="3746"/>
      <c r="AH30" s="3797"/>
    </row>
    <row r="31" spans="1:34" s="3118" customFormat="1">
      <c r="A31" s="6543"/>
      <c r="B31" s="3798" t="s">
        <v>1441</v>
      </c>
      <c r="C31" s="3798" t="s">
        <v>1442</v>
      </c>
      <c r="D31" s="3799"/>
      <c r="E31" s="3799"/>
      <c r="F31" s="3799"/>
      <c r="G31" s="3799"/>
      <c r="H31" s="3799"/>
      <c r="I31" s="3799"/>
      <c r="J31" s="3799"/>
      <c r="K31" s="3799"/>
      <c r="L31" s="3799"/>
      <c r="M31" s="3799"/>
      <c r="N31" s="3800"/>
      <c r="O31" s="3800"/>
      <c r="P31" s="3799"/>
      <c r="Q31" s="3799"/>
      <c r="R31" s="3799"/>
      <c r="S31" s="3801"/>
      <c r="T31" s="3799"/>
      <c r="U31" s="3799"/>
      <c r="V31" s="3799"/>
      <c r="W31" s="3799"/>
      <c r="X31" s="3799"/>
      <c r="Y31" s="3799"/>
      <c r="Z31" s="3799"/>
      <c r="AA31" s="3799"/>
      <c r="AB31" s="3799"/>
      <c r="AC31" s="3799"/>
      <c r="AD31" s="3799"/>
      <c r="AE31" s="3799"/>
      <c r="AF31" s="3802"/>
      <c r="AG31" s="3803"/>
      <c r="AH31" s="3804"/>
    </row>
    <row r="32" spans="1:34">
      <c r="A32" s="6541" t="s">
        <v>92</v>
      </c>
      <c r="B32" s="3791" t="s">
        <v>561</v>
      </c>
      <c r="C32" s="3791" t="s">
        <v>718</v>
      </c>
      <c r="D32" s="3805"/>
      <c r="E32" s="3806"/>
      <c r="F32" s="6556" t="s">
        <v>1418</v>
      </c>
      <c r="G32" s="6556"/>
      <c r="H32" s="6556"/>
      <c r="I32" s="6556"/>
      <c r="J32" s="6556"/>
      <c r="K32" s="6556"/>
      <c r="L32" s="6556"/>
      <c r="M32" s="6556"/>
      <c r="N32" s="6556"/>
      <c r="O32" s="6556"/>
      <c r="P32" s="6556"/>
      <c r="Q32" s="6556"/>
      <c r="R32" s="6556"/>
      <c r="S32" s="6556"/>
      <c r="T32" s="6556"/>
      <c r="U32" s="6556"/>
      <c r="V32" s="6556"/>
      <c r="W32" s="6556"/>
      <c r="X32" s="6556"/>
      <c r="Y32" s="6556"/>
      <c r="Z32" s="6556"/>
      <c r="AA32" s="6556"/>
      <c r="AB32" s="6556"/>
      <c r="AC32" s="6556"/>
      <c r="AD32" s="6556"/>
      <c r="AE32" s="3772" t="s">
        <v>1386</v>
      </c>
      <c r="AF32" s="3792"/>
      <c r="AG32" s="3792"/>
      <c r="AH32" s="3794"/>
    </row>
    <row r="33" spans="1:34">
      <c r="A33" s="6542"/>
      <c r="B33" s="3807" t="s">
        <v>326</v>
      </c>
      <c r="C33" s="3807" t="s">
        <v>327</v>
      </c>
      <c r="D33" s="3746"/>
      <c r="E33" s="3746"/>
      <c r="F33" s="6539" t="s">
        <v>1418</v>
      </c>
      <c r="G33" s="6539"/>
      <c r="H33" s="6539"/>
      <c r="I33" s="6539"/>
      <c r="J33" s="6539"/>
      <c r="K33" s="6539"/>
      <c r="L33" s="6539"/>
      <c r="M33" s="6539"/>
      <c r="N33" s="6539"/>
      <c r="O33" s="6539"/>
      <c r="P33" s="6539"/>
      <c r="Q33" s="6539"/>
      <c r="R33" s="6539"/>
      <c r="S33" s="6539"/>
      <c r="T33" s="6539"/>
      <c r="U33" s="6539"/>
      <c r="V33" s="6539"/>
      <c r="W33" s="6539"/>
      <c r="X33" s="6539"/>
      <c r="Y33" s="6539"/>
      <c r="Z33" s="6539"/>
      <c r="AA33" s="6539"/>
      <c r="AB33" s="6539"/>
      <c r="AC33" s="6539"/>
      <c r="AD33" s="6539"/>
      <c r="AE33" s="3774" t="s">
        <v>1386</v>
      </c>
      <c r="AF33" s="3746"/>
      <c r="AG33" s="3746"/>
      <c r="AH33" s="3797"/>
    </row>
    <row r="34" spans="1:34">
      <c r="A34" s="6542"/>
      <c r="B34" s="3807" t="s">
        <v>606</v>
      </c>
      <c r="C34" s="3807" t="s">
        <v>98</v>
      </c>
      <c r="D34" s="3774" t="s">
        <v>1386</v>
      </c>
      <c r="E34" s="3746"/>
      <c r="F34" s="3746"/>
      <c r="G34" s="3746"/>
      <c r="H34" s="3746"/>
      <c r="I34" s="3774" t="s">
        <v>1386</v>
      </c>
      <c r="J34" s="6520" t="s">
        <v>1419</v>
      </c>
      <c r="K34" s="6520"/>
      <c r="L34" s="6520"/>
      <c r="M34" s="3774" t="s">
        <v>1386</v>
      </c>
      <c r="N34" s="3746"/>
      <c r="O34" s="3746"/>
      <c r="P34" s="3746"/>
      <c r="Q34" s="3746"/>
      <c r="R34" s="3746"/>
      <c r="S34" s="3746"/>
      <c r="T34" s="3746"/>
      <c r="U34" s="3746"/>
      <c r="V34" s="6585" t="s">
        <v>1262</v>
      </c>
      <c r="W34" s="6585"/>
      <c r="X34" s="6585"/>
      <c r="Y34" s="6585"/>
      <c r="Z34" s="6585"/>
      <c r="AA34" s="6585"/>
      <c r="AB34" s="6585"/>
      <c r="AC34" s="6585"/>
      <c r="AD34" s="6585"/>
      <c r="AE34" s="3746"/>
      <c r="AF34" s="3746"/>
      <c r="AG34" s="3746"/>
      <c r="AH34" s="3797"/>
    </row>
    <row r="35" spans="1:34">
      <c r="A35" s="6542"/>
      <c r="B35" s="3795" t="s">
        <v>97</v>
      </c>
      <c r="C35" s="3795" t="s">
        <v>1443</v>
      </c>
      <c r="D35" s="3739"/>
      <c r="E35" s="3739"/>
      <c r="F35" s="3739"/>
      <c r="G35" s="3739"/>
      <c r="H35" s="3739"/>
      <c r="I35" s="3774" t="s">
        <v>1386</v>
      </c>
      <c r="J35" s="6520" t="s">
        <v>1419</v>
      </c>
      <c r="K35" s="6520"/>
      <c r="L35" s="6520"/>
      <c r="M35" s="3774" t="s">
        <v>1386</v>
      </c>
      <c r="N35" s="3739"/>
      <c r="O35" s="3739"/>
      <c r="P35" s="3739"/>
      <c r="Q35" s="3739"/>
      <c r="R35" s="3739"/>
      <c r="S35" s="3739"/>
      <c r="T35" s="3739"/>
      <c r="U35" s="3739"/>
      <c r="V35" s="3739"/>
      <c r="W35" s="3739"/>
      <c r="X35" s="3739"/>
      <c r="Y35" s="3739"/>
      <c r="Z35" s="3739"/>
      <c r="AA35" s="3739"/>
      <c r="AB35" s="3739"/>
      <c r="AC35" s="3739"/>
      <c r="AD35" s="3739"/>
      <c r="AE35" s="3739"/>
      <c r="AF35" s="3739"/>
      <c r="AG35" s="3746"/>
      <c r="AH35" s="3797"/>
    </row>
    <row r="36" spans="1:34">
      <c r="A36" s="6582"/>
      <c r="B36" s="3808" t="s">
        <v>1240</v>
      </c>
      <c r="C36" s="3808" t="s">
        <v>1310</v>
      </c>
      <c r="D36" s="3809"/>
      <c r="E36" s="3809"/>
      <c r="F36" s="3809"/>
      <c r="G36" s="3809"/>
      <c r="H36" s="3809"/>
      <c r="I36" s="3809"/>
      <c r="J36" s="3809"/>
      <c r="K36" s="3809"/>
      <c r="L36" s="3742"/>
      <c r="M36" s="3742"/>
      <c r="N36" s="3742"/>
      <c r="O36" s="3742"/>
      <c r="P36" s="3742"/>
      <c r="Q36" s="3742"/>
      <c r="R36" s="3742"/>
      <c r="S36" s="3742"/>
      <c r="T36" s="3742"/>
      <c r="U36" s="3742"/>
      <c r="V36" s="3742"/>
      <c r="W36" s="3742"/>
      <c r="X36" s="3774" t="s">
        <v>1386</v>
      </c>
      <c r="Y36" s="6583" t="s">
        <v>1422</v>
      </c>
      <c r="Z36" s="6583"/>
      <c r="AA36" s="3774" t="s">
        <v>1386</v>
      </c>
      <c r="AB36" s="3742"/>
      <c r="AC36" s="3742"/>
      <c r="AD36" s="3742"/>
      <c r="AE36" s="3742"/>
      <c r="AF36" s="3809"/>
      <c r="AG36" s="3810"/>
      <c r="AH36" s="3811"/>
    </row>
    <row r="37" spans="1:34">
      <c r="A37" s="6581" t="s">
        <v>99</v>
      </c>
      <c r="B37" s="3812" t="s">
        <v>100</v>
      </c>
      <c r="C37" s="3812" t="s">
        <v>725</v>
      </c>
      <c r="D37" s="3742"/>
      <c r="E37" s="3742"/>
      <c r="F37" s="3742"/>
      <c r="G37" s="3742"/>
      <c r="H37" s="3742"/>
      <c r="I37" s="3742"/>
      <c r="J37" s="3742"/>
      <c r="K37" s="3742"/>
      <c r="L37" s="3742"/>
      <c r="M37" s="3742"/>
      <c r="N37" s="3742"/>
      <c r="O37" s="3742"/>
      <c r="P37" s="3742"/>
      <c r="Q37" s="3742"/>
      <c r="R37" s="3742"/>
      <c r="S37" s="3742"/>
      <c r="T37" s="3742"/>
      <c r="U37" s="3742"/>
      <c r="V37" s="3742"/>
      <c r="W37" s="3742"/>
      <c r="X37" s="3742"/>
      <c r="Y37" s="3742"/>
      <c r="Z37" s="3742"/>
      <c r="AA37" s="3742"/>
      <c r="AB37" s="3742"/>
      <c r="AC37" s="3742"/>
      <c r="AD37" s="3742"/>
      <c r="AE37" s="3742"/>
      <c r="AF37" s="3742"/>
      <c r="AG37" s="3742"/>
      <c r="AH37" s="3813"/>
    </row>
    <row r="38" spans="1:34">
      <c r="A38" s="6542"/>
      <c r="B38" s="3807" t="s">
        <v>283</v>
      </c>
      <c r="C38" s="3807" t="s">
        <v>1444</v>
      </c>
      <c r="D38" s="3814"/>
      <c r="E38" s="3815"/>
      <c r="F38" s="3814"/>
      <c r="G38" s="3814"/>
      <c r="H38" s="3814"/>
      <c r="I38" s="3814"/>
      <c r="J38" s="3814"/>
      <c r="K38" s="3814"/>
      <c r="L38" s="3814"/>
      <c r="M38" s="3814"/>
      <c r="N38" s="3814"/>
      <c r="O38" s="3814"/>
      <c r="P38" s="3814"/>
      <c r="Q38" s="3814"/>
      <c r="R38" s="3814"/>
      <c r="S38" s="3746"/>
      <c r="T38" s="3746"/>
      <c r="U38" s="3746"/>
      <c r="V38" s="3746"/>
      <c r="W38" s="3746"/>
      <c r="X38" s="3746"/>
      <c r="Y38" s="3816"/>
      <c r="Z38" s="3746"/>
      <c r="AA38" s="3746"/>
      <c r="AB38" s="3746"/>
      <c r="AC38" s="3746"/>
      <c r="AD38" s="3746"/>
      <c r="AE38" s="3746"/>
      <c r="AF38" s="3746"/>
      <c r="AG38" s="3746"/>
      <c r="AH38" s="3797"/>
    </row>
    <row r="39" spans="1:34">
      <c r="A39" s="6542"/>
      <c r="B39" s="3807" t="s">
        <v>95</v>
      </c>
      <c r="C39" s="3807" t="s">
        <v>726</v>
      </c>
      <c r="D39" s="3746"/>
      <c r="E39" s="3746"/>
      <c r="F39" s="3746"/>
      <c r="G39" s="6562" t="s">
        <v>1421</v>
      </c>
      <c r="H39" s="6562"/>
      <c r="I39" s="6562"/>
      <c r="J39" s="6562"/>
      <c r="K39" s="3746"/>
      <c r="L39" s="3746"/>
      <c r="M39" s="3746"/>
      <c r="N39" s="3746"/>
      <c r="O39" s="3746"/>
      <c r="P39" s="3746"/>
      <c r="Q39" s="3746"/>
      <c r="R39" s="3746"/>
      <c r="S39" s="3746"/>
      <c r="T39" s="3746"/>
      <c r="U39" s="3746"/>
      <c r="V39" s="3746"/>
      <c r="W39" s="3746"/>
      <c r="X39" s="3774" t="s">
        <v>1386</v>
      </c>
      <c r="Y39" s="6583" t="s">
        <v>1422</v>
      </c>
      <c r="Z39" s="6583"/>
      <c r="AA39" s="3774" t="s">
        <v>1386</v>
      </c>
      <c r="AB39" s="3746"/>
      <c r="AC39" s="3746"/>
      <c r="AD39" s="3746"/>
      <c r="AE39" s="3734"/>
      <c r="AF39" s="3734"/>
      <c r="AG39" s="3734"/>
      <c r="AH39" s="3738"/>
    </row>
    <row r="40" spans="1:34" ht="15.75" customHeight="1">
      <c r="A40" s="6542"/>
      <c r="B40" s="3807" t="s">
        <v>95</v>
      </c>
      <c r="C40" s="3807" t="s">
        <v>738</v>
      </c>
      <c r="D40" s="6561" t="s">
        <v>1423</v>
      </c>
      <c r="E40" s="6561"/>
      <c r="F40" s="6561"/>
      <c r="G40" s="6562" t="s">
        <v>1424</v>
      </c>
      <c r="H40" s="6562"/>
      <c r="I40" s="6562"/>
      <c r="J40" s="3774" t="s">
        <v>1386</v>
      </c>
      <c r="K40" s="3746"/>
      <c r="L40" s="3746"/>
      <c r="M40" s="3746"/>
      <c r="N40" s="3746"/>
      <c r="O40" s="3746"/>
      <c r="P40" s="3774" t="s">
        <v>1386</v>
      </c>
      <c r="Q40" s="3774" t="s">
        <v>1386</v>
      </c>
      <c r="R40" s="6562" t="s">
        <v>1425</v>
      </c>
      <c r="S40" s="6562"/>
      <c r="T40" s="6562"/>
      <c r="U40" s="6562"/>
      <c r="V40" s="6562"/>
      <c r="W40" s="6562"/>
      <c r="X40" s="6562"/>
      <c r="Y40" s="6562"/>
      <c r="Z40" s="6562"/>
      <c r="AA40" s="6562"/>
      <c r="AB40" s="6562"/>
      <c r="AC40" s="6562"/>
      <c r="AD40" s="6562"/>
      <c r="AE40" s="6562"/>
      <c r="AF40" s="6562"/>
      <c r="AG40" s="6562"/>
      <c r="AH40" s="6584"/>
    </row>
    <row r="41" spans="1:34">
      <c r="A41" s="6542"/>
      <c r="B41" s="3807" t="s">
        <v>106</v>
      </c>
      <c r="C41" s="3807" t="s">
        <v>1191</v>
      </c>
      <c r="D41" s="3746"/>
      <c r="E41" s="3746"/>
      <c r="F41" s="3746"/>
      <c r="G41" s="3746"/>
      <c r="H41" s="3746"/>
      <c r="I41" s="3817"/>
      <c r="J41" s="3746"/>
      <c r="K41" s="3746"/>
      <c r="L41" s="3746"/>
      <c r="M41" s="3746"/>
      <c r="N41" s="3746"/>
      <c r="O41" s="3746"/>
      <c r="P41" s="3746"/>
      <c r="Q41" s="3746"/>
      <c r="R41" s="3746"/>
      <c r="S41" s="3746"/>
      <c r="T41" s="3746"/>
      <c r="U41" s="3746"/>
      <c r="V41" s="3746"/>
      <c r="W41" s="3746"/>
      <c r="X41" s="3774" t="s">
        <v>1386</v>
      </c>
      <c r="Y41" s="6583" t="s">
        <v>1422</v>
      </c>
      <c r="Z41" s="6583"/>
      <c r="AA41" s="3774" t="s">
        <v>1386</v>
      </c>
      <c r="AB41" s="3746"/>
      <c r="AC41" s="3746"/>
      <c r="AD41" s="3746"/>
      <c r="AE41" s="3746"/>
      <c r="AF41" s="3746"/>
      <c r="AG41" s="3746"/>
      <c r="AH41" s="3797"/>
    </row>
    <row r="42" spans="1:34">
      <c r="A42" s="6542"/>
      <c r="B42" s="3807" t="s">
        <v>108</v>
      </c>
      <c r="C42" s="3807" t="s">
        <v>109</v>
      </c>
      <c r="D42" s="3746"/>
      <c r="E42" s="3746"/>
      <c r="F42" s="3746"/>
      <c r="G42" s="3746"/>
      <c r="H42" s="3746"/>
      <c r="I42" s="3746"/>
      <c r="J42" s="3746"/>
      <c r="K42" s="3746"/>
      <c r="L42" s="3746"/>
      <c r="M42" s="3746"/>
      <c r="N42" s="3746"/>
      <c r="O42" s="3746"/>
      <c r="P42" s="3746"/>
      <c r="Q42" s="3746"/>
      <c r="R42" s="3746"/>
      <c r="S42" s="3746"/>
      <c r="T42" s="3746"/>
      <c r="U42" s="3746"/>
      <c r="V42" s="3746"/>
      <c r="W42" s="3746"/>
      <c r="X42" s="3746"/>
      <c r="Y42" s="3746"/>
      <c r="Z42" s="3746"/>
      <c r="AA42" s="3746"/>
      <c r="AB42" s="3746"/>
      <c r="AC42" s="3746"/>
      <c r="AD42" s="3746"/>
      <c r="AE42" s="3746"/>
      <c r="AF42" s="3746"/>
      <c r="AG42" s="3746"/>
      <c r="AH42" s="3797"/>
    </row>
    <row r="43" spans="1:34">
      <c r="A43" s="6542"/>
      <c r="B43" s="3795" t="s">
        <v>1445</v>
      </c>
      <c r="C43" s="3795" t="s">
        <v>1446</v>
      </c>
      <c r="D43" s="3818"/>
      <c r="E43" s="3818"/>
      <c r="F43" s="3818"/>
      <c r="G43" s="3818"/>
      <c r="H43" s="3818"/>
      <c r="I43" s="3818"/>
      <c r="J43" s="3818"/>
      <c r="K43" s="3818"/>
      <c r="L43" s="3818"/>
      <c r="M43" s="3818"/>
      <c r="N43" s="3818"/>
      <c r="O43" s="3818"/>
      <c r="P43" s="3818"/>
      <c r="Q43" s="3818"/>
      <c r="R43" s="3818"/>
      <c r="S43" s="3819"/>
      <c r="T43" s="3739"/>
      <c r="U43" s="3739"/>
      <c r="V43" s="3739"/>
      <c r="W43" s="3739"/>
      <c r="X43" s="3774" t="s">
        <v>1386</v>
      </c>
      <c r="Y43" s="6583" t="s">
        <v>1422</v>
      </c>
      <c r="Z43" s="6583"/>
      <c r="AA43" s="3774" t="s">
        <v>1386</v>
      </c>
      <c r="AB43" s="3739"/>
      <c r="AC43" s="3739"/>
      <c r="AD43" s="3739"/>
      <c r="AE43" s="3739"/>
      <c r="AF43" s="3739"/>
      <c r="AG43" s="3739"/>
      <c r="AH43" s="3820"/>
    </row>
    <row r="44" spans="1:34">
      <c r="A44" s="6542"/>
      <c r="B44" s="3807" t="s">
        <v>108</v>
      </c>
      <c r="C44" s="3807" t="s">
        <v>88</v>
      </c>
      <c r="D44" s="3746"/>
      <c r="E44" s="3746"/>
      <c r="F44" s="3746"/>
      <c r="G44" s="3746"/>
      <c r="H44" s="3746"/>
      <c r="I44" s="3746"/>
      <c r="J44" s="3746"/>
      <c r="K44" s="3746"/>
      <c r="L44" s="3746"/>
      <c r="M44" s="3746"/>
      <c r="N44" s="3746"/>
      <c r="O44" s="3746"/>
      <c r="P44" s="3746"/>
      <c r="Q44" s="3746"/>
      <c r="R44" s="3746"/>
      <c r="S44" s="3746"/>
      <c r="T44" s="3746"/>
      <c r="U44" s="3746"/>
      <c r="V44" s="3746"/>
      <c r="W44" s="3746"/>
      <c r="X44" s="3746"/>
      <c r="Y44" s="3746"/>
      <c r="Z44" s="3746"/>
      <c r="AA44" s="3746"/>
      <c r="AB44" s="3746"/>
      <c r="AC44" s="3746"/>
      <c r="AD44" s="3746"/>
      <c r="AE44" s="3746"/>
      <c r="AF44" s="3746"/>
      <c r="AG44" s="3746"/>
      <c r="AH44" s="3797"/>
    </row>
    <row r="45" spans="1:34">
      <c r="A45" s="6542"/>
      <c r="B45" s="3795" t="s">
        <v>108</v>
      </c>
      <c r="C45" s="3795" t="s">
        <v>1447</v>
      </c>
      <c r="D45" s="3821"/>
      <c r="E45" s="3821"/>
      <c r="F45" s="3821"/>
      <c r="G45" s="3821"/>
      <c r="H45" s="3821"/>
      <c r="I45" s="3821"/>
      <c r="J45" s="3821"/>
      <c r="K45" s="3821"/>
      <c r="L45" s="3821"/>
      <c r="M45" s="3821"/>
      <c r="N45" s="3821"/>
      <c r="O45" s="3821"/>
      <c r="P45" s="3821"/>
      <c r="Q45" s="3821"/>
      <c r="R45" s="3821"/>
      <c r="S45" s="3819"/>
      <c r="T45" s="3739"/>
      <c r="U45" s="3739"/>
      <c r="V45" s="3739"/>
      <c r="W45" s="3739"/>
      <c r="X45" s="3774" t="s">
        <v>1386</v>
      </c>
      <c r="Y45" s="6583" t="s">
        <v>1422</v>
      </c>
      <c r="Z45" s="6583"/>
      <c r="AA45" s="3774" t="s">
        <v>1386</v>
      </c>
      <c r="AB45" s="3739"/>
      <c r="AC45" s="3739"/>
      <c r="AD45" s="3739"/>
      <c r="AE45" s="3739"/>
      <c r="AF45" s="3739"/>
      <c r="AG45" s="3739"/>
      <c r="AH45" s="3820"/>
    </row>
    <row r="46" spans="1:34">
      <c r="A46" s="6542"/>
      <c r="B46" s="3795" t="s">
        <v>108</v>
      </c>
      <c r="C46" s="3795" t="s">
        <v>1321</v>
      </c>
      <c r="D46" s="3739"/>
      <c r="E46" s="3739"/>
      <c r="F46" s="3739"/>
      <c r="G46" s="3739"/>
      <c r="H46" s="3739"/>
      <c r="I46" s="3739"/>
      <c r="J46" s="3739"/>
      <c r="K46" s="3739"/>
      <c r="L46" s="3739"/>
      <c r="M46" s="3739"/>
      <c r="N46" s="3739"/>
      <c r="O46" s="3739"/>
      <c r="P46" s="3739"/>
      <c r="Q46" s="3739"/>
      <c r="R46" s="3739"/>
      <c r="S46" s="3739"/>
      <c r="T46" s="3739"/>
      <c r="U46" s="3739"/>
      <c r="V46" s="3739"/>
      <c r="W46" s="3739"/>
      <c r="X46" s="3739"/>
      <c r="Y46" s="3739"/>
      <c r="Z46" s="3739"/>
      <c r="AA46" s="3739"/>
      <c r="AB46" s="3739"/>
      <c r="AC46" s="3739"/>
      <c r="AD46" s="3739"/>
      <c r="AE46" s="3739"/>
      <c r="AF46" s="3739"/>
      <c r="AG46" s="3746"/>
      <c r="AH46" s="3797"/>
    </row>
    <row r="47" spans="1:34" ht="15.75" customHeight="1">
      <c r="A47" s="6582"/>
      <c r="B47" s="3808" t="s">
        <v>108</v>
      </c>
      <c r="C47" s="3808" t="s">
        <v>1322</v>
      </c>
      <c r="D47" s="3809"/>
      <c r="E47" s="3809"/>
      <c r="F47" s="3809"/>
      <c r="G47" s="3809"/>
      <c r="H47" s="3809"/>
      <c r="I47" s="3809"/>
      <c r="J47" s="3809"/>
      <c r="K47" s="3809"/>
      <c r="L47" s="3809"/>
      <c r="M47" s="3809"/>
      <c r="N47" s="3809"/>
      <c r="O47" s="3809"/>
      <c r="P47" s="3809"/>
      <c r="Q47" s="3809"/>
      <c r="R47" s="3809"/>
      <c r="S47" s="3809"/>
      <c r="T47" s="3809"/>
      <c r="U47" s="3809"/>
      <c r="V47" s="3809"/>
      <c r="W47" s="3809"/>
      <c r="X47" s="3809"/>
      <c r="Y47" s="3809"/>
      <c r="Z47" s="3809"/>
      <c r="AA47" s="3809"/>
      <c r="AB47" s="3809"/>
      <c r="AC47" s="3809"/>
      <c r="AD47" s="3809"/>
      <c r="AE47" s="3809"/>
      <c r="AF47" s="3809"/>
      <c r="AG47" s="3810"/>
      <c r="AH47" s="3811"/>
    </row>
    <row r="48" spans="1:34">
      <c r="A48" s="6563" t="s">
        <v>110</v>
      </c>
      <c r="B48" s="3769" t="s">
        <v>283</v>
      </c>
      <c r="C48" s="3770" t="s">
        <v>201</v>
      </c>
      <c r="D48" s="6564" t="s">
        <v>1391</v>
      </c>
      <c r="E48" s="6565"/>
      <c r="F48" s="6565"/>
      <c r="G48" s="6565"/>
      <c r="H48" s="6565"/>
      <c r="I48" s="6565"/>
      <c r="J48" s="6565"/>
      <c r="K48" s="6565"/>
      <c r="L48" s="6565"/>
      <c r="M48" s="6566"/>
      <c r="N48" s="3771"/>
      <c r="O48" s="3771"/>
      <c r="P48" s="3771"/>
      <c r="Q48" s="3771"/>
      <c r="R48" s="3771"/>
      <c r="S48" s="3771"/>
      <c r="T48" s="3771"/>
      <c r="U48" s="3771"/>
      <c r="V48" s="3771"/>
      <c r="W48" s="3771"/>
      <c r="X48" s="3771"/>
      <c r="Y48" s="3771"/>
      <c r="Z48" s="3771"/>
      <c r="AA48" s="3771"/>
      <c r="AB48" s="3771"/>
      <c r="AC48" s="3771"/>
      <c r="AD48" s="3771"/>
      <c r="AE48" s="3771"/>
      <c r="AF48" s="3771"/>
      <c r="AG48" s="3771"/>
      <c r="AH48" s="3775"/>
    </row>
    <row r="49" spans="1:34">
      <c r="A49" s="6563"/>
      <c r="B49" s="3769" t="s">
        <v>283</v>
      </c>
      <c r="C49" s="3822" t="s">
        <v>1448</v>
      </c>
      <c r="D49" s="3823"/>
      <c r="E49" s="3823"/>
      <c r="F49" s="3823"/>
      <c r="G49" s="3823"/>
      <c r="H49" s="3823"/>
      <c r="I49" s="3823"/>
      <c r="J49" s="3823"/>
      <c r="K49" s="3823"/>
      <c r="L49" s="3823"/>
      <c r="M49" s="3823"/>
      <c r="N49" s="3823"/>
      <c r="O49" s="3823"/>
      <c r="P49" s="3823"/>
      <c r="Q49" s="3823"/>
      <c r="R49" s="3823"/>
      <c r="S49" s="3823"/>
      <c r="T49" s="3823"/>
      <c r="U49" s="3823"/>
      <c r="V49" s="3823"/>
      <c r="W49" s="3823"/>
      <c r="X49" s="3823"/>
      <c r="Y49" s="3823"/>
      <c r="Z49" s="3823"/>
      <c r="AA49" s="3823"/>
      <c r="AB49" s="3823"/>
      <c r="AC49" s="3823"/>
      <c r="AD49" s="3823"/>
      <c r="AE49" s="3823"/>
      <c r="AF49" s="3823"/>
      <c r="AG49" s="3823"/>
      <c r="AH49" s="3824"/>
    </row>
    <row r="50" spans="1:34">
      <c r="A50" s="6563"/>
      <c r="B50" s="3769" t="s">
        <v>283</v>
      </c>
      <c r="C50" s="3822" t="s">
        <v>1449</v>
      </c>
      <c r="D50" s="3823"/>
      <c r="E50" s="3823"/>
      <c r="F50" s="3823"/>
      <c r="G50" s="3823"/>
      <c r="H50" s="3823"/>
      <c r="I50" s="3823"/>
      <c r="J50" s="3823"/>
      <c r="K50" s="3823"/>
      <c r="L50" s="3823"/>
      <c r="M50" s="3823"/>
      <c r="N50" s="3823"/>
      <c r="O50" s="3823"/>
      <c r="P50" s="3823"/>
      <c r="Q50" s="3823"/>
      <c r="R50" s="3823"/>
      <c r="S50" s="3823"/>
      <c r="T50" s="3823"/>
      <c r="U50" s="3823"/>
      <c r="V50" s="3823"/>
      <c r="W50" s="3823"/>
      <c r="X50" s="3823"/>
      <c r="Y50" s="3823"/>
      <c r="Z50" s="3823"/>
      <c r="AA50" s="3823"/>
      <c r="AB50" s="3823"/>
      <c r="AC50" s="3823"/>
      <c r="AD50" s="3823"/>
      <c r="AE50" s="3823"/>
      <c r="AF50" s="3823"/>
      <c r="AG50" s="3823"/>
      <c r="AH50" s="3824"/>
    </row>
    <row r="51" spans="1:34">
      <c r="A51" s="6563"/>
      <c r="B51" s="3769" t="s">
        <v>77</v>
      </c>
      <c r="C51" s="3822" t="s">
        <v>1450</v>
      </c>
      <c r="D51" s="3823"/>
      <c r="E51" s="3823"/>
      <c r="F51" s="3823"/>
      <c r="G51" s="3823"/>
      <c r="H51" s="3823"/>
      <c r="I51" s="3823"/>
      <c r="J51" s="3823"/>
      <c r="K51" s="3823"/>
      <c r="L51" s="3823"/>
      <c r="M51" s="3823"/>
      <c r="N51" s="3823"/>
      <c r="O51" s="3823"/>
      <c r="P51" s="3823"/>
      <c r="Q51" s="3823"/>
      <c r="R51" s="3823"/>
      <c r="S51" s="3823"/>
      <c r="T51" s="3823"/>
      <c r="U51" s="3823"/>
      <c r="V51" s="3823"/>
      <c r="W51" s="3823"/>
      <c r="X51" s="3823"/>
      <c r="Y51" s="3823"/>
      <c r="Z51" s="3823"/>
      <c r="AA51" s="3823"/>
      <c r="AB51" s="3823"/>
      <c r="AC51" s="3823"/>
      <c r="AD51" s="3823"/>
      <c r="AE51" s="3823"/>
      <c r="AF51" s="3823"/>
      <c r="AG51" s="3823"/>
      <c r="AH51" s="3824"/>
    </row>
    <row r="52" spans="1:34">
      <c r="A52" s="6563"/>
      <c r="B52" s="3769" t="s">
        <v>95</v>
      </c>
      <c r="C52" s="3822" t="s">
        <v>1244</v>
      </c>
      <c r="D52" s="3825"/>
      <c r="E52" s="3825"/>
      <c r="F52" s="3825"/>
      <c r="G52" s="3825"/>
      <c r="H52" s="3825"/>
      <c r="I52" s="3825"/>
      <c r="J52" s="3825"/>
      <c r="K52" s="3825"/>
      <c r="L52" s="3825"/>
      <c r="M52" s="3825"/>
      <c r="N52" s="3825"/>
      <c r="O52" s="3825"/>
      <c r="P52" s="3825"/>
      <c r="Q52" s="3825"/>
      <c r="R52" s="3825"/>
      <c r="S52" s="6567" t="s">
        <v>1451</v>
      </c>
      <c r="T52" s="6568"/>
      <c r="U52" s="6568"/>
      <c r="V52" s="6568"/>
      <c r="W52" s="6568"/>
      <c r="X52" s="6568"/>
      <c r="Y52" s="6568"/>
      <c r="Z52" s="6568"/>
      <c r="AA52" s="6568"/>
      <c r="AB52" s="6568"/>
      <c r="AC52" s="6569"/>
      <c r="AD52" s="3825"/>
      <c r="AE52" s="3825"/>
      <c r="AF52" s="3825"/>
      <c r="AG52" s="3825"/>
      <c r="AH52" s="3826"/>
    </row>
    <row r="53" spans="1:34">
      <c r="A53" s="6563"/>
      <c r="B53" s="3777" t="s">
        <v>120</v>
      </c>
      <c r="C53" s="3778" t="s">
        <v>1079</v>
      </c>
      <c r="D53" s="3825"/>
      <c r="E53" s="3825"/>
      <c r="F53" s="3825"/>
      <c r="G53" s="3825"/>
      <c r="H53" s="3825"/>
      <c r="I53" s="3825"/>
      <c r="J53" s="3825"/>
      <c r="K53" s="3825"/>
      <c r="L53" s="3825"/>
      <c r="M53" s="3825"/>
      <c r="N53" s="3825"/>
      <c r="O53" s="3825"/>
      <c r="P53" s="3825"/>
      <c r="Q53" s="3825"/>
      <c r="R53" s="3825"/>
      <c r="S53" s="3825"/>
      <c r="T53" s="3825"/>
      <c r="U53" s="3825"/>
      <c r="V53" s="3825"/>
      <c r="W53" s="3825"/>
      <c r="X53" s="3825"/>
      <c r="Y53" s="3825"/>
      <c r="Z53" s="3825"/>
      <c r="AA53" s="3825"/>
      <c r="AB53" s="3825"/>
      <c r="AC53" s="3825"/>
      <c r="AD53" s="3825"/>
      <c r="AE53" s="3825"/>
      <c r="AF53" s="3825"/>
      <c r="AG53" s="3825"/>
      <c r="AH53" s="3826"/>
    </row>
    <row r="54" spans="1:34">
      <c r="A54" s="6563"/>
      <c r="B54" s="3777" t="s">
        <v>122</v>
      </c>
      <c r="C54" s="3778" t="s">
        <v>553</v>
      </c>
      <c r="D54" s="3825"/>
      <c r="E54" s="3825"/>
      <c r="F54" s="3825"/>
      <c r="G54" s="3825"/>
      <c r="H54" s="3825"/>
      <c r="I54" s="3825"/>
      <c r="J54" s="3825"/>
      <c r="K54" s="3825"/>
      <c r="L54" s="3825"/>
      <c r="M54" s="3825"/>
      <c r="N54" s="3825"/>
      <c r="O54" s="3825"/>
      <c r="P54" s="3825"/>
      <c r="Q54" s="3825"/>
      <c r="R54" s="3825"/>
      <c r="S54" s="3825"/>
      <c r="T54" s="3825"/>
      <c r="U54" s="3825"/>
      <c r="V54" s="3825"/>
      <c r="W54" s="3825"/>
      <c r="X54" s="3825"/>
      <c r="Y54" s="3825"/>
      <c r="Z54" s="3825"/>
      <c r="AA54" s="3825"/>
      <c r="AB54" s="3825"/>
      <c r="AC54" s="3825"/>
      <c r="AD54" s="6570" t="s">
        <v>419</v>
      </c>
      <c r="AE54" s="6571"/>
      <c r="AF54" s="6571"/>
      <c r="AG54" s="6571"/>
      <c r="AH54" s="6572"/>
    </row>
    <row r="55" spans="1:34">
      <c r="A55" s="6563"/>
      <c r="B55" s="3777" t="s">
        <v>293</v>
      </c>
      <c r="C55" s="3778" t="s">
        <v>733</v>
      </c>
      <c r="D55" s="3825"/>
      <c r="E55" s="3825"/>
      <c r="F55" s="3825"/>
      <c r="G55" s="3825"/>
      <c r="H55" s="3825"/>
      <c r="I55" s="3825"/>
      <c r="J55" s="3825"/>
      <c r="K55" s="3825"/>
      <c r="L55" s="3825"/>
      <c r="M55" s="3825"/>
      <c r="N55" s="3825"/>
      <c r="O55" s="3825"/>
      <c r="P55" s="3825"/>
      <c r="Q55" s="3825"/>
      <c r="R55" s="3825"/>
      <c r="S55" s="3825"/>
      <c r="T55" s="3825"/>
      <c r="U55" s="3825"/>
      <c r="V55" s="3825"/>
      <c r="W55" s="3825"/>
      <c r="X55" s="3825"/>
      <c r="Y55" s="3825"/>
      <c r="Z55" s="3825"/>
      <c r="AA55" s="3825"/>
      <c r="AB55" s="3825"/>
      <c r="AC55" s="3825"/>
      <c r="AD55" s="3825"/>
      <c r="AE55" s="3825"/>
      <c r="AF55" s="3825"/>
      <c r="AG55" s="3825"/>
      <c r="AH55" s="3826"/>
    </row>
    <row r="56" spans="1:34">
      <c r="A56" s="6563"/>
      <c r="B56" s="3777" t="s">
        <v>120</v>
      </c>
      <c r="C56" s="3778" t="s">
        <v>1195</v>
      </c>
      <c r="D56" s="3827"/>
      <c r="E56" s="3827"/>
      <c r="F56" s="3825"/>
      <c r="G56" s="3827"/>
      <c r="H56" s="3827"/>
      <c r="I56" s="3828"/>
      <c r="J56" s="3827"/>
      <c r="K56" s="3827"/>
      <c r="L56" s="3827"/>
      <c r="M56" s="3827"/>
      <c r="N56" s="3828"/>
      <c r="O56" s="3828"/>
      <c r="P56" s="3827"/>
      <c r="Q56" s="3827"/>
      <c r="R56" s="3825"/>
      <c r="S56" s="3827"/>
      <c r="T56" s="3825"/>
      <c r="U56" s="3825"/>
      <c r="V56" s="3827"/>
      <c r="W56" s="3827"/>
      <c r="X56" s="3827"/>
      <c r="Y56" s="3827"/>
      <c r="Z56" s="3827"/>
      <c r="AA56" s="3827"/>
      <c r="AB56" s="3827"/>
      <c r="AC56" s="3827"/>
      <c r="AD56" s="3827"/>
      <c r="AE56" s="3828"/>
      <c r="AF56" s="6573" t="s">
        <v>637</v>
      </c>
      <c r="AG56" s="6574"/>
      <c r="AH56" s="6575"/>
    </row>
    <row r="57" spans="1:34">
      <c r="A57" s="6563"/>
      <c r="B57" s="3777" t="s">
        <v>692</v>
      </c>
      <c r="C57" s="3778" t="s">
        <v>693</v>
      </c>
      <c r="D57" s="3825"/>
      <c r="E57" s="3825"/>
      <c r="F57" s="3825"/>
      <c r="G57" s="3825"/>
      <c r="H57" s="3825"/>
      <c r="I57" s="3825"/>
      <c r="J57" s="3825"/>
      <c r="K57" s="3825"/>
      <c r="L57" s="3825"/>
      <c r="M57" s="3825"/>
      <c r="N57" s="3825"/>
      <c r="O57" s="3825"/>
      <c r="P57" s="3825"/>
      <c r="Q57" s="3825"/>
      <c r="R57" s="3825"/>
      <c r="S57" s="3825"/>
      <c r="T57" s="3825"/>
      <c r="U57" s="3825"/>
      <c r="V57" s="3825"/>
      <c r="W57" s="3825"/>
      <c r="X57" s="3825"/>
      <c r="Y57" s="3825"/>
      <c r="Z57" s="3825"/>
      <c r="AA57" s="3825"/>
      <c r="AB57" s="3825"/>
      <c r="AC57" s="3825"/>
      <c r="AD57" s="3825"/>
      <c r="AE57" s="3825"/>
      <c r="AF57" s="3825"/>
      <c r="AG57" s="3825"/>
      <c r="AH57" s="3826"/>
    </row>
    <row r="58" spans="1:34">
      <c r="A58" s="6563"/>
      <c r="B58" s="3777" t="s">
        <v>127</v>
      </c>
      <c r="C58" s="3778" t="s">
        <v>657</v>
      </c>
      <c r="D58" s="3825"/>
      <c r="E58" s="3825"/>
      <c r="F58" s="3825"/>
      <c r="G58" s="3825"/>
      <c r="H58" s="3825"/>
      <c r="I58" s="3825"/>
      <c r="J58" s="3825"/>
      <c r="K58" s="3825"/>
      <c r="L58" s="3825"/>
      <c r="M58" s="3825"/>
      <c r="N58" s="3825"/>
      <c r="O58" s="3825"/>
      <c r="P58" s="3825"/>
      <c r="Q58" s="3825"/>
      <c r="R58" s="3825"/>
      <c r="S58" s="3825"/>
      <c r="T58" s="3825"/>
      <c r="U58" s="3825"/>
      <c r="V58" s="3825"/>
      <c r="W58" s="3825"/>
      <c r="X58" s="3825"/>
      <c r="Y58" s="3825"/>
      <c r="Z58" s="3825"/>
      <c r="AA58" s="3825"/>
      <c r="AB58" s="3825"/>
      <c r="AC58" s="3825"/>
      <c r="AD58" s="3825"/>
      <c r="AE58" s="3825"/>
      <c r="AF58" s="3825"/>
      <c r="AG58" s="3825"/>
      <c r="AH58" s="3826"/>
    </row>
    <row r="59" spans="1:34">
      <c r="A59" s="6563"/>
      <c r="B59" s="3777" t="s">
        <v>1452</v>
      </c>
      <c r="C59" s="3778" t="s">
        <v>1453</v>
      </c>
      <c r="D59" s="3825"/>
      <c r="E59" s="3825"/>
      <c r="F59" s="3825"/>
      <c r="G59" s="3825"/>
      <c r="H59" s="3825"/>
      <c r="I59" s="3825"/>
      <c r="J59" s="3825"/>
      <c r="K59" s="3825"/>
      <c r="L59" s="3825"/>
      <c r="M59" s="3825"/>
      <c r="N59" s="3825"/>
      <c r="O59" s="3825"/>
      <c r="P59" s="3825"/>
      <c r="Q59" s="3825"/>
      <c r="R59" s="3825"/>
      <c r="S59" s="3825"/>
      <c r="T59" s="3825"/>
      <c r="U59" s="3825"/>
      <c r="V59" s="3825"/>
      <c r="W59" s="3825"/>
      <c r="X59" s="3825"/>
      <c r="Y59" s="3825"/>
      <c r="Z59" s="3825"/>
      <c r="AA59" s="3825"/>
      <c r="AB59" s="3825"/>
      <c r="AC59" s="3825"/>
      <c r="AD59" s="3825"/>
      <c r="AE59" s="3825"/>
      <c r="AF59" s="3825"/>
      <c r="AG59" s="3825"/>
      <c r="AH59" s="3826"/>
    </row>
    <row r="60" spans="1:34">
      <c r="A60" s="6563"/>
      <c r="B60" s="3777" t="s">
        <v>554</v>
      </c>
      <c r="C60" s="3778" t="s">
        <v>555</v>
      </c>
      <c r="D60" s="6567" t="s">
        <v>637</v>
      </c>
      <c r="E60" s="6568"/>
      <c r="F60" s="6568"/>
      <c r="G60" s="6568"/>
      <c r="H60" s="6568"/>
      <c r="I60" s="6569"/>
      <c r="J60" s="3825"/>
      <c r="K60" s="3825"/>
      <c r="L60" s="3825"/>
      <c r="M60" s="3825"/>
      <c r="N60" s="3825"/>
      <c r="O60" s="3825"/>
      <c r="P60" s="3825"/>
      <c r="Q60" s="3825"/>
      <c r="R60" s="3825"/>
      <c r="S60" s="3825"/>
      <c r="T60" s="3789"/>
      <c r="U60" s="3825"/>
      <c r="V60" s="3825"/>
      <c r="W60" s="3825"/>
      <c r="X60" s="3825"/>
      <c r="Y60" s="3825"/>
      <c r="Z60" s="3825"/>
      <c r="AA60" s="3825"/>
      <c r="AB60" s="3825"/>
      <c r="AC60" s="3825"/>
      <c r="AD60" s="3825"/>
      <c r="AE60" s="3825"/>
      <c r="AF60" s="3825"/>
      <c r="AG60" s="3825"/>
      <c r="AH60" s="3826"/>
    </row>
    <row r="61" spans="1:34">
      <c r="A61" s="6563"/>
      <c r="B61" s="3777" t="s">
        <v>155</v>
      </c>
      <c r="C61" s="3778" t="s">
        <v>135</v>
      </c>
      <c r="D61" s="3789"/>
      <c r="E61" s="3789"/>
      <c r="F61" s="3789"/>
      <c r="G61" s="3789"/>
      <c r="H61" s="3772" t="s">
        <v>1386</v>
      </c>
      <c r="I61" s="6576" t="s">
        <v>1427</v>
      </c>
      <c r="J61" s="6577"/>
      <c r="K61" s="6577"/>
      <c r="L61" s="6577"/>
      <c r="M61" s="6577"/>
      <c r="N61" s="6577"/>
      <c r="O61" s="6577"/>
      <c r="P61" s="6577"/>
      <c r="Q61" s="6577"/>
      <c r="R61" s="6577"/>
      <c r="S61" s="6577"/>
      <c r="T61" s="3774" t="s">
        <v>1386</v>
      </c>
      <c r="U61" s="3829"/>
      <c r="V61" s="3825"/>
      <c r="W61" s="3825"/>
      <c r="X61" s="3825"/>
      <c r="Y61" s="3825"/>
      <c r="Z61" s="3825"/>
      <c r="AA61" s="3825"/>
      <c r="AB61" s="3825"/>
      <c r="AC61" s="3825"/>
      <c r="AD61" s="3825"/>
      <c r="AE61" s="3825"/>
      <c r="AF61" s="3825"/>
      <c r="AG61" s="3825"/>
      <c r="AH61" s="3826"/>
    </row>
    <row r="62" spans="1:34">
      <c r="A62" s="6563"/>
      <c r="B62" s="3777" t="s">
        <v>293</v>
      </c>
      <c r="C62" s="3830" t="s">
        <v>1454</v>
      </c>
      <c r="D62" s="3814"/>
      <c r="E62" s="3814"/>
      <c r="F62" s="3814"/>
      <c r="G62" s="3814"/>
      <c r="H62" s="3814"/>
      <c r="I62" s="3814"/>
      <c r="J62" s="3814"/>
      <c r="K62" s="3814"/>
      <c r="L62" s="3814"/>
      <c r="M62" s="3814"/>
      <c r="N62" s="3814"/>
      <c r="O62" s="3831"/>
      <c r="P62" s="3832"/>
      <c r="Q62" s="3832"/>
      <c r="R62" s="3832"/>
      <c r="S62" s="3832"/>
      <c r="T62" s="3823"/>
      <c r="U62" s="3832"/>
      <c r="V62" s="3832"/>
      <c r="W62" s="3832"/>
      <c r="X62" s="3832"/>
      <c r="Y62" s="3832"/>
      <c r="Z62" s="3832"/>
      <c r="AA62" s="3832"/>
      <c r="AB62" s="3832"/>
      <c r="AC62" s="3832"/>
      <c r="AD62" s="3832"/>
      <c r="AE62" s="3832"/>
      <c r="AF62" s="3832"/>
      <c r="AG62" s="3832"/>
      <c r="AH62" s="3833"/>
    </row>
    <row r="63" spans="1:34">
      <c r="A63" s="6563"/>
      <c r="B63" s="3777" t="s">
        <v>131</v>
      </c>
      <c r="C63" s="3778" t="s">
        <v>1201</v>
      </c>
      <c r="D63" s="6578" t="s">
        <v>637</v>
      </c>
      <c r="E63" s="6579"/>
      <c r="F63" s="6579"/>
      <c r="G63" s="6579"/>
      <c r="H63" s="6579"/>
      <c r="I63" s="6579"/>
      <c r="J63" s="6579"/>
      <c r="K63" s="6579"/>
      <c r="L63" s="6579"/>
      <c r="M63" s="6579"/>
      <c r="N63" s="6580"/>
      <c r="O63" s="3825"/>
      <c r="P63" s="3825"/>
      <c r="Q63" s="3825"/>
      <c r="R63" s="3825"/>
      <c r="S63" s="3825"/>
      <c r="T63" s="3825"/>
      <c r="U63" s="3825"/>
      <c r="V63" s="3825"/>
      <c r="W63" s="3825"/>
      <c r="X63" s="3825"/>
      <c r="Y63" s="3825"/>
      <c r="Z63" s="3825"/>
      <c r="AA63" s="3825"/>
      <c r="AB63" s="3825"/>
      <c r="AC63" s="3825"/>
      <c r="AD63" s="3825"/>
      <c r="AE63" s="3825"/>
      <c r="AF63" s="3825"/>
      <c r="AG63" s="3825"/>
      <c r="AH63" s="3826"/>
    </row>
    <row r="64" spans="1:34">
      <c r="A64" s="6563"/>
      <c r="B64" s="3787" t="s">
        <v>129</v>
      </c>
      <c r="C64" s="3788" t="s">
        <v>474</v>
      </c>
      <c r="D64" s="3789"/>
      <c r="E64" s="3789"/>
      <c r="F64" s="3789"/>
      <c r="G64" s="3789"/>
      <c r="H64" s="3789"/>
      <c r="I64" s="3789"/>
      <c r="J64" s="3789"/>
      <c r="K64" s="3789"/>
      <c r="L64" s="3789"/>
      <c r="M64" s="3789"/>
      <c r="N64" s="3789"/>
      <c r="O64" s="3789"/>
      <c r="P64" s="3789"/>
      <c r="Q64" s="3789"/>
      <c r="R64" s="3789"/>
      <c r="S64" s="3789"/>
      <c r="T64" s="3789"/>
      <c r="U64" s="3789"/>
      <c r="V64" s="3789"/>
      <c r="W64" s="3789"/>
      <c r="X64" s="3789"/>
      <c r="Y64" s="3789"/>
      <c r="Z64" s="3789"/>
      <c r="AA64" s="3789"/>
      <c r="AB64" s="3789"/>
      <c r="AC64" s="3789"/>
      <c r="AD64" s="3789"/>
      <c r="AE64" s="3789"/>
      <c r="AF64" s="3789"/>
      <c r="AG64" s="3789"/>
      <c r="AH64" s="3790"/>
    </row>
    <row r="65" spans="1:49">
      <c r="A65" s="6541" t="s">
        <v>136</v>
      </c>
      <c r="B65" s="3791" t="s">
        <v>283</v>
      </c>
      <c r="C65" s="3791" t="s">
        <v>1036</v>
      </c>
      <c r="D65" s="3792"/>
      <c r="E65" s="3792"/>
      <c r="F65" s="6556" t="s">
        <v>1418</v>
      </c>
      <c r="G65" s="6556"/>
      <c r="H65" s="6556"/>
      <c r="I65" s="6556"/>
      <c r="J65" s="6556"/>
      <c r="K65" s="6556"/>
      <c r="L65" s="6556"/>
      <c r="M65" s="6556"/>
      <c r="N65" s="6556"/>
      <c r="O65" s="6556"/>
      <c r="P65" s="6556"/>
      <c r="Q65" s="6556"/>
      <c r="R65" s="6556"/>
      <c r="S65" s="6556"/>
      <c r="T65" s="6556"/>
      <c r="U65" s="6556"/>
      <c r="V65" s="6556"/>
      <c r="W65" s="6556"/>
      <c r="X65" s="6556"/>
      <c r="Y65" s="6556"/>
      <c r="Z65" s="6556"/>
      <c r="AA65" s="6556"/>
      <c r="AB65" s="6556"/>
      <c r="AC65" s="6556"/>
      <c r="AD65" s="6556"/>
      <c r="AE65" s="3772" t="s">
        <v>1386</v>
      </c>
      <c r="AF65" s="6557" t="s">
        <v>112</v>
      </c>
      <c r="AG65" s="6557"/>
      <c r="AH65" s="6558"/>
    </row>
    <row r="66" spans="1:49">
      <c r="A66" s="6542"/>
      <c r="B66" s="3807" t="s">
        <v>95</v>
      </c>
      <c r="C66" s="3807" t="s">
        <v>1058</v>
      </c>
      <c r="D66" s="3746"/>
      <c r="E66" s="3746"/>
      <c r="F66" s="6539" t="s">
        <v>1418</v>
      </c>
      <c r="G66" s="6539"/>
      <c r="H66" s="6539"/>
      <c r="I66" s="6539"/>
      <c r="J66" s="6539"/>
      <c r="K66" s="6539"/>
      <c r="L66" s="6539"/>
      <c r="M66" s="6539"/>
      <c r="N66" s="6539"/>
      <c r="O66" s="6539"/>
      <c r="P66" s="6539"/>
      <c r="Q66" s="6539"/>
      <c r="R66" s="6539"/>
      <c r="S66" s="6539"/>
      <c r="T66" s="6539"/>
      <c r="U66" s="6539"/>
      <c r="V66" s="6539"/>
      <c r="W66" s="6539"/>
      <c r="X66" s="6539"/>
      <c r="Y66" s="6539"/>
      <c r="Z66" s="6539"/>
      <c r="AA66" s="6539"/>
      <c r="AB66" s="6539"/>
      <c r="AC66" s="6539"/>
      <c r="AD66" s="6539"/>
      <c r="AE66" s="3774" t="s">
        <v>1386</v>
      </c>
      <c r="AF66" s="6559" t="s">
        <v>112</v>
      </c>
      <c r="AG66" s="6559"/>
      <c r="AH66" s="6560"/>
    </row>
    <row r="67" spans="1:49">
      <c r="A67" s="6542"/>
      <c r="B67" s="3807" t="s">
        <v>95</v>
      </c>
      <c r="C67" s="3807" t="s">
        <v>620</v>
      </c>
      <c r="D67" s="3746"/>
      <c r="E67" s="3746"/>
      <c r="F67" s="6539" t="s">
        <v>1418</v>
      </c>
      <c r="G67" s="6539"/>
      <c r="H67" s="6539"/>
      <c r="I67" s="6539"/>
      <c r="J67" s="6539"/>
      <c r="K67" s="6539"/>
      <c r="L67" s="6539"/>
      <c r="M67" s="6539"/>
      <c r="N67" s="6539"/>
      <c r="O67" s="6539"/>
      <c r="P67" s="6539"/>
      <c r="Q67" s="6539"/>
      <c r="R67" s="6539"/>
      <c r="S67" s="6539"/>
      <c r="T67" s="6539"/>
      <c r="U67" s="6539"/>
      <c r="V67" s="6539"/>
      <c r="W67" s="6539"/>
      <c r="X67" s="6539"/>
      <c r="Y67" s="6539"/>
      <c r="Z67" s="6539"/>
      <c r="AA67" s="6539"/>
      <c r="AB67" s="6539"/>
      <c r="AC67" s="6539"/>
      <c r="AD67" s="6539"/>
      <c r="AE67" s="3774" t="s">
        <v>1386</v>
      </c>
      <c r="AF67" s="3834"/>
      <c r="AG67" s="3834"/>
      <c r="AH67" s="3835"/>
    </row>
    <row r="68" spans="1:49">
      <c r="A68" s="6542"/>
      <c r="B68" s="3807" t="s">
        <v>95</v>
      </c>
      <c r="C68" s="3807" t="s">
        <v>1037</v>
      </c>
      <c r="D68" s="6561" t="s">
        <v>1423</v>
      </c>
      <c r="E68" s="6561"/>
      <c r="F68" s="6561"/>
      <c r="G68" s="3774" t="s">
        <v>1386</v>
      </c>
      <c r="H68" s="6562" t="s">
        <v>1429</v>
      </c>
      <c r="I68" s="6562"/>
      <c r="J68" s="6562"/>
      <c r="K68" s="3774" t="s">
        <v>1386</v>
      </c>
      <c r="L68" s="6539" t="s">
        <v>1430</v>
      </c>
      <c r="M68" s="6539"/>
      <c r="N68" s="6539"/>
      <c r="O68" s="6539"/>
      <c r="P68" s="6539"/>
      <c r="Q68" s="6539"/>
      <c r="R68" s="6539"/>
      <c r="S68" s="6539"/>
      <c r="T68" s="6539"/>
      <c r="U68" s="6539"/>
      <c r="V68" s="6539"/>
      <c r="W68" s="6539"/>
      <c r="X68" s="6539"/>
      <c r="Y68" s="6539"/>
      <c r="Z68" s="6539"/>
      <c r="AA68" s="6539"/>
      <c r="AB68" s="6539"/>
      <c r="AC68" s="6539"/>
      <c r="AD68" s="6539"/>
      <c r="AE68" s="6539"/>
      <c r="AF68" s="6539"/>
      <c r="AG68" s="3774" t="s">
        <v>1386</v>
      </c>
      <c r="AH68" s="3797"/>
    </row>
    <row r="69" spans="1:49">
      <c r="A69" s="6542"/>
      <c r="B69" s="3807" t="s">
        <v>739</v>
      </c>
      <c r="C69" s="3807" t="s">
        <v>740</v>
      </c>
      <c r="D69" s="3746"/>
      <c r="E69" s="3746"/>
      <c r="F69" s="6539" t="s">
        <v>1418</v>
      </c>
      <c r="G69" s="6539"/>
      <c r="H69" s="6539"/>
      <c r="I69" s="6539"/>
      <c r="J69" s="6539"/>
      <c r="K69" s="6539"/>
      <c r="L69" s="6539"/>
      <c r="M69" s="6539"/>
      <c r="N69" s="6539"/>
      <c r="O69" s="6539"/>
      <c r="P69" s="6539"/>
      <c r="Q69" s="6539"/>
      <c r="R69" s="6539"/>
      <c r="S69" s="6539"/>
      <c r="T69" s="6539"/>
      <c r="U69" s="6539"/>
      <c r="V69" s="6539"/>
      <c r="W69" s="6539"/>
      <c r="X69" s="6539"/>
      <c r="Y69" s="6539"/>
      <c r="Z69" s="6539"/>
      <c r="AA69" s="6539"/>
      <c r="AB69" s="6539"/>
      <c r="AC69" s="6539"/>
      <c r="AD69" s="6539"/>
      <c r="AE69" s="3774" t="s">
        <v>1386</v>
      </c>
      <c r="AF69" s="3746"/>
      <c r="AG69" s="3746"/>
      <c r="AH69" s="3797"/>
    </row>
    <row r="70" spans="1:49">
      <c r="A70" s="6542"/>
      <c r="B70" s="3807" t="s">
        <v>106</v>
      </c>
      <c r="C70" s="3807" t="s">
        <v>1334</v>
      </c>
      <c r="D70" s="3746"/>
      <c r="E70" s="3746"/>
      <c r="F70" s="6539" t="s">
        <v>1418</v>
      </c>
      <c r="G70" s="6539"/>
      <c r="H70" s="6539"/>
      <c r="I70" s="6539"/>
      <c r="J70" s="6539"/>
      <c r="K70" s="6539"/>
      <c r="L70" s="6539"/>
      <c r="M70" s="6539"/>
      <c r="N70" s="6539"/>
      <c r="O70" s="6539"/>
      <c r="P70" s="6539"/>
      <c r="Q70" s="6539"/>
      <c r="R70" s="6539"/>
      <c r="S70" s="6539"/>
      <c r="T70" s="6539"/>
      <c r="U70" s="6539"/>
      <c r="V70" s="6539"/>
      <c r="W70" s="6539"/>
      <c r="X70" s="6539"/>
      <c r="Y70" s="6539"/>
      <c r="Z70" s="6539"/>
      <c r="AA70" s="6539"/>
      <c r="AB70" s="6539"/>
      <c r="AC70" s="6539"/>
      <c r="AD70" s="6539"/>
      <c r="AE70" s="3774" t="s">
        <v>1386</v>
      </c>
      <c r="AF70" s="3746"/>
      <c r="AG70" s="3746"/>
      <c r="AH70" s="3797"/>
    </row>
    <row r="71" spans="1:49">
      <c r="A71" s="6543"/>
      <c r="B71" s="3836" t="s">
        <v>108</v>
      </c>
      <c r="C71" s="3836" t="s">
        <v>1106</v>
      </c>
      <c r="D71" s="3803"/>
      <c r="E71" s="3803"/>
      <c r="F71" s="6540" t="s">
        <v>1418</v>
      </c>
      <c r="G71" s="6540"/>
      <c r="H71" s="6540"/>
      <c r="I71" s="6540"/>
      <c r="J71" s="6540"/>
      <c r="K71" s="6540"/>
      <c r="L71" s="6540"/>
      <c r="M71" s="6540"/>
      <c r="N71" s="6540"/>
      <c r="O71" s="6540"/>
      <c r="P71" s="6540"/>
      <c r="Q71" s="6540"/>
      <c r="R71" s="6540"/>
      <c r="S71" s="6540"/>
      <c r="T71" s="6540"/>
      <c r="U71" s="6540"/>
      <c r="V71" s="6540"/>
      <c r="W71" s="6540"/>
      <c r="X71" s="6540"/>
      <c r="Y71" s="6540"/>
      <c r="Z71" s="6540"/>
      <c r="AA71" s="6540"/>
      <c r="AB71" s="6540"/>
      <c r="AC71" s="6540"/>
      <c r="AD71" s="6540"/>
      <c r="AE71" s="3837" t="s">
        <v>1386</v>
      </c>
      <c r="AF71" s="3803"/>
      <c r="AG71" s="3803"/>
      <c r="AH71" s="3804"/>
    </row>
    <row r="72" spans="1:49">
      <c r="A72" s="6541" t="s">
        <v>144</v>
      </c>
      <c r="B72" s="3791" t="s">
        <v>145</v>
      </c>
      <c r="C72" s="3791" t="s">
        <v>148</v>
      </c>
      <c r="D72" s="3792"/>
      <c r="E72" s="3792"/>
      <c r="F72" s="3792"/>
      <c r="G72" s="3792"/>
      <c r="H72" s="3792"/>
      <c r="I72" s="3792"/>
      <c r="J72" s="3792"/>
      <c r="K72" s="3792"/>
      <c r="L72" s="3792"/>
      <c r="M72" s="3792"/>
      <c r="N72" s="3792"/>
      <c r="O72" s="3792"/>
      <c r="P72" s="3792"/>
      <c r="Q72" s="3792"/>
      <c r="R72" s="3792"/>
      <c r="S72" s="3792"/>
      <c r="T72" s="3792"/>
      <c r="U72" s="3792"/>
      <c r="V72" s="3792"/>
      <c r="W72" s="3792"/>
      <c r="X72" s="3838"/>
      <c r="Y72" s="3792"/>
      <c r="Z72" s="3792"/>
      <c r="AA72" s="3838"/>
      <c r="AB72" s="3792"/>
      <c r="AC72" s="3792"/>
      <c r="AD72" s="3792"/>
      <c r="AE72" s="3792"/>
      <c r="AF72" s="3792"/>
      <c r="AG72" s="3792"/>
      <c r="AH72" s="3794"/>
    </row>
    <row r="73" spans="1:49">
      <c r="A73" s="6542"/>
      <c r="B73" s="3807" t="s">
        <v>1038</v>
      </c>
      <c r="C73" s="3807" t="s">
        <v>618</v>
      </c>
      <c r="D73" s="3746"/>
      <c r="E73" s="3746"/>
      <c r="F73" s="3746"/>
      <c r="G73" s="3746"/>
      <c r="H73" s="3746"/>
      <c r="I73" s="3746"/>
      <c r="J73" s="3746"/>
      <c r="K73" s="3746"/>
      <c r="L73" s="3746"/>
      <c r="M73" s="3746"/>
      <c r="N73" s="3746"/>
      <c r="O73" s="3746"/>
      <c r="P73" s="3746"/>
      <c r="Q73" s="3746"/>
      <c r="R73" s="3834"/>
      <c r="S73" s="3834"/>
      <c r="T73" s="3834"/>
      <c r="U73" s="3834"/>
      <c r="V73" s="3834"/>
      <c r="W73" s="3834"/>
      <c r="X73" s="3834"/>
      <c r="Y73" s="3834"/>
      <c r="Z73" s="3834"/>
      <c r="AA73" s="3834"/>
      <c r="AB73" s="3834"/>
      <c r="AC73" s="3834"/>
      <c r="AD73" s="3834"/>
      <c r="AE73" s="3834"/>
      <c r="AF73" s="3834"/>
      <c r="AG73" s="3834"/>
      <c r="AH73" s="3835"/>
    </row>
    <row r="74" spans="1:49">
      <c r="A74" s="6542"/>
      <c r="B74" s="3795" t="s">
        <v>145</v>
      </c>
      <c r="C74" s="3795" t="s">
        <v>1251</v>
      </c>
      <c r="D74" s="3739"/>
      <c r="E74" s="3739"/>
      <c r="F74" s="3839"/>
      <c r="G74" s="3839"/>
      <c r="H74" s="3839"/>
      <c r="I74" s="3774" t="s">
        <v>1386</v>
      </c>
      <c r="J74" s="3839"/>
      <c r="K74" s="3739"/>
      <c r="L74" s="3739"/>
      <c r="M74" s="3739"/>
      <c r="N74" s="3739"/>
      <c r="O74" s="3739"/>
      <c r="P74" s="3739"/>
      <c r="Q74" s="3739"/>
      <c r="R74" s="3739"/>
      <c r="S74" s="3739"/>
      <c r="T74" s="3739"/>
      <c r="U74" s="3739"/>
      <c r="V74" s="3739"/>
      <c r="W74" s="3739"/>
      <c r="X74" s="3754" t="s">
        <v>1431</v>
      </c>
      <c r="Y74" s="3739"/>
      <c r="Z74" s="3739"/>
      <c r="AA74" s="3751" t="s">
        <v>1432</v>
      </c>
      <c r="AB74" s="3739"/>
      <c r="AC74" s="3739"/>
      <c r="AD74" s="3739"/>
      <c r="AE74" s="3739"/>
      <c r="AF74" s="3739"/>
      <c r="AG74" s="3739"/>
      <c r="AH74" s="3820"/>
    </row>
    <row r="75" spans="1:49">
      <c r="A75" s="6542"/>
      <c r="B75" s="3795" t="s">
        <v>1038</v>
      </c>
      <c r="C75" s="3795" t="s">
        <v>1455</v>
      </c>
      <c r="D75" s="3739"/>
      <c r="E75" s="3739"/>
      <c r="F75" s="3839"/>
      <c r="G75" s="3839"/>
      <c r="H75" s="3839"/>
      <c r="I75" s="3774"/>
      <c r="J75" s="3839"/>
      <c r="K75" s="3739"/>
      <c r="L75" s="3739"/>
      <c r="M75" s="3739"/>
      <c r="N75" s="3739"/>
      <c r="O75" s="3739"/>
      <c r="P75" s="3739"/>
      <c r="Q75" s="3739"/>
      <c r="R75" s="3739"/>
      <c r="S75" s="6544" t="s">
        <v>482</v>
      </c>
      <c r="T75" s="6544"/>
      <c r="U75" s="6544"/>
      <c r="V75" s="6544"/>
      <c r="W75" s="6544"/>
      <c r="X75" s="6544"/>
      <c r="Y75" s="6544"/>
      <c r="Z75" s="6544"/>
      <c r="AA75" s="6544"/>
      <c r="AB75" s="6544"/>
      <c r="AC75" s="6544"/>
      <c r="AD75" s="6545"/>
      <c r="AE75" s="3739"/>
      <c r="AF75" s="3739"/>
      <c r="AG75" s="3739"/>
      <c r="AH75" s="3820"/>
    </row>
    <row r="76" spans="1:49">
      <c r="A76" s="6542"/>
      <c r="B76" s="3807" t="s">
        <v>149</v>
      </c>
      <c r="C76" s="3807" t="s">
        <v>151</v>
      </c>
      <c r="D76" s="3746"/>
      <c r="E76" s="3746"/>
      <c r="F76" s="3746"/>
      <c r="G76" s="3746"/>
      <c r="H76" s="3746"/>
      <c r="I76" s="3746"/>
      <c r="J76" s="3746"/>
      <c r="K76" s="3746"/>
      <c r="L76" s="3746"/>
      <c r="M76" s="3834"/>
      <c r="N76" s="3834"/>
      <c r="O76" s="3834"/>
      <c r="P76" s="3834"/>
      <c r="Q76" s="3834"/>
      <c r="R76" s="3834"/>
      <c r="S76" s="3834"/>
      <c r="T76" s="3834"/>
      <c r="U76" s="3834"/>
      <c r="V76" s="3834"/>
      <c r="W76" s="3834"/>
      <c r="X76" s="3834"/>
      <c r="Y76" s="3834"/>
      <c r="Z76" s="3834"/>
      <c r="AA76" s="3834"/>
      <c r="AB76" s="3834"/>
      <c r="AC76" s="3834"/>
      <c r="AD76" s="3834"/>
      <c r="AE76" s="3834"/>
      <c r="AF76" s="3834"/>
      <c r="AG76" s="3834"/>
      <c r="AH76" s="3835"/>
    </row>
    <row r="77" spans="1:49">
      <c r="A77" s="6542"/>
      <c r="B77" s="3795" t="s">
        <v>149</v>
      </c>
      <c r="C77" s="3795" t="s">
        <v>1252</v>
      </c>
      <c r="D77" s="3739"/>
      <c r="E77" s="3739"/>
      <c r="F77" s="3739"/>
      <c r="G77" s="3739"/>
      <c r="H77" s="3739"/>
      <c r="I77" s="3840"/>
      <c r="J77" s="3739"/>
      <c r="K77" s="3739"/>
      <c r="L77" s="3739"/>
      <c r="M77" s="3739"/>
      <c r="N77" s="3739"/>
      <c r="O77" s="3739"/>
      <c r="P77" s="3739"/>
      <c r="Q77" s="3739"/>
      <c r="R77" s="3739"/>
      <c r="S77" s="3739"/>
      <c r="T77" s="3739"/>
      <c r="U77" s="3739"/>
      <c r="V77" s="3739"/>
      <c r="W77" s="3739"/>
      <c r="X77" s="3739"/>
      <c r="Y77" s="3739"/>
      <c r="Z77" s="3739"/>
      <c r="AA77" s="3739"/>
      <c r="AB77" s="3739"/>
      <c r="AC77" s="3739"/>
      <c r="AD77" s="3739"/>
      <c r="AE77" s="3739"/>
      <c r="AF77" s="3739"/>
      <c r="AG77" s="3746"/>
      <c r="AH77" s="3797"/>
    </row>
    <row r="78" spans="1:49">
      <c r="A78" s="6542"/>
      <c r="B78" s="3795" t="s">
        <v>149</v>
      </c>
      <c r="C78" s="3795" t="s">
        <v>1456</v>
      </c>
      <c r="D78" s="3739"/>
      <c r="E78" s="3739"/>
      <c r="F78" s="3739"/>
      <c r="G78" s="3739"/>
      <c r="H78" s="3739"/>
      <c r="I78" s="3739"/>
      <c r="J78" s="3739"/>
      <c r="K78" s="3739"/>
      <c r="L78" s="3739"/>
      <c r="M78" s="3739"/>
      <c r="N78" s="3739"/>
      <c r="O78" s="3739"/>
      <c r="P78" s="3739"/>
      <c r="Q78" s="3739"/>
      <c r="R78" s="3739"/>
      <c r="S78" s="3739"/>
      <c r="T78" s="3739"/>
      <c r="U78" s="3739"/>
      <c r="V78" s="3739"/>
      <c r="W78" s="3739"/>
      <c r="X78" s="3739"/>
      <c r="Y78" s="3739"/>
      <c r="Z78" s="3739"/>
      <c r="AA78" s="3739"/>
      <c r="AB78" s="3739"/>
      <c r="AC78" s="3739"/>
      <c r="AD78" s="3739"/>
      <c r="AE78" s="3739"/>
      <c r="AF78" s="3739"/>
      <c r="AG78" s="3746"/>
      <c r="AH78" s="3797"/>
    </row>
    <row r="79" spans="1:49" s="2241" customFormat="1">
      <c r="A79" s="6543"/>
      <c r="B79" s="3836" t="s">
        <v>149</v>
      </c>
      <c r="C79" s="3836" t="s">
        <v>1207</v>
      </c>
      <c r="D79" s="3803"/>
      <c r="E79" s="3803"/>
      <c r="F79" s="3803"/>
      <c r="G79" s="3803"/>
      <c r="H79" s="3803"/>
      <c r="I79" s="3803"/>
      <c r="J79" s="3803"/>
      <c r="K79" s="3803"/>
      <c r="L79" s="3803"/>
      <c r="M79" s="3803"/>
      <c r="N79" s="3803"/>
      <c r="O79" s="3803"/>
      <c r="P79" s="3803"/>
      <c r="Q79" s="3803"/>
      <c r="R79" s="3803"/>
      <c r="S79" s="3803"/>
      <c r="T79" s="3803"/>
      <c r="U79" s="3803"/>
      <c r="V79" s="3803"/>
      <c r="W79" s="3803"/>
      <c r="X79" s="3837" t="s">
        <v>1386</v>
      </c>
      <c r="Y79" s="6546" t="s">
        <v>1422</v>
      </c>
      <c r="Z79" s="6546"/>
      <c r="AA79" s="3837" t="s">
        <v>1386</v>
      </c>
      <c r="AB79" s="3803"/>
      <c r="AC79" s="3803"/>
      <c r="AD79" s="3803"/>
      <c r="AE79" s="3803"/>
      <c r="AF79" s="3803"/>
      <c r="AG79" s="3803"/>
      <c r="AH79" s="3804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 spans="1:49">
      <c r="A80" s="6547" t="s">
        <v>13</v>
      </c>
      <c r="B80" s="3791" t="s">
        <v>283</v>
      </c>
      <c r="C80" s="3791" t="s">
        <v>1005</v>
      </c>
      <c r="D80" s="3841" t="s">
        <v>1386</v>
      </c>
      <c r="E80" s="3792"/>
      <c r="F80" s="3792"/>
      <c r="G80" s="3792"/>
      <c r="H80" s="3772" t="s">
        <v>1386</v>
      </c>
      <c r="I80" s="6550" t="s">
        <v>1427</v>
      </c>
      <c r="J80" s="6550"/>
      <c r="K80" s="6550"/>
      <c r="L80" s="6550"/>
      <c r="M80" s="6550"/>
      <c r="N80" s="6550"/>
      <c r="O80" s="6550"/>
      <c r="P80" s="6550"/>
      <c r="Q80" s="6550"/>
      <c r="R80" s="6550"/>
      <c r="S80" s="6550"/>
      <c r="T80" s="3772" t="s">
        <v>1386</v>
      </c>
      <c r="U80" s="3792"/>
      <c r="V80" s="3792"/>
      <c r="W80" s="3792"/>
      <c r="X80" s="3842" t="s">
        <v>1431</v>
      </c>
      <c r="Y80" s="3792"/>
      <c r="Z80" s="3792"/>
      <c r="AA80" s="3843" t="s">
        <v>1432</v>
      </c>
      <c r="AB80" s="3792"/>
      <c r="AC80" s="6551" t="s">
        <v>1457</v>
      </c>
      <c r="AD80" s="6551"/>
      <c r="AE80" s="6551"/>
      <c r="AF80" s="6551"/>
      <c r="AG80" s="6551"/>
      <c r="AH80" s="6552"/>
    </row>
    <row r="81" spans="1:34">
      <c r="A81" s="6548"/>
      <c r="B81" s="3807" t="s">
        <v>602</v>
      </c>
      <c r="C81" s="3795" t="s">
        <v>660</v>
      </c>
      <c r="D81" s="3746"/>
      <c r="E81" s="3746"/>
      <c r="F81" s="3746"/>
      <c r="G81" s="3746"/>
      <c r="H81" s="3746"/>
      <c r="I81" s="3746"/>
      <c r="J81" s="3746"/>
      <c r="K81" s="3746"/>
      <c r="L81" s="3746"/>
      <c r="M81" s="3746"/>
      <c r="N81" s="6553" t="s">
        <v>482</v>
      </c>
      <c r="O81" s="6554"/>
      <c r="P81" s="6554"/>
      <c r="Q81" s="6555"/>
      <c r="R81" s="3746"/>
      <c r="S81" s="3746"/>
      <c r="T81" s="3746"/>
      <c r="U81" s="3746"/>
      <c r="V81" s="3746"/>
      <c r="W81" s="3746"/>
      <c r="X81" s="3844"/>
      <c r="Y81" s="3746"/>
      <c r="Z81" s="3746"/>
      <c r="AA81" s="3803"/>
      <c r="AB81" s="3746"/>
      <c r="AC81" s="3746"/>
      <c r="AD81" s="3746"/>
      <c r="AE81" s="3746"/>
      <c r="AF81" s="3746"/>
      <c r="AG81" s="3746"/>
      <c r="AH81" s="3797"/>
    </row>
    <row r="82" spans="1:34">
      <c r="A82" s="6548"/>
      <c r="B82" s="3807" t="s">
        <v>561</v>
      </c>
      <c r="C82" s="3795" t="s">
        <v>88</v>
      </c>
      <c r="D82" s="3746"/>
      <c r="E82" s="3746"/>
      <c r="F82" s="3746"/>
      <c r="G82" s="3746"/>
      <c r="H82" s="3746"/>
      <c r="I82" s="3774" t="s">
        <v>1386</v>
      </c>
      <c r="J82" s="6520" t="s">
        <v>1427</v>
      </c>
      <c r="K82" s="6520"/>
      <c r="L82" s="6520"/>
      <c r="M82" s="6520"/>
      <c r="N82" s="6520"/>
      <c r="O82" s="6520"/>
      <c r="P82" s="6520"/>
      <c r="Q82" s="6520"/>
      <c r="R82" s="6520"/>
      <c r="S82" s="6520"/>
      <c r="T82" s="3774" t="s">
        <v>1386</v>
      </c>
      <c r="U82" s="3746"/>
      <c r="V82" s="3746"/>
      <c r="W82" s="3746"/>
      <c r="X82" s="3754" t="s">
        <v>1431</v>
      </c>
      <c r="Y82" s="3746"/>
      <c r="Z82" s="3845"/>
      <c r="AA82" s="3751" t="s">
        <v>1432</v>
      </c>
      <c r="AB82" s="3745"/>
      <c r="AC82" s="3746"/>
      <c r="AD82" s="3746"/>
      <c r="AE82" s="3746"/>
      <c r="AF82" s="3746"/>
      <c r="AG82" s="3746"/>
      <c r="AH82" s="3797"/>
    </row>
    <row r="83" spans="1:34">
      <c r="A83" s="6548"/>
      <c r="B83" s="3795" t="s">
        <v>1211</v>
      </c>
      <c r="C83" s="3795" t="s">
        <v>1212</v>
      </c>
      <c r="D83" s="3774" t="s">
        <v>1386</v>
      </c>
      <c r="E83" s="3746"/>
      <c r="F83" s="3746"/>
      <c r="G83" s="3739"/>
      <c r="H83" s="3739"/>
      <c r="I83" s="3774" t="s">
        <v>1386</v>
      </c>
      <c r="J83" s="6520" t="s">
        <v>1427</v>
      </c>
      <c r="K83" s="6520"/>
      <c r="L83" s="6520"/>
      <c r="M83" s="6520"/>
      <c r="N83" s="6520"/>
      <c r="O83" s="6520"/>
      <c r="P83" s="6520"/>
      <c r="Q83" s="6520"/>
      <c r="R83" s="6520"/>
      <c r="S83" s="6520"/>
      <c r="T83" s="3774" t="s">
        <v>1386</v>
      </c>
      <c r="U83" s="3746"/>
      <c r="V83" s="3739"/>
      <c r="W83" s="3739"/>
      <c r="X83" s="3754" t="s">
        <v>1431</v>
      </c>
      <c r="Y83" s="3746"/>
      <c r="Z83" s="3746"/>
      <c r="AA83" s="3846" t="s">
        <v>1432</v>
      </c>
      <c r="AB83" s="3746"/>
      <c r="AC83" s="3739"/>
      <c r="AD83" s="3739"/>
      <c r="AE83" s="3746"/>
      <c r="AF83" s="3734"/>
      <c r="AG83" s="3734"/>
      <c r="AH83" s="3738"/>
    </row>
    <row r="84" spans="1:34">
      <c r="A84" s="6549"/>
      <c r="B84" s="3808" t="s">
        <v>561</v>
      </c>
      <c r="C84" s="3808" t="s">
        <v>396</v>
      </c>
      <c r="D84" s="3847" t="s">
        <v>1386</v>
      </c>
      <c r="E84" s="3848" t="s">
        <v>1258</v>
      </c>
      <c r="F84" s="3849"/>
      <c r="G84" s="3810"/>
      <c r="H84" s="3810"/>
      <c r="I84" s="3847" t="s">
        <v>1386</v>
      </c>
      <c r="J84" s="6521" t="s">
        <v>1427</v>
      </c>
      <c r="K84" s="6521"/>
      <c r="L84" s="6521"/>
      <c r="M84" s="6521"/>
      <c r="N84" s="3847" t="s">
        <v>1386</v>
      </c>
      <c r="O84" s="3850"/>
      <c r="P84" s="3850"/>
      <c r="Q84" s="3850"/>
      <c r="R84" s="3851"/>
      <c r="S84" s="3851"/>
      <c r="T84" s="3851"/>
      <c r="U84" s="3851"/>
      <c r="V84" s="3851"/>
      <c r="W84" s="3851"/>
      <c r="X84" s="3809"/>
      <c r="Y84" s="3851"/>
      <c r="Z84" s="3852"/>
      <c r="AA84" s="3852"/>
      <c r="AB84" s="3852"/>
      <c r="AC84" s="3852"/>
      <c r="AD84" s="3852"/>
      <c r="AE84" s="3852"/>
      <c r="AF84" s="3852"/>
      <c r="AG84" s="3852"/>
      <c r="AH84" s="3853"/>
    </row>
    <row r="85" spans="1:34" ht="15" customHeight="1">
      <c r="A85" s="6522" t="s">
        <v>751</v>
      </c>
      <c r="B85" s="3854" t="s">
        <v>95</v>
      </c>
      <c r="C85" s="3855" t="s">
        <v>303</v>
      </c>
      <c r="D85" s="6525" t="s">
        <v>711</v>
      </c>
      <c r="E85" s="6526"/>
      <c r="F85" s="3856"/>
      <c r="G85" s="6525" t="s">
        <v>1433</v>
      </c>
      <c r="H85" s="6527"/>
      <c r="I85" s="6527"/>
      <c r="J85" s="6526"/>
      <c r="K85" s="3857"/>
      <c r="L85" s="3857"/>
      <c r="M85" s="3857"/>
      <c r="N85" s="3857"/>
      <c r="O85" s="3857"/>
      <c r="P85" s="3857"/>
      <c r="Q85" s="3857"/>
      <c r="R85" s="3857"/>
      <c r="S85" s="3857"/>
      <c r="T85" s="3857"/>
      <c r="U85" s="3857"/>
      <c r="V85" s="3857"/>
      <c r="W85" s="3857"/>
      <c r="X85" s="3857"/>
      <c r="Y85" s="3857"/>
      <c r="Z85" s="3857"/>
      <c r="AA85" s="3857"/>
      <c r="AB85" s="3858" t="s">
        <v>1386</v>
      </c>
      <c r="AC85" s="6528" t="s">
        <v>754</v>
      </c>
      <c r="AD85" s="6528"/>
      <c r="AE85" s="6528"/>
      <c r="AF85" s="3858" t="s">
        <v>1386</v>
      </c>
      <c r="AG85" s="3857"/>
      <c r="AH85" s="3859"/>
    </row>
    <row r="86" spans="1:34">
      <c r="A86" s="6523"/>
      <c r="B86" s="3860" t="s">
        <v>155</v>
      </c>
      <c r="C86" s="3807" t="s">
        <v>532</v>
      </c>
      <c r="D86" s="3739"/>
      <c r="E86" s="3739"/>
      <c r="F86" s="3739"/>
      <c r="G86" s="6529" t="s">
        <v>1405</v>
      </c>
      <c r="H86" s="6530"/>
      <c r="I86" s="6530"/>
      <c r="J86" s="6531"/>
      <c r="K86" s="3858" t="s">
        <v>1386</v>
      </c>
      <c r="L86" s="6532" t="s">
        <v>754</v>
      </c>
      <c r="M86" s="6533"/>
      <c r="N86" s="6533"/>
      <c r="O86" s="6533"/>
      <c r="P86" s="6534"/>
      <c r="Q86" s="3858" t="s">
        <v>1386</v>
      </c>
      <c r="R86" s="6535" t="s">
        <v>1434</v>
      </c>
      <c r="S86" s="6530"/>
      <c r="T86" s="6530"/>
      <c r="U86" s="6530"/>
      <c r="V86" s="6530"/>
      <c r="W86" s="6530"/>
      <c r="X86" s="6530"/>
      <c r="Y86" s="6530"/>
      <c r="Z86" s="6530"/>
      <c r="AA86" s="6530"/>
      <c r="AB86" s="6530"/>
      <c r="AC86" s="6530"/>
      <c r="AD86" s="6530"/>
      <c r="AE86" s="6530"/>
      <c r="AF86" s="6530"/>
      <c r="AG86" s="6530"/>
      <c r="AH86" s="6531"/>
    </row>
    <row r="87" spans="1:34">
      <c r="A87" s="6524"/>
      <c r="B87" s="3861" t="s">
        <v>1255</v>
      </c>
      <c r="C87" s="3808" t="s">
        <v>1256</v>
      </c>
      <c r="D87" s="6536" t="s">
        <v>112</v>
      </c>
      <c r="E87" s="6537"/>
      <c r="F87" s="6537"/>
      <c r="G87" s="6537"/>
      <c r="H87" s="6537"/>
      <c r="I87" s="6537"/>
      <c r="J87" s="6537"/>
      <c r="K87" s="6537"/>
      <c r="L87" s="6537"/>
      <c r="M87" s="6537"/>
      <c r="N87" s="6537"/>
      <c r="O87" s="6537"/>
      <c r="P87" s="6538"/>
      <c r="Q87" s="3862"/>
      <c r="R87" s="3862"/>
      <c r="S87" s="3862"/>
      <c r="T87" s="3862"/>
      <c r="U87" s="3862"/>
      <c r="V87" s="3862"/>
      <c r="W87" s="3862"/>
      <c r="X87" s="3862"/>
      <c r="Y87" s="3862"/>
      <c r="Z87" s="3862"/>
      <c r="AA87" s="3862"/>
      <c r="AB87" s="3862"/>
      <c r="AC87" s="3862"/>
      <c r="AD87" s="3862"/>
      <c r="AE87" s="3862"/>
      <c r="AF87" s="3862"/>
      <c r="AG87" s="3862"/>
      <c r="AH87" s="3862"/>
    </row>
  </sheetData>
  <mergeCells count="92">
    <mergeCell ref="A1:C1"/>
    <mergeCell ref="D1:AH1"/>
    <mergeCell ref="A2:C2"/>
    <mergeCell ref="A3:C3"/>
    <mergeCell ref="A4:C4"/>
    <mergeCell ref="G4:J4"/>
    <mergeCell ref="A5:C5"/>
    <mergeCell ref="A6:C6"/>
    <mergeCell ref="A7:C7"/>
    <mergeCell ref="A8:C8"/>
    <mergeCell ref="A9:C9"/>
    <mergeCell ref="A19:C19"/>
    <mergeCell ref="Y9:Z9"/>
    <mergeCell ref="A10:C10"/>
    <mergeCell ref="J10:S10"/>
    <mergeCell ref="A11:C11"/>
    <mergeCell ref="A12:C12"/>
    <mergeCell ref="A13:C13"/>
    <mergeCell ref="E9:G9"/>
    <mergeCell ref="A14:C14"/>
    <mergeCell ref="A15:C15"/>
    <mergeCell ref="A16:C16"/>
    <mergeCell ref="A17:C17"/>
    <mergeCell ref="A18:C18"/>
    <mergeCell ref="A29:A31"/>
    <mergeCell ref="J30:S30"/>
    <mergeCell ref="A20:C20"/>
    <mergeCell ref="A21:C21"/>
    <mergeCell ref="A22:C22"/>
    <mergeCell ref="A23:C23"/>
    <mergeCell ref="F23:AD23"/>
    <mergeCell ref="A24:C24"/>
    <mergeCell ref="D24:F24"/>
    <mergeCell ref="A25:C25"/>
    <mergeCell ref="J26:K26"/>
    <mergeCell ref="P26:AD26"/>
    <mergeCell ref="D27:I27"/>
    <mergeCell ref="K28:N28"/>
    <mergeCell ref="A32:A36"/>
    <mergeCell ref="F32:AD32"/>
    <mergeCell ref="F33:AD33"/>
    <mergeCell ref="J34:L34"/>
    <mergeCell ref="V34:AD34"/>
    <mergeCell ref="J35:L35"/>
    <mergeCell ref="Y36:Z36"/>
    <mergeCell ref="A37:A47"/>
    <mergeCell ref="G39:J39"/>
    <mergeCell ref="Y39:Z39"/>
    <mergeCell ref="D40:F40"/>
    <mergeCell ref="G40:I40"/>
    <mergeCell ref="R40:AH40"/>
    <mergeCell ref="Y41:Z41"/>
    <mergeCell ref="Y43:Z43"/>
    <mergeCell ref="Y45:Z45"/>
    <mergeCell ref="A48:A64"/>
    <mergeCell ref="D48:M48"/>
    <mergeCell ref="S52:AC52"/>
    <mergeCell ref="AD54:AH54"/>
    <mergeCell ref="AF56:AH56"/>
    <mergeCell ref="D60:I60"/>
    <mergeCell ref="I61:S61"/>
    <mergeCell ref="D63:N63"/>
    <mergeCell ref="AC80:AH80"/>
    <mergeCell ref="N81:Q81"/>
    <mergeCell ref="J82:S82"/>
    <mergeCell ref="A65:A71"/>
    <mergeCell ref="F65:AD65"/>
    <mergeCell ref="AF65:AH65"/>
    <mergeCell ref="F66:AD66"/>
    <mergeCell ref="AF66:AH66"/>
    <mergeCell ref="F67:AD67"/>
    <mergeCell ref="D68:F68"/>
    <mergeCell ref="H68:J68"/>
    <mergeCell ref="L68:AF68"/>
    <mergeCell ref="F69:AD69"/>
    <mergeCell ref="F70:AD70"/>
    <mergeCell ref="F71:AD71"/>
    <mergeCell ref="A72:A79"/>
    <mergeCell ref="S75:AD75"/>
    <mergeCell ref="Y79:Z79"/>
    <mergeCell ref="AC85:AE85"/>
    <mergeCell ref="G86:J86"/>
    <mergeCell ref="L86:P86"/>
    <mergeCell ref="R86:AH86"/>
    <mergeCell ref="D87:P87"/>
    <mergeCell ref="J83:S83"/>
    <mergeCell ref="J84:M84"/>
    <mergeCell ref="A85:A87"/>
    <mergeCell ref="D85:E85"/>
    <mergeCell ref="G85:J85"/>
    <mergeCell ref="A80:A84"/>
    <mergeCell ref="I80:S80"/>
  </mergeCells>
  <phoneticPr fontId="0" type="noConversion"/>
  <pageMargins left="0.25" right="0.25" top="0.75" bottom="0.75" header="0.3" footer="0.3"/>
  <pageSetup fitToHeight="0" orientation="landscape" verticalDpi="598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8EAB0-A487-441F-8777-B3D28F6B9C28}">
  <dimension ref="A1:E31"/>
  <sheetViews>
    <sheetView workbookViewId="0">
      <selection activeCell="L18" sqref="L18"/>
    </sheetView>
  </sheetViews>
  <sheetFormatPr defaultRowHeight="15"/>
  <cols>
    <col min="1" max="1" width="29.28515625" bestFit="1" customWidth="1"/>
    <col min="2" max="2" width="9.140625" bestFit="1" customWidth="1"/>
    <col min="3" max="3" width="17.85546875" bestFit="1" customWidth="1"/>
  </cols>
  <sheetData>
    <row r="1" spans="1:5">
      <c r="B1" t="s">
        <v>1155</v>
      </c>
      <c r="C1" t="s">
        <v>1156</v>
      </c>
      <c r="E1" t="s">
        <v>1157</v>
      </c>
    </row>
    <row r="2" spans="1:5">
      <c r="A2" t="s">
        <v>1158</v>
      </c>
      <c r="B2">
        <f>SUM(COUNTIF('JUL STWO Watchbill'!$D$4:$AH$4,"0"))</f>
        <v>17</v>
      </c>
      <c r="C2">
        <f>B2*'Spreadsheet Key'!A23</f>
        <v>374</v>
      </c>
    </row>
    <row r="3" spans="1:5">
      <c r="A3" t="s">
        <v>1159</v>
      </c>
      <c r="B3">
        <f>SUM(COUNTIF('JUL STWO Watchbill'!$D$4:$AH$4,"1"))</f>
        <v>4</v>
      </c>
      <c r="C3">
        <f>B3*'Spreadsheet Key'!A24</f>
        <v>216</v>
      </c>
    </row>
    <row r="4" spans="1:5">
      <c r="A4" t="s">
        <v>1160</v>
      </c>
      <c r="B4">
        <f>SUM(COUNTIF('JUL STWO Watchbill'!$D$4:$AH$4,"2"))</f>
        <v>6</v>
      </c>
      <c r="C4">
        <f>B4*'Spreadsheet Key'!A25</f>
        <v>432</v>
      </c>
    </row>
    <row r="5" spans="1:5">
      <c r="A5" t="s">
        <v>1161</v>
      </c>
      <c r="B5">
        <f>SUM(COUNTIF('JUL STWO Watchbill'!$D$4:$AH$4,"3"))</f>
        <v>4</v>
      </c>
      <c r="C5">
        <f>B5*'Spreadsheet Key'!A26</f>
        <v>224</v>
      </c>
    </row>
    <row r="6" spans="1:5">
      <c r="A6" t="s">
        <v>571</v>
      </c>
      <c r="B6">
        <f>SUM(B2:B5)</f>
        <v>31</v>
      </c>
      <c r="C6">
        <f>SUM(C2:C5)</f>
        <v>1246</v>
      </c>
    </row>
    <row r="7" spans="1:5">
      <c r="A7" t="s">
        <v>1162</v>
      </c>
      <c r="B7">
        <f>2*B6/$B$15</f>
        <v>2.1379310344827585</v>
      </c>
      <c r="C7">
        <f>C6/$B$15</f>
        <v>42.96551724137931</v>
      </c>
    </row>
    <row r="9" spans="1:5">
      <c r="A9" t="s">
        <v>1214</v>
      </c>
      <c r="C9">
        <v>37.333300000000001</v>
      </c>
      <c r="D9" t="e">
        <f>_xlfn.XLOOKUP(A9,'JUL STWO Watchbill'!AR68,'JUL STWO Watchbill'!AS68)</f>
        <v>#N/A</v>
      </c>
    </row>
    <row r="10" spans="1:5">
      <c r="A10" t="s">
        <v>1294</v>
      </c>
      <c r="C10">
        <v>0</v>
      </c>
    </row>
    <row r="11" spans="1:5">
      <c r="A11" s="3227" t="s">
        <v>1224</v>
      </c>
      <c r="C11">
        <f>C6-C9-C10</f>
        <v>1208.6667</v>
      </c>
    </row>
    <row r="14" spans="1:5">
      <c r="A14" t="s">
        <v>1163</v>
      </c>
      <c r="B14" t="s">
        <v>1164</v>
      </c>
    </row>
    <row r="15" spans="1:5">
      <c r="A15" t="s">
        <v>1117</v>
      </c>
      <c r="B15">
        <f>COUNTA('JUL STWO Watchbill'!A5:A62)</f>
        <v>29</v>
      </c>
    </row>
    <row r="16" spans="1:5">
      <c r="A16" t="s">
        <v>1225</v>
      </c>
      <c r="B16">
        <f>SUM('JUL STWO Watchbill'!AI6:AI62)</f>
        <v>4</v>
      </c>
    </row>
    <row r="17" spans="1:4">
      <c r="A17" t="s">
        <v>1226</v>
      </c>
      <c r="B17">
        <f>B15-B16</f>
        <v>25</v>
      </c>
    </row>
    <row r="21" spans="1:4">
      <c r="A21" t="s">
        <v>1166</v>
      </c>
      <c r="B21" t="s">
        <v>1155</v>
      </c>
      <c r="C21" t="s">
        <v>1156</v>
      </c>
    </row>
    <row r="22" spans="1:4">
      <c r="A22" t="s">
        <v>1158</v>
      </c>
      <c r="B22">
        <f>SUM('JUL STWO Watchbill'!AK6:AK62)</f>
        <v>187</v>
      </c>
      <c r="C22">
        <f>B22*'Spreadsheet Key'!A23</f>
        <v>4114</v>
      </c>
    </row>
    <row r="23" spans="1:4">
      <c r="A23" t="s">
        <v>1159</v>
      </c>
      <c r="B23">
        <f>SUM('JUL STWO Watchbill'!AL6:AL62)</f>
        <v>47</v>
      </c>
      <c r="C23">
        <f>B23*'Spreadsheet Key'!A24</f>
        <v>2538</v>
      </c>
    </row>
    <row r="24" spans="1:4">
      <c r="A24" t="s">
        <v>1160</v>
      </c>
      <c r="B24">
        <f>SUM('JUL STWO Watchbill'!AM6:AM62)</f>
        <v>70</v>
      </c>
      <c r="C24">
        <f>B24*'Spreadsheet Key'!A25</f>
        <v>5040</v>
      </c>
    </row>
    <row r="25" spans="1:4">
      <c r="A25" t="s">
        <v>1161</v>
      </c>
      <c r="B25">
        <f>SUM('JUL STWO Watchbill'!AN6:AN62)</f>
        <v>42</v>
      </c>
      <c r="C25">
        <f>B25*'Spreadsheet Key'!A26</f>
        <v>2352</v>
      </c>
    </row>
    <row r="26" spans="1:4">
      <c r="A26" t="s">
        <v>571</v>
      </c>
      <c r="B26">
        <f>SUM(B22:B25)</f>
        <v>346</v>
      </c>
      <c r="C26">
        <f>SUM(C22:C25)</f>
        <v>14044</v>
      </c>
    </row>
    <row r="27" spans="1:4">
      <c r="A27" t="s">
        <v>1167</v>
      </c>
      <c r="B27">
        <f>B26/B15</f>
        <v>11.931034482758621</v>
      </c>
      <c r="C27">
        <f>C26/$B15</f>
        <v>484.27586206896552</v>
      </c>
    </row>
    <row r="29" spans="1:4">
      <c r="A29" t="s">
        <v>1227</v>
      </c>
      <c r="B29" cm="1">
        <f t="array" ref="B29">SUM('JUL STWO Watchbill'!AI6:AI62*'JUL STWO Watchbill'!AJ6:AJ62)</f>
        <v>13</v>
      </c>
    </row>
    <row r="30" spans="1:4">
      <c r="A30" t="s">
        <v>1228</v>
      </c>
      <c r="B30">
        <f>B26-B29</f>
        <v>333</v>
      </c>
    </row>
    <row r="31" spans="1:4">
      <c r="B31" cm="1">
        <f t="array" ref="B31">SUM(ABS('JUL STWO Watchbill'!AI6:AI62-1)*'JUL STWO Watchbill'!AJ6:AJ62)</f>
        <v>333</v>
      </c>
      <c r="D31" t="s">
        <v>1295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9CCF-BB5D-4BCC-A6B7-85AE87D81A94}">
  <sheetPr>
    <pageSetUpPr fitToPage="1"/>
  </sheetPr>
  <dimension ref="A1:AD979"/>
  <sheetViews>
    <sheetView tabSelected="1" view="pageLayout" zoomScaleNormal="100" workbookViewId="0">
      <selection activeCell="A39" sqref="A39:I39"/>
    </sheetView>
  </sheetViews>
  <sheetFormatPr defaultColWidth="14.42578125" defaultRowHeight="15" customHeight="1"/>
  <cols>
    <col min="1" max="1" width="8.7109375" customWidth="1"/>
    <col min="2" max="2" width="20.140625" customWidth="1"/>
    <col min="3" max="3" width="8.7109375" customWidth="1"/>
    <col min="4" max="4" width="20.140625" customWidth="1"/>
    <col min="5" max="5" width="8.7109375" customWidth="1"/>
    <col min="6" max="6" width="20.140625" customWidth="1"/>
    <col min="7" max="7" width="8.7109375" customWidth="1"/>
    <col min="8" max="8" width="20.140625" customWidth="1"/>
    <col min="9" max="9" width="8.7109375" customWidth="1"/>
    <col min="10" max="10" width="20.140625" customWidth="1"/>
    <col min="11" max="11" width="8.7109375" customWidth="1"/>
    <col min="12" max="12" width="20.140625" customWidth="1"/>
    <col min="13" max="13" width="8.7109375" customWidth="1"/>
    <col min="14" max="14" width="20.140625" customWidth="1"/>
    <col min="15" max="16" width="8.7109375" customWidth="1"/>
    <col min="17" max="17" width="17.28515625" customWidth="1"/>
    <col min="18" max="18" width="17.5703125" customWidth="1"/>
    <col min="19" max="19" width="14.140625" bestFit="1" customWidth="1"/>
    <col min="20" max="20" width="15.42578125" bestFit="1" customWidth="1"/>
    <col min="21" max="21" width="11.5703125" bestFit="1" customWidth="1"/>
    <col min="22" max="22" width="22.28515625" bestFit="1" customWidth="1"/>
    <col min="23" max="23" width="13.28515625" customWidth="1"/>
    <col min="24" max="24" width="12.5703125" customWidth="1"/>
    <col min="25" max="30" width="8.7109375" customWidth="1"/>
  </cols>
  <sheetData>
    <row r="1" spans="1:30" ht="26.25" customHeight="1">
      <c r="A1" s="6472" t="s">
        <v>1296</v>
      </c>
      <c r="B1" s="6473"/>
      <c r="C1" s="6473"/>
      <c r="D1" s="6473"/>
      <c r="E1" s="6473"/>
      <c r="F1" s="6473"/>
      <c r="G1" s="6473"/>
      <c r="H1" s="6473"/>
      <c r="I1" s="6473"/>
      <c r="J1" s="6473"/>
      <c r="K1" s="6473"/>
      <c r="L1" s="6473"/>
      <c r="M1" s="6473"/>
      <c r="N1" s="6474"/>
      <c r="R1" s="3583"/>
    </row>
    <row r="2" spans="1:30" ht="82.5" customHeight="1">
      <c r="A2" s="6475" t="s">
        <v>1458</v>
      </c>
      <c r="B2" s="6476"/>
      <c r="C2" s="6476"/>
      <c r="D2" s="6476"/>
      <c r="E2" s="6476"/>
      <c r="F2" s="6476"/>
      <c r="G2" s="6476"/>
      <c r="H2" s="6476"/>
      <c r="I2" s="6476"/>
      <c r="J2" s="6476"/>
      <c r="K2" s="6476"/>
      <c r="L2" s="6476"/>
      <c r="M2" s="6476"/>
      <c r="N2" s="6477"/>
      <c r="O2" s="10"/>
      <c r="P2" s="10"/>
      <c r="Q2" s="10"/>
      <c r="R2" s="3267"/>
      <c r="S2" s="10" t="str" cm="1">
        <f t="array" aca="1" ref="S2" ca="1">_xlfn.XLOOKUP(8,'JUL STWO Watchbill'!D5:'JUL STWO Watchbill'!D66,'JUL STWO Watchbill'!$C5:'JUL STWO Watchbill'!$C66)</f>
        <v>LCDR  KIM</v>
      </c>
      <c r="T2" s="10"/>
      <c r="U2" s="10"/>
      <c r="V2" s="10"/>
      <c r="W2" s="10"/>
      <c r="X2" s="10"/>
      <c r="Y2" s="10"/>
      <c r="Z2" s="10"/>
    </row>
    <row r="3" spans="1:30">
      <c r="A3" s="6329" t="s">
        <v>1298</v>
      </c>
      <c r="B3" s="6330"/>
      <c r="C3" s="6329" t="s">
        <v>1299</v>
      </c>
      <c r="D3" s="6331"/>
      <c r="E3" s="6328" t="s">
        <v>1300</v>
      </c>
      <c r="F3" s="6328"/>
      <c r="G3" s="6326" t="s">
        <v>1301</v>
      </c>
      <c r="H3" s="6328"/>
      <c r="I3" s="6329" t="s">
        <v>1302</v>
      </c>
      <c r="J3" s="6330"/>
      <c r="K3" s="6329" t="s">
        <v>1303</v>
      </c>
      <c r="L3" s="6331"/>
      <c r="M3" s="6330" t="s">
        <v>1304</v>
      </c>
      <c r="N3" s="6331"/>
      <c r="O3" s="10"/>
      <c r="P3" s="10"/>
      <c r="Q3" s="3425" t="s">
        <v>1305</v>
      </c>
      <c r="R3" s="3426" t="s">
        <v>1306</v>
      </c>
      <c r="S3" s="3427" t="s">
        <v>1128</v>
      </c>
      <c r="T3" s="3427" t="s">
        <v>1129</v>
      </c>
      <c r="U3" s="3427" t="s">
        <v>1130</v>
      </c>
      <c r="V3" s="3427" t="s">
        <v>1131</v>
      </c>
      <c r="W3" s="3427" t="s">
        <v>1132</v>
      </c>
      <c r="X3" s="3428" t="s">
        <v>575</v>
      </c>
      <c r="Y3" s="10"/>
      <c r="Z3" s="10"/>
      <c r="AA3" s="10"/>
      <c r="AB3" s="10"/>
      <c r="AC3" s="10"/>
      <c r="AD3" s="10"/>
    </row>
    <row r="4" spans="1:30">
      <c r="A4" s="6661"/>
      <c r="B4" s="6662"/>
      <c r="C4" s="6662"/>
      <c r="D4" s="6663"/>
      <c r="E4" s="6335">
        <v>1</v>
      </c>
      <c r="F4" s="6335"/>
      <c r="G4" s="6334">
        <v>2</v>
      </c>
      <c r="H4" s="6336"/>
      <c r="I4" s="6679">
        <v>3</v>
      </c>
      <c r="J4" s="6345"/>
      <c r="K4" s="6334">
        <v>4</v>
      </c>
      <c r="L4" s="6336"/>
      <c r="M4" s="3719">
        <v>5</v>
      </c>
      <c r="N4" s="3720"/>
      <c r="O4" s="10"/>
      <c r="P4" s="10"/>
      <c r="Q4" s="3272" t="s">
        <v>718</v>
      </c>
      <c r="R4" s="3429"/>
      <c r="S4" s="3430">
        <f>_xlfn.XLOOKUP($Q4,'JUL STWO Watchbill'!$B$5:$B$66,'JUL STWO Watchbill'!AV$5:AV$66)</f>
        <v>0</v>
      </c>
      <c r="T4" s="3430">
        <f>_xlfn.XLOOKUP($Q4,'JUL STWO Watchbill'!$B$5:$B$66,'JUL STWO Watchbill'!AW$5:AW$66)</f>
        <v>0</v>
      </c>
      <c r="U4" s="3430">
        <f>_xlfn.XLOOKUP($Q4,'JUL STWO Watchbill'!$B$5:$B$66,'JUL STWO Watchbill'!AX$5:AX$66)</f>
        <v>0</v>
      </c>
      <c r="V4" s="3430">
        <f>_xlfn.XLOOKUP($Q4,'JUL STWO Watchbill'!$B$5:$B$66,'JUL STWO Watchbill'!AY$5:AY$66)</f>
        <v>0</v>
      </c>
      <c r="W4" s="3430">
        <f>_xlfn.XLOOKUP($Q4,'JUL STWO Watchbill'!$B$5:$B$66,'JUL STWO Watchbill'!AZ$5:AZ$66)</f>
        <v>0</v>
      </c>
      <c r="X4" s="3431">
        <f>SUM(S4:W4)</f>
        <v>0</v>
      </c>
      <c r="Y4" s="10"/>
      <c r="Z4" s="10"/>
      <c r="AA4" s="10"/>
      <c r="AB4" s="10"/>
      <c r="AC4" s="10"/>
      <c r="AD4" s="10"/>
    </row>
    <row r="5" spans="1:30">
      <c r="A5" s="6670"/>
      <c r="B5" s="3535"/>
      <c r="C5" s="6671"/>
      <c r="D5" s="3538"/>
      <c r="E5" s="6354" t="s">
        <v>1307</v>
      </c>
      <c r="F5" s="3277" t="str" cm="1">
        <f t="array" aca="1" ref="F5" ca="1">_xlfn.XLOOKUP(8,'JUL STWO Watchbill'!D5:'JUL STWO Watchbill'!D66,'JUL STWO Watchbill'!$C5:'JUL STWO Watchbill'!$C66)</f>
        <v>LCDR  KIM</v>
      </c>
      <c r="G5" s="6340" t="s">
        <v>1307</v>
      </c>
      <c r="H5" s="3456" t="str" cm="1">
        <f t="array" aca="1" ref="H5" ca="1">_xlfn.XLOOKUP(8,'JUL STWO Watchbill'!E5:'JUL STWO Watchbill'!E66,'JUL STWO Watchbill'!$C5:'JUL STWO Watchbill'!$C66)</f>
        <v>LT MALIGSA</v>
      </c>
      <c r="I5" s="3716" t="s">
        <v>1307</v>
      </c>
      <c r="J5" s="3376" t="str" cm="1">
        <f t="array" aca="1" ref="J5" ca="1">_xlfn.XLOOKUP(8,'JUL STWO Watchbill'!F5:'JUL STWO Watchbill'!F66,'JUL STWO Watchbill'!$C$5:'JUL STWO Watchbill'!$C$66)</f>
        <v>GMC OGLE</v>
      </c>
      <c r="K5" s="3711" t="s">
        <v>1307</v>
      </c>
      <c r="L5" s="3277" t="str" cm="1">
        <f t="array" aca="1" ref="L5" ca="1">_xlfn.XLOOKUP(8,'JUL STWO Watchbill'!G5:'JUL STWO Watchbill'!G66,'JUL STWO Watchbill'!$C$5:'JUL STWO Watchbill'!$C$66)</f>
        <v>ENC TRAN</v>
      </c>
      <c r="M5" s="3711" t="s">
        <v>1307</v>
      </c>
      <c r="N5" s="3278" t="str" cm="1">
        <f t="array" aca="1" ref="N5" ca="1">_xlfn.XLOOKUP(8,'JUL STWO Watchbill'!H5:'JUL STWO Watchbill'!H66,'JUL STWO Watchbill'!$C$5:'JUL STWO Watchbill'!$C$66)</f>
        <v>EMC DAVES</v>
      </c>
      <c r="O5" s="10"/>
      <c r="P5" s="10"/>
      <c r="Q5" s="3272" t="s">
        <v>327</v>
      </c>
      <c r="R5" s="3279"/>
      <c r="S5" s="3430">
        <f>_xlfn.XLOOKUP($Q5,'JUL STWO Watchbill'!$B$5:$B$66,'JUL STWO Watchbill'!AV$5:AV$66)</f>
        <v>0</v>
      </c>
      <c r="T5" s="3430">
        <f>_xlfn.XLOOKUP($Q5,'JUL STWO Watchbill'!$B$5:$B$66,'JUL STWO Watchbill'!AW$5:AW$66)</f>
        <v>0</v>
      </c>
      <c r="U5" s="3430">
        <f>_xlfn.XLOOKUP($Q5,'JUL STWO Watchbill'!$B$5:$B$66,'JUL STWO Watchbill'!AX$5:AX$66)</f>
        <v>0</v>
      </c>
      <c r="V5" s="3430">
        <f>_xlfn.XLOOKUP($Q5,'JUL STWO Watchbill'!$B$5:$B$66,'JUL STWO Watchbill'!AY$5:AY$66)</f>
        <v>0</v>
      </c>
      <c r="W5" s="3430">
        <f>_xlfn.XLOOKUP($Q5,'JUL STWO Watchbill'!$B$5:$B$66,'JUL STWO Watchbill'!AZ$5:AZ$66)</f>
        <v>0</v>
      </c>
      <c r="X5" s="3431">
        <f>SUM(S5:W5)</f>
        <v>0</v>
      </c>
      <c r="Y5" s="10"/>
      <c r="Z5" s="10"/>
      <c r="AA5" s="10"/>
      <c r="AB5" s="10"/>
      <c r="AC5" s="10"/>
      <c r="AD5" s="10"/>
    </row>
    <row r="6" spans="1:30">
      <c r="A6" s="6670"/>
      <c r="B6" s="3536"/>
      <c r="C6" s="6671"/>
      <c r="D6" s="3539"/>
      <c r="E6" s="6355"/>
      <c r="F6" s="3484"/>
      <c r="G6" s="6341"/>
      <c r="H6" s="3483"/>
      <c r="I6" s="3718"/>
      <c r="J6" s="3533"/>
      <c r="K6" s="3712"/>
      <c r="L6" s="3532"/>
      <c r="M6" s="3712"/>
      <c r="N6" s="3531"/>
      <c r="O6" s="10"/>
      <c r="Q6" s="3272" t="s">
        <v>98</v>
      </c>
      <c r="R6" s="3287"/>
      <c r="S6" s="3430">
        <f>_xlfn.XLOOKUP($Q6,'JUL STWO Watchbill'!$B$5:$B$66,'JUL STWO Watchbill'!AV$5:AV$66)</f>
        <v>0</v>
      </c>
      <c r="T6" s="3430">
        <f>_xlfn.XLOOKUP($Q6,'JUL STWO Watchbill'!$B$5:$B$66,'JUL STWO Watchbill'!AW$5:AW$66)</f>
        <v>0</v>
      </c>
      <c r="U6" s="3430">
        <f>_xlfn.XLOOKUP($Q6,'JUL STWO Watchbill'!$B$5:$B$66,'JUL STWO Watchbill'!AX$5:AX$66)</f>
        <v>0</v>
      </c>
      <c r="V6" s="3430">
        <f>_xlfn.XLOOKUP($Q6,'JUL STWO Watchbill'!$B$5:$B$66,'JUL STWO Watchbill'!AY$5:AY$66)</f>
        <v>0</v>
      </c>
      <c r="W6" s="3430">
        <f>_xlfn.XLOOKUP($Q6,'JUL STWO Watchbill'!$B$5:$B$66,'JUL STWO Watchbill'!AZ$5:AZ$66)</f>
        <v>0</v>
      </c>
      <c r="X6" s="3431">
        <f>SUM(S6:W6)</f>
        <v>0</v>
      </c>
      <c r="Y6" s="10"/>
      <c r="Z6" s="10"/>
      <c r="AA6" s="10"/>
      <c r="AB6" s="10"/>
      <c r="AC6" s="10"/>
      <c r="AD6" s="10"/>
    </row>
    <row r="7" spans="1:30">
      <c r="A7" s="3540"/>
      <c r="B7" s="3535"/>
      <c r="C7" s="3537"/>
      <c r="D7" s="3541"/>
      <c r="E7" s="3292" t="s">
        <v>1309</v>
      </c>
      <c r="F7" s="3166" t="str" cm="1">
        <f t="array" aca="1" ref="F7" ca="1">_xlfn.XLOOKUP(9,'JUL STWO Watchbill'!D5:'JUL STWO Watchbill'!D66,'JUL STWO Watchbill'!$C5:'JUL STWO Watchbill'!$C66)</f>
        <v>LT GARCIA</v>
      </c>
      <c r="G7" s="3290" t="s">
        <v>1309</v>
      </c>
      <c r="H7" s="3291" t="str" cm="1">
        <f t="array" aca="1" ref="H7" ca="1">_xlfn.XLOOKUP(9,'JUL STWO Watchbill'!E5:'JUL STWO Watchbill'!E66,'JUL STWO Watchbill'!$C5:'JUL STWO Watchbill'!$C66)</f>
        <v>GMC BARTELMEY</v>
      </c>
      <c r="I7" s="3292" t="s">
        <v>1309</v>
      </c>
      <c r="J7" s="3457" t="str" cm="1">
        <f t="array" aca="1" ref="J7" ca="1">_xlfn.XLOOKUP(9,'JUL STWO Watchbill'!F5:'JUL STWO Watchbill'!F66,'JUL STWO Watchbill'!$C$5:'JUL STWO Watchbill'!$C$66)</f>
        <v>ISC ALUMIA</v>
      </c>
      <c r="K7" s="3290" t="s">
        <v>1309</v>
      </c>
      <c r="L7" s="3284" t="str" cm="1">
        <f t="array" aca="1" ref="L7" ca="1">_xlfn.XLOOKUP(9,'JUL STWO Watchbill'!G5:'JUL STWO Watchbill'!G66,'JUL STWO Watchbill'!$C$5:'JUL STWO Watchbill'!$C$66)</f>
        <v>OSC WILLIAMS</v>
      </c>
      <c r="M7" s="3290" t="s">
        <v>1309</v>
      </c>
      <c r="N7" s="3291" t="str" cm="1">
        <f t="array" aca="1" ref="N7" ca="1">_xlfn.XLOOKUP(9,'JUL STWO Watchbill'!H5:'JUL STWO Watchbill'!H66,'JUL STWO Watchbill'!$C$5:'JUL STWO Watchbill'!$C$66)</f>
        <v>ETC PEARSON</v>
      </c>
      <c r="O7" s="10"/>
      <c r="P7" s="10"/>
      <c r="Q7" s="3272" t="s">
        <v>1310</v>
      </c>
      <c r="R7" s="3293">
        <v>45748</v>
      </c>
      <c r="S7" s="3430"/>
      <c r="T7" s="3430"/>
      <c r="U7" s="3430"/>
      <c r="V7" s="3430"/>
      <c r="W7" s="3430"/>
      <c r="X7" s="3431"/>
      <c r="Y7" s="10"/>
      <c r="Z7" s="10"/>
      <c r="AA7" s="10"/>
      <c r="AB7" s="10"/>
      <c r="AC7" s="10"/>
      <c r="AD7" s="10"/>
    </row>
    <row r="8" spans="1:30">
      <c r="A8" s="3540"/>
      <c r="B8" s="3535"/>
      <c r="C8" s="3537"/>
      <c r="D8" s="3541"/>
      <c r="E8" s="3292" t="s">
        <v>1311</v>
      </c>
      <c r="F8" s="3166"/>
      <c r="G8" s="3290" t="s">
        <v>1311</v>
      </c>
      <c r="H8" s="3291"/>
      <c r="I8" s="3373" t="s">
        <v>1311</v>
      </c>
      <c r="J8" s="3166"/>
      <c r="K8" s="3290" t="s">
        <v>1311</v>
      </c>
      <c r="L8" s="3166"/>
      <c r="M8" s="3290" t="s">
        <v>1311</v>
      </c>
      <c r="N8" s="3291"/>
      <c r="O8" s="10"/>
      <c r="P8" s="10"/>
      <c r="Q8" s="3296" t="s">
        <v>1239</v>
      </c>
      <c r="R8" s="3297">
        <v>45748</v>
      </c>
      <c r="S8" s="3430"/>
      <c r="T8" s="3430"/>
      <c r="U8" s="3430"/>
      <c r="V8" s="3430"/>
      <c r="W8" s="3430"/>
      <c r="X8" s="3431"/>
      <c r="Y8" s="10"/>
      <c r="Z8" s="10"/>
      <c r="AA8" s="10"/>
      <c r="AB8" s="10"/>
      <c r="AC8" s="10"/>
      <c r="AD8" s="10"/>
    </row>
    <row r="9" spans="1:30" ht="15.75" customHeight="1">
      <c r="A9" s="6672"/>
      <c r="B9" s="6673"/>
      <c r="C9" s="3725"/>
      <c r="D9" s="3542"/>
      <c r="E9" s="6664"/>
      <c r="F9" s="6471"/>
      <c r="G9" s="3713"/>
      <c r="H9" s="3714"/>
      <c r="I9" s="6674" t="s">
        <v>1459</v>
      </c>
      <c r="J9" s="6675"/>
      <c r="K9" s="6675"/>
      <c r="L9" s="6675"/>
      <c r="M9" s="6675"/>
      <c r="N9" s="6676"/>
      <c r="O9" s="10"/>
      <c r="P9" s="10"/>
      <c r="Q9" s="3298" t="s">
        <v>725</v>
      </c>
      <c r="R9" s="3432" t="s">
        <v>1314</v>
      </c>
      <c r="S9" s="3430">
        <f>_xlfn.XLOOKUP($Q9,'JUL STWO Watchbill'!$B$5:$B$66,'JUL STWO Watchbill'!AV$5:AV$66)</f>
        <v>0</v>
      </c>
      <c r="T9" s="3430">
        <f>_xlfn.XLOOKUP($Q9,'JUL STWO Watchbill'!$B$5:$B$66,'JUL STWO Watchbill'!AW$5:AW$66)</f>
        <v>0</v>
      </c>
      <c r="U9" s="3430">
        <f>_xlfn.XLOOKUP($Q9,'JUL STWO Watchbill'!$B$5:$B$66,'JUL STWO Watchbill'!AX$5:AX$66)</f>
        <v>0</v>
      </c>
      <c r="V9" s="3430">
        <f>_xlfn.XLOOKUP($Q9,'JUL STWO Watchbill'!$B$5:$B$66,'JUL STWO Watchbill'!AY$5:AY$66)</f>
        <v>0</v>
      </c>
      <c r="W9" s="3430">
        <f>_xlfn.XLOOKUP($Q9,'JUL STWO Watchbill'!$B$5:$B$66,'JUL STWO Watchbill'!AZ$5:AZ$66)</f>
        <v>0</v>
      </c>
      <c r="X9" s="3431">
        <f>SUM(S9:W9)</f>
        <v>0</v>
      </c>
      <c r="Y9" s="10"/>
      <c r="Z9" s="10"/>
      <c r="AA9" s="10"/>
      <c r="AB9" s="10"/>
      <c r="AC9" s="10"/>
      <c r="AD9" s="10"/>
    </row>
    <row r="10" spans="1:30">
      <c r="A10" s="6659">
        <v>6</v>
      </c>
      <c r="B10" s="6660"/>
      <c r="C10" s="6659">
        <v>7</v>
      </c>
      <c r="D10" s="6667"/>
      <c r="E10" s="6332">
        <v>8</v>
      </c>
      <c r="F10" s="6333"/>
      <c r="G10" s="6332">
        <v>9</v>
      </c>
      <c r="H10" s="6339"/>
      <c r="I10" s="6332">
        <v>10</v>
      </c>
      <c r="J10" s="6339"/>
      <c r="K10" s="6332">
        <v>11</v>
      </c>
      <c r="L10" s="6339"/>
      <c r="M10" s="6332">
        <v>12</v>
      </c>
      <c r="N10" s="6339"/>
      <c r="O10" s="10"/>
      <c r="P10" s="10"/>
      <c r="Q10" s="3272" t="s">
        <v>726</v>
      </c>
      <c r="R10" s="3287"/>
      <c r="S10" s="3430">
        <f>_xlfn.XLOOKUP($Q10,'JUL STWO Watchbill'!$B$5:$B$66,'JUL STWO Watchbill'!AV$5:AV$66)</f>
        <v>1</v>
      </c>
      <c r="T10" s="3430">
        <f>_xlfn.XLOOKUP($Q10,'JUL STWO Watchbill'!$B$5:$B$66,'JUL STWO Watchbill'!AW$5:AW$66)</f>
        <v>1</v>
      </c>
      <c r="U10" s="3430">
        <f>_xlfn.XLOOKUP($Q10,'JUL STWO Watchbill'!$B$5:$B$66,'JUL STWO Watchbill'!AX$5:AX$66)</f>
        <v>0</v>
      </c>
      <c r="V10" s="3430">
        <f>_xlfn.XLOOKUP($Q10,'JUL STWO Watchbill'!$B$5:$B$66,'JUL STWO Watchbill'!AY$5:AY$66)</f>
        <v>2</v>
      </c>
      <c r="W10" s="3430">
        <f>_xlfn.XLOOKUP($Q10,'JUL STWO Watchbill'!$B$5:$B$66,'JUL STWO Watchbill'!AZ$5:AZ$66)</f>
        <v>0</v>
      </c>
      <c r="X10" s="3431">
        <f>SUM(S10:W10)</f>
        <v>4</v>
      </c>
      <c r="Y10" s="10"/>
      <c r="Z10" s="10"/>
      <c r="AA10" s="10"/>
      <c r="AB10" s="10"/>
      <c r="AC10" s="10"/>
      <c r="AD10" s="10"/>
    </row>
    <row r="11" spans="1:30">
      <c r="A11" s="6346" t="s">
        <v>1307</v>
      </c>
      <c r="B11" s="3277" t="str" cm="1">
        <f t="array" aca="1" ref="B11" ca="1">_xlfn.XLOOKUP(8,'JUL STWO Watchbill'!I5:'JUL STWO Watchbill'!I66,'JUL STWO Watchbill'!$C$5:'JUL STWO Watchbill'!$C$66)</f>
        <v>GSMC MCKEOWN</v>
      </c>
      <c r="C11" s="6346" t="s">
        <v>1307</v>
      </c>
      <c r="D11" s="3278" t="str" cm="1">
        <f t="array" aca="1" ref="D11" ca="1">_xlfn.XLOOKUP(8,'JUL STWO Watchbill'!J5:'JUL STWO Watchbill'!J66,'JUL STWO Watchbill'!$C$5:'JUL STWO Watchbill'!$C$66)</f>
        <v>OS1 TILLMAN</v>
      </c>
      <c r="E11" s="6340" t="s">
        <v>1307</v>
      </c>
      <c r="F11" s="3277" t="str" cm="1">
        <f t="array" aca="1" ref="F11" ca="1">_xlfn.XLOOKUP(8,'JUL STWO Watchbill'!K5:'JUL STWO Watchbill'!K66,'JUL STWO Watchbill'!$C$5:'JUL STWO Watchbill'!$C$66)</f>
        <v>EMC DAVES</v>
      </c>
      <c r="G11" s="6342" t="s">
        <v>1307</v>
      </c>
      <c r="H11" s="3376" t="str" cm="1">
        <f t="array" aca="1" ref="H11" ca="1">_xlfn.XLOOKUP(8,'JUL STWO Watchbill'!L5:'JUL STWO Watchbill'!L66,'JUL STWO Watchbill'!$C$5:'JUL STWO Watchbill'!$C$66)</f>
        <v>LT PARRA</v>
      </c>
      <c r="I11" s="3717" t="s">
        <v>1307</v>
      </c>
      <c r="J11" s="3277" t="str" cm="1">
        <f t="array" aca="1" ref="J11" ca="1">_xlfn.XLOOKUP(8,'JUL STWO Watchbill'!M5:'JUL STWO Watchbill'!M66,'JUL STWO Watchbill'!$C$5:'JUL STWO Watchbill'!$C$66)</f>
        <v>OSC WILLIAMS</v>
      </c>
      <c r="K11" s="3711" t="s">
        <v>1307</v>
      </c>
      <c r="L11" s="3277" t="str" cm="1">
        <f t="array" aca="1" ref="L11" ca="1">_xlfn.XLOOKUP(8,'JUL STWO Watchbill'!N5:'JUL STWO Watchbill'!N66,'JUL STWO Watchbill'!$C$5:'JUL STWO Watchbill'!$C$66)</f>
        <v>BMC FUENTES</v>
      </c>
      <c r="M11" s="3711" t="s">
        <v>1307</v>
      </c>
      <c r="N11" s="3278" t="str" cm="1">
        <f t="array" aca="1" ref="N11" ca="1">_xlfn.XLOOKUP(8,'JUL STWO Watchbill'!O5:'JUL STWO Watchbill'!O66,'JUL STWO Watchbill'!$C$5:'JUL STWO Watchbill'!$C$66)</f>
        <v>LT MALIGSA</v>
      </c>
      <c r="O11" s="3343"/>
      <c r="P11" s="10"/>
      <c r="Q11" s="3272" t="s">
        <v>738</v>
      </c>
      <c r="R11" s="3287"/>
      <c r="S11" s="3430">
        <f>_xlfn.XLOOKUP($Q11,'JUL STWO Watchbill'!$B$5:$B$66,'JUL STWO Watchbill'!AV$5:AV$66)</f>
        <v>0</v>
      </c>
      <c r="T11" s="3430">
        <f>_xlfn.XLOOKUP($Q11,'JUL STWO Watchbill'!$B$5:$B$66,'JUL STWO Watchbill'!AW$5:AW$66)</f>
        <v>1</v>
      </c>
      <c r="U11" s="3430">
        <f>_xlfn.XLOOKUP($Q11,'JUL STWO Watchbill'!$B$5:$B$66,'JUL STWO Watchbill'!AX$5:AX$66)</f>
        <v>0</v>
      </c>
      <c r="V11" s="3430">
        <f>_xlfn.XLOOKUP($Q11,'JUL STWO Watchbill'!$B$5:$B$66,'JUL STWO Watchbill'!AY$5:AY$66)</f>
        <v>0</v>
      </c>
      <c r="W11" s="3430">
        <f>_xlfn.XLOOKUP($Q11,'JUL STWO Watchbill'!$B$5:$B$66,'JUL STWO Watchbill'!AZ$5:AZ$66)</f>
        <v>0</v>
      </c>
      <c r="X11" s="3431">
        <f>SUM(S11:W11)</f>
        <v>1</v>
      </c>
      <c r="Y11" s="10"/>
      <c r="Z11" s="10"/>
      <c r="AA11" s="10"/>
      <c r="AB11" s="10"/>
      <c r="AC11" s="10"/>
      <c r="AD11" s="10"/>
    </row>
    <row r="12" spans="1:30">
      <c r="A12" s="6341"/>
      <c r="B12" s="3530"/>
      <c r="C12" s="6347"/>
      <c r="D12" s="3291"/>
      <c r="E12" s="6341"/>
      <c r="F12" s="3478"/>
      <c r="G12" s="6341"/>
      <c r="H12" s="3528"/>
      <c r="I12" s="3718"/>
      <c r="J12" s="3526"/>
      <c r="K12" s="3712"/>
      <c r="L12" s="3526"/>
      <c r="M12" s="3712"/>
      <c r="N12" s="3528"/>
      <c r="O12" s="10"/>
      <c r="P12" s="10"/>
      <c r="Q12" s="3272" t="s">
        <v>1191</v>
      </c>
      <c r="R12" s="3429">
        <v>45658</v>
      </c>
      <c r="S12" s="3430">
        <f>_xlfn.XLOOKUP($Q12,'JUL STWO Watchbill'!$B$5:$B$66,'JUL STWO Watchbill'!AV$5:AV$66)</f>
        <v>2</v>
      </c>
      <c r="T12" s="3430">
        <f>_xlfn.XLOOKUP($Q12,'JUL STWO Watchbill'!$B$5:$B$66,'JUL STWO Watchbill'!AW$5:AW$66)</f>
        <v>1</v>
      </c>
      <c r="U12" s="3430">
        <f>_xlfn.XLOOKUP($Q12,'JUL STWO Watchbill'!$B$5:$B$66,'JUL STWO Watchbill'!AX$5:AX$66)</f>
        <v>1</v>
      </c>
      <c r="V12" s="3430">
        <f>_xlfn.XLOOKUP($Q12,'JUL STWO Watchbill'!$B$5:$B$66,'JUL STWO Watchbill'!AY$5:AY$66)</f>
        <v>1</v>
      </c>
      <c r="W12" s="3430">
        <f>_xlfn.XLOOKUP($Q12,'JUL STWO Watchbill'!$B$5:$B$66,'JUL STWO Watchbill'!AZ$5:AZ$66)</f>
        <v>0</v>
      </c>
      <c r="X12" s="3431">
        <f>SUM(S12:W12)</f>
        <v>5</v>
      </c>
      <c r="Y12" s="10"/>
      <c r="Z12" s="10"/>
      <c r="AA12" s="10"/>
      <c r="AB12" s="10"/>
      <c r="AC12" s="10"/>
      <c r="AD12" s="10"/>
    </row>
    <row r="13" spans="1:30">
      <c r="A13" s="3290" t="s">
        <v>1309</v>
      </c>
      <c r="B13" s="3166" t="str" cm="1">
        <f t="array" aca="1" ref="B13" ca="1">_xlfn.XLOOKUP(9,'JUL STWO Watchbill'!I5:'JUL STWO Watchbill'!I66,'JUL STWO Watchbill'!$C$5:'JUL STWO Watchbill'!$C$66)</f>
        <v>FC1 FERNANDEZ</v>
      </c>
      <c r="C13" s="3290" t="s">
        <v>1309</v>
      </c>
      <c r="D13" s="3291" t="str" cm="1">
        <f t="array" aca="1" ref="D13" ca="1">_xlfn.XLOOKUP(9,'JUL STWO Watchbill'!J5:'JUL STWO Watchbill'!J66,'JUL STWO Watchbill'!$C$5:'JUL STWO Watchbill'!$C$66)</f>
        <v>BMC FUENTES</v>
      </c>
      <c r="E13" s="3290" t="s">
        <v>1309</v>
      </c>
      <c r="F13" s="3284" t="str" cm="1">
        <f t="array" aca="1" ref="F13" ca="1">_xlfn.XLOOKUP(9,'JUL STWO Watchbill'!K5:'JUL STWO Watchbill'!K66,'JUL STWO Watchbill'!$C$5:'JUL STWO Watchbill'!$C$66)</f>
        <v>ENC TRAN</v>
      </c>
      <c r="G13" s="3290" t="s">
        <v>1309</v>
      </c>
      <c r="H13" s="3352" t="str" cm="1">
        <f t="array" aca="1" ref="H13" ca="1">_xlfn.XLOOKUP(9,'JUL STWO Watchbill'!L5:'JUL STWO Watchbill'!L66,'JUL STWO Watchbill'!$C$5:'JUL STWO Watchbill'!$C$66)</f>
        <v>LT HESPEN</v>
      </c>
      <c r="I13" s="3292" t="s">
        <v>1309</v>
      </c>
      <c r="J13" s="3163" t="str" cm="1">
        <f t="array" aca="1" ref="J13" ca="1">_xlfn.XLOOKUP(9,'JUL STWO Watchbill'!M5:'JUL STWO Watchbill'!M66,'JUL STWO Watchbill'!$C$5:'JUL STWO Watchbill'!$C$66)</f>
        <v>ETC PEARSON</v>
      </c>
      <c r="K13" s="3290" t="s">
        <v>1309</v>
      </c>
      <c r="L13" s="3166" t="str" cm="1">
        <f t="array" aca="1" ref="L13" ca="1">_xlfn.XLOOKUP(9,'JUL STWO Watchbill'!N5:'JUL STWO Watchbill'!N66,'JUL STWO Watchbill'!$C$5:'JUL STWO Watchbill'!$C$66)</f>
        <v>FC1 FERNANDEZ</v>
      </c>
      <c r="M13" s="3290" t="s">
        <v>1309</v>
      </c>
      <c r="N13" s="3291" t="str" cm="1">
        <f t="array" aca="1" ref="N13" ca="1">_xlfn.XLOOKUP(9,'JUL STWO Watchbill'!O5:'JUL STWO Watchbill'!O66,'JUL STWO Watchbill'!$C$5:'JUL STWO Watchbill'!$C$66)</f>
        <v>ISC ALUMIA</v>
      </c>
      <c r="O13" s="10"/>
      <c r="P13" s="10"/>
      <c r="Q13" s="3272" t="s">
        <v>109</v>
      </c>
      <c r="R13" s="3287"/>
      <c r="S13" s="3430">
        <f>_xlfn.XLOOKUP($Q13,'JUL STWO Watchbill'!$B$5:$B$66,'JUL STWO Watchbill'!AV$5:AV$66)</f>
        <v>0</v>
      </c>
      <c r="T13" s="3430">
        <f>_xlfn.XLOOKUP($Q13,'JUL STWO Watchbill'!$B$5:$B$66,'JUL STWO Watchbill'!AW$5:AW$66)</f>
        <v>0</v>
      </c>
      <c r="U13" s="3430">
        <f>_xlfn.XLOOKUP($Q13,'JUL STWO Watchbill'!$B$5:$B$66,'JUL STWO Watchbill'!AX$5:AX$66)</f>
        <v>0</v>
      </c>
      <c r="V13" s="3430">
        <f>_xlfn.XLOOKUP($Q13,'JUL STWO Watchbill'!$B$5:$B$66,'JUL STWO Watchbill'!AY$5:AY$66)</f>
        <v>3</v>
      </c>
      <c r="W13" s="3430">
        <f>_xlfn.XLOOKUP($Q13,'JUL STWO Watchbill'!$B$5:$B$66,'JUL STWO Watchbill'!AZ$5:AZ$66)</f>
        <v>1</v>
      </c>
      <c r="X13" s="3431">
        <f>SUM(S13:W13)</f>
        <v>4</v>
      </c>
      <c r="Y13" s="10"/>
      <c r="Z13" s="10"/>
      <c r="AA13" s="10"/>
      <c r="AB13" s="10"/>
      <c r="AC13" s="10"/>
      <c r="AD13" s="10"/>
    </row>
    <row r="14" spans="1:30">
      <c r="A14" s="3290" t="s">
        <v>1311</v>
      </c>
      <c r="B14" s="3221"/>
      <c r="C14" s="3290" t="s">
        <v>1311</v>
      </c>
      <c r="D14" s="3291"/>
      <c r="E14" s="3290" t="s">
        <v>1311</v>
      </c>
      <c r="F14" s="3166"/>
      <c r="G14" s="3290" t="s">
        <v>1311</v>
      </c>
      <c r="H14" s="3291"/>
      <c r="I14" s="3292" t="s">
        <v>1311</v>
      </c>
      <c r="J14" s="3221"/>
      <c r="K14" s="3290" t="s">
        <v>1311</v>
      </c>
      <c r="L14" s="3166"/>
      <c r="M14" s="3290" t="s">
        <v>1311</v>
      </c>
      <c r="N14" s="3291"/>
      <c r="O14" s="10"/>
      <c r="P14" s="10"/>
      <c r="Q14" s="3272" t="s">
        <v>1321</v>
      </c>
      <c r="R14" s="3301">
        <v>45778</v>
      </c>
      <c r="S14" s="3430"/>
      <c r="T14" s="3430"/>
      <c r="U14" s="3430"/>
      <c r="V14" s="3430"/>
      <c r="W14" s="3430"/>
      <c r="X14" s="3431"/>
      <c r="Y14" s="10"/>
      <c r="Z14" s="10"/>
      <c r="AA14" s="10"/>
      <c r="AB14" s="10"/>
      <c r="AC14" s="10"/>
      <c r="AD14" s="10"/>
    </row>
    <row r="15" spans="1:30">
      <c r="A15" s="6665"/>
      <c r="B15" s="6666"/>
      <c r="C15" s="6357"/>
      <c r="D15" s="6471"/>
      <c r="E15" s="3713"/>
      <c r="F15" s="3715"/>
      <c r="G15" s="3713"/>
      <c r="H15" s="3714"/>
      <c r="I15" s="3715"/>
      <c r="J15" s="3715"/>
      <c r="K15" s="3713"/>
      <c r="L15" s="3715"/>
      <c r="M15" s="3713"/>
      <c r="N15" s="3714"/>
      <c r="O15" s="10"/>
      <c r="P15" s="10"/>
      <c r="Q15" s="3296" t="s">
        <v>1322</v>
      </c>
      <c r="R15" s="3302">
        <v>45778</v>
      </c>
      <c r="S15" s="3430"/>
      <c r="T15" s="3430"/>
      <c r="U15" s="3430"/>
      <c r="V15" s="3430"/>
      <c r="W15" s="3430"/>
      <c r="X15" s="3431"/>
      <c r="Y15" s="10"/>
      <c r="Z15" s="10"/>
      <c r="AA15" s="10"/>
      <c r="AB15" s="10"/>
      <c r="AC15" s="10"/>
      <c r="AD15" s="10"/>
    </row>
    <row r="16" spans="1:30">
      <c r="A16" s="6332">
        <v>13</v>
      </c>
      <c r="B16" s="6333"/>
      <c r="C16" s="6332">
        <v>14</v>
      </c>
      <c r="D16" s="6339"/>
      <c r="E16" s="6332">
        <v>15</v>
      </c>
      <c r="F16" s="6333"/>
      <c r="G16" s="6332">
        <v>16</v>
      </c>
      <c r="H16" s="6339"/>
      <c r="I16" s="6332">
        <v>17</v>
      </c>
      <c r="J16" s="6339"/>
      <c r="K16" s="6332">
        <v>18</v>
      </c>
      <c r="L16" s="6339"/>
      <c r="M16" s="6332">
        <v>19</v>
      </c>
      <c r="N16" s="6339"/>
      <c r="O16" s="10"/>
      <c r="P16" s="10"/>
      <c r="Q16" s="3303" t="s">
        <v>201</v>
      </c>
      <c r="R16" s="3433"/>
      <c r="S16" s="3430">
        <f>_xlfn.XLOOKUP($Q16,'JUL STWO Watchbill'!$B$5:$B$66,'JUL STWO Watchbill'!AV$5:AV$66)</f>
        <v>0</v>
      </c>
      <c r="T16" s="3430">
        <f>_xlfn.XLOOKUP($Q16,'JUL STWO Watchbill'!$B$5:$B$66,'JUL STWO Watchbill'!AW$5:AW$66)</f>
        <v>0</v>
      </c>
      <c r="U16" s="3430">
        <f>_xlfn.XLOOKUP($Q16,'JUL STWO Watchbill'!$B$5:$B$66,'JUL STWO Watchbill'!AX$5:AX$66)</f>
        <v>0</v>
      </c>
      <c r="V16" s="3430">
        <f>_xlfn.XLOOKUP($Q16,'JUL STWO Watchbill'!$B$5:$B$66,'JUL STWO Watchbill'!AY$5:AY$66)</f>
        <v>0</v>
      </c>
      <c r="W16" s="3430">
        <f>_xlfn.XLOOKUP($Q16,'JUL STWO Watchbill'!$B$5:$B$66,'JUL STWO Watchbill'!AZ$5:AZ$66)</f>
        <v>0</v>
      </c>
      <c r="X16" s="3431">
        <f>SUM(S16:W16)</f>
        <v>0</v>
      </c>
      <c r="Y16" s="10"/>
      <c r="Z16" s="10"/>
      <c r="AA16" s="10"/>
      <c r="AB16" s="10"/>
      <c r="AC16" s="10"/>
      <c r="AD16" s="10"/>
    </row>
    <row r="17" spans="1:30">
      <c r="A17" s="6346" t="s">
        <v>1307</v>
      </c>
      <c r="B17" s="3277" t="str" cm="1">
        <f t="array" aca="1" ref="B17" ca="1">_xlfn.XLOOKUP(8,'JUL STWO Watchbill'!P5:'JUL STWO Watchbill'!P66,'JUL STWO Watchbill'!$C$5:'JUL STWO Watchbill'!$C$66)</f>
        <v>OS1 TILLMAN</v>
      </c>
      <c r="C17" s="6346" t="s">
        <v>1307</v>
      </c>
      <c r="D17" s="3300" t="str" cm="1">
        <f t="array" aca="1" ref="D17" ca="1">_xlfn.XLOOKUP(8,'JUL STWO Watchbill'!Q5:'JUL STWO Watchbill'!Q66,'JUL STWO Watchbill'!$C$5:'JUL STWO Watchbill'!$C$66)</f>
        <v>OSC WILLIAMS</v>
      </c>
      <c r="E17" s="6346" t="s">
        <v>1307</v>
      </c>
      <c r="F17" s="3306" t="str" cm="1">
        <f t="array" aca="1" ref="F17" ca="1">_xlfn.XLOOKUP(8,'JUL STWO Watchbill'!R5:'JUL STWO Watchbill'!R66,'JUL STWO Watchbill'!$C$5:'JUL STWO Watchbill'!$C$66)</f>
        <v>EMC DAVES</v>
      </c>
      <c r="G17" s="6340" t="s">
        <v>1307</v>
      </c>
      <c r="H17" s="3278" t="str" cm="1">
        <f t="array" aca="1" ref="H17" ca="1">_xlfn.XLOOKUP(8,'JUL STWO Watchbill'!S5:'JUL STWO Watchbill'!S66,'JUL STWO Watchbill'!$C$5:'JUL STWO Watchbill'!$C$66)</f>
        <v>LT PARRA</v>
      </c>
      <c r="I17" s="3717" t="s">
        <v>1307</v>
      </c>
      <c r="J17" s="3277" t="str" cm="1">
        <f t="array" aca="1" ref="J17" ca="1">_xlfn.XLOOKUP(8,'JUL STWO Watchbill'!T5:'JUL STWO Watchbill'!T66,'JUL STWO Watchbill'!$C$5:'JUL STWO Watchbill'!$C$66)</f>
        <v>ETC PEARSON</v>
      </c>
      <c r="K17" s="3711" t="s">
        <v>1307</v>
      </c>
      <c r="L17" s="3451" t="str" cm="1">
        <f t="array" aca="1" ref="L17" ca="1">_xlfn.XLOOKUP(8,'JUL STWO Watchbill'!U5:'JUL STWO Watchbill'!U66,'JUL STWO Watchbill'!$C$5:'JUL STWO Watchbill'!$C$66)</f>
        <v>OSC WILLIAMS</v>
      </c>
      <c r="M17" s="3711" t="s">
        <v>1307</v>
      </c>
      <c r="N17" s="3278" t="str" cm="1">
        <f t="array" aca="1" ref="N17" ca="1">_xlfn.XLOOKUP(8,'JUL STWO Watchbill'!V5:'JUL STWO Watchbill'!V66,'JUL STWO Watchbill'!$C$5:'JUL STWO Watchbill'!$C$66)</f>
        <v>LT MALIGSA</v>
      </c>
      <c r="O17" s="10"/>
      <c r="P17" s="10" t="s">
        <v>30</v>
      </c>
      <c r="Q17" s="3307" t="s">
        <v>610</v>
      </c>
      <c r="R17" s="3434" t="s">
        <v>1460</v>
      </c>
      <c r="S17" s="3430" t="e">
        <f>_xlfn.XLOOKUP($Q17,'JUL STWO Watchbill'!$B$5:$B$66,'JUL STWO Watchbill'!AV$5:AV$66)</f>
        <v>#N/A</v>
      </c>
      <c r="T17" s="3430" t="e">
        <f>_xlfn.XLOOKUP($Q17,'JUL STWO Watchbill'!$B$5:$B$66,'JUL STWO Watchbill'!AW$5:AW$66)</f>
        <v>#N/A</v>
      </c>
      <c r="U17" s="3430" t="e">
        <f>_xlfn.XLOOKUP($Q17,'JUL STWO Watchbill'!$B$5:$B$66,'JUL STWO Watchbill'!AX$5:AX$66)</f>
        <v>#N/A</v>
      </c>
      <c r="V17" s="3430" t="e">
        <f>_xlfn.XLOOKUP($Q17,'JUL STWO Watchbill'!$B$5:$B$66,'JUL STWO Watchbill'!AY$5:AY$66)</f>
        <v>#N/A</v>
      </c>
      <c r="W17" s="3430" t="e">
        <f>_xlfn.XLOOKUP($Q17,'JUL STWO Watchbill'!$B$5:$B$66,'JUL STWO Watchbill'!AZ$5:AZ$66)</f>
        <v>#N/A</v>
      </c>
      <c r="X17" s="3431" t="e">
        <f>SUM(S17:W17)</f>
        <v>#N/A</v>
      </c>
      <c r="Y17" s="10"/>
      <c r="Z17" s="10"/>
      <c r="AA17" s="10"/>
      <c r="AB17" s="10"/>
      <c r="AC17" s="10"/>
      <c r="AD17" s="10"/>
    </row>
    <row r="18" spans="1:30">
      <c r="A18" s="6341"/>
      <c r="B18" s="3529"/>
      <c r="C18" s="6347"/>
      <c r="D18" s="3352"/>
      <c r="E18" s="6347"/>
      <c r="F18" s="3482"/>
      <c r="G18" s="6341"/>
      <c r="H18" s="3526"/>
      <c r="I18" s="3718"/>
      <c r="J18" s="3526"/>
      <c r="K18" s="3712"/>
      <c r="L18" s="3526"/>
      <c r="M18" s="3712"/>
      <c r="N18" s="3543"/>
      <c r="O18" s="10"/>
      <c r="P18" s="10"/>
      <c r="Q18" s="3307" t="s">
        <v>1325</v>
      </c>
      <c r="R18" s="3301">
        <v>45778</v>
      </c>
      <c r="S18" s="3430"/>
      <c r="T18" s="3430"/>
      <c r="U18" s="3430"/>
      <c r="V18" s="3430"/>
      <c r="W18" s="3430"/>
      <c r="X18" s="3431"/>
      <c r="Y18" s="10"/>
      <c r="Z18" s="10"/>
      <c r="AA18" s="10"/>
      <c r="AB18" s="10"/>
      <c r="AC18" s="10"/>
      <c r="AD18" s="10"/>
    </row>
    <row r="19" spans="1:30">
      <c r="A19" s="3290" t="s">
        <v>1309</v>
      </c>
      <c r="B19" s="3166" t="str" cm="1">
        <f t="array" aca="1" ref="B19" ca="1">_xlfn.XLOOKUP(9,'JUL STWO Watchbill'!P5:'JUL STWO Watchbill'!P66,'JUL STWO Watchbill'!$C$5:'JUL STWO Watchbill'!$C$66)</f>
        <v>LT PARRA</v>
      </c>
      <c r="C19" s="3290" t="s">
        <v>1309</v>
      </c>
      <c r="D19" s="3285" t="str" cm="1">
        <f t="array" aca="1" ref="D19" ca="1">_xlfn.XLOOKUP(9,'JUL STWO Watchbill'!Q5:'JUL STWO Watchbill'!Q66,'JUL STWO Watchbill'!$C$5:'JUL STWO Watchbill'!$C$66)</f>
        <v>ENC TRAN</v>
      </c>
      <c r="E19" s="3290" t="s">
        <v>1309</v>
      </c>
      <c r="F19" s="3166" t="str" cm="1">
        <f t="array" aca="1" ref="F19" ca="1">_xlfn.XLOOKUP(9,'JUL STWO Watchbill'!R5:'JUL STWO Watchbill'!R66,'JUL STWO Watchbill'!$C$5:'JUL STWO Watchbill'!$C$66)</f>
        <v>FC1 FERNANDEZ</v>
      </c>
      <c r="G19" s="3290" t="s">
        <v>1309</v>
      </c>
      <c r="H19" s="3291" t="str" cm="1">
        <f t="array" aca="1" ref="H19" ca="1">_xlfn.XLOOKUP(9,'JUL STWO Watchbill'!S5:'JUL STWO Watchbill'!S66,'JUL STWO Watchbill'!$C$5:'JUL STWO Watchbill'!$C$66)</f>
        <v>ISC ALUMIA</v>
      </c>
      <c r="I19" s="3292" t="s">
        <v>1309</v>
      </c>
      <c r="J19" s="3166" t="str" cm="1">
        <f t="array" aca="1" ref="J19" ca="1">_xlfn.XLOOKUP(9,'JUL STWO Watchbill'!T5:'JUL STWO Watchbill'!T66,'JUL STWO Watchbill'!$C$5:'JUL STWO Watchbill'!$C$66)</f>
        <v>ENC TRAN</v>
      </c>
      <c r="K19" s="3290" t="s">
        <v>1309</v>
      </c>
      <c r="L19" s="3166" t="str" cm="1">
        <f t="array" aca="1" ref="L19" ca="1">_xlfn.XLOOKUP(9,'JUL STWO Watchbill'!U5:'JUL STWO Watchbill'!U66,'JUL STWO Watchbill'!$C$5:'JUL STWO Watchbill'!$C$66)</f>
        <v>GSMC MCKEOWN</v>
      </c>
      <c r="M19" s="3290" t="s">
        <v>1309</v>
      </c>
      <c r="N19" s="3291" t="str" cm="1">
        <f t="array" aca="1" ref="N19" ca="1">_xlfn.XLOOKUP(9,'JUL STWO Watchbill'!V5:'JUL STWO Watchbill'!V66,'JUL STWO Watchbill'!$C$5:'JUL STWO Watchbill'!$C$66)</f>
        <v>LT PARRA</v>
      </c>
      <c r="O19" s="10"/>
      <c r="P19" s="10"/>
      <c r="Q19" s="3307" t="s">
        <v>1326</v>
      </c>
      <c r="R19" s="3435">
        <v>45658</v>
      </c>
      <c r="S19" s="3430"/>
      <c r="T19" s="3430"/>
      <c r="U19" s="3430"/>
      <c r="V19" s="3430"/>
      <c r="W19" s="3430"/>
      <c r="X19" s="3431"/>
      <c r="Y19" s="10"/>
      <c r="Z19" s="10"/>
      <c r="AA19" s="10"/>
      <c r="AB19" s="10"/>
      <c r="AC19" s="10"/>
      <c r="AD19" s="10"/>
    </row>
    <row r="20" spans="1:30">
      <c r="A20" s="3290" t="s">
        <v>1311</v>
      </c>
      <c r="B20" s="3166"/>
      <c r="C20" s="3290" t="s">
        <v>1311</v>
      </c>
      <c r="D20" s="3291"/>
      <c r="E20" s="3290" t="s">
        <v>1311</v>
      </c>
      <c r="F20" s="3166"/>
      <c r="G20" s="3290" t="s">
        <v>1311</v>
      </c>
      <c r="H20" s="3291"/>
      <c r="I20" s="3292" t="s">
        <v>1311</v>
      </c>
      <c r="J20" s="3166"/>
      <c r="K20" s="3290" t="s">
        <v>1311</v>
      </c>
      <c r="L20" s="3166"/>
      <c r="M20" s="3443" t="s">
        <v>1311</v>
      </c>
      <c r="N20" s="3319"/>
      <c r="O20" s="10"/>
      <c r="P20" s="10"/>
      <c r="Q20" s="3307" t="s">
        <v>1201</v>
      </c>
      <c r="R20" s="3435">
        <v>45658</v>
      </c>
      <c r="S20" s="3430"/>
      <c r="T20" s="3430"/>
      <c r="U20" s="3430"/>
      <c r="V20" s="3430"/>
      <c r="W20" s="3430"/>
      <c r="X20" s="3431"/>
      <c r="Y20" s="10"/>
      <c r="Z20" s="10"/>
      <c r="AA20" s="10"/>
      <c r="AB20" s="10"/>
      <c r="AC20" s="10"/>
      <c r="AD20" s="10"/>
    </row>
    <row r="21" spans="1:30">
      <c r="A21" s="6351"/>
      <c r="B21" s="6352"/>
      <c r="C21" s="6351"/>
      <c r="D21" s="6356"/>
      <c r="E21" s="3713"/>
      <c r="F21" s="3715"/>
      <c r="G21" s="3713"/>
      <c r="H21" s="3714"/>
      <c r="I21" s="3715"/>
      <c r="J21" s="3715"/>
      <c r="K21" s="3713"/>
      <c r="L21" s="3715"/>
      <c r="M21" s="3713"/>
      <c r="N21" s="3714"/>
      <c r="O21" s="10"/>
      <c r="P21" s="10"/>
      <c r="Q21" s="3307" t="s">
        <v>1079</v>
      </c>
      <c r="R21" s="3436">
        <v>45597</v>
      </c>
      <c r="S21" s="3430"/>
      <c r="T21" s="3430"/>
      <c r="U21" s="3430"/>
      <c r="V21" s="3430"/>
      <c r="W21" s="3430"/>
      <c r="X21" s="3431"/>
      <c r="Y21" s="10"/>
      <c r="Z21" s="10"/>
      <c r="AA21" s="10"/>
      <c r="AB21" s="10"/>
      <c r="AC21" s="10"/>
      <c r="AD21" s="10"/>
    </row>
    <row r="22" spans="1:30">
      <c r="A22" s="6332">
        <v>20</v>
      </c>
      <c r="B22" s="6333"/>
      <c r="C22" s="6332">
        <v>21</v>
      </c>
      <c r="D22" s="6333"/>
      <c r="E22" s="6332">
        <v>22</v>
      </c>
      <c r="F22" s="6339"/>
      <c r="G22" s="6333">
        <v>23</v>
      </c>
      <c r="H22" s="6339"/>
      <c r="I22" s="6332">
        <v>24</v>
      </c>
      <c r="J22" s="6339"/>
      <c r="K22" s="6332">
        <v>25</v>
      </c>
      <c r="L22" s="6339"/>
      <c r="M22" s="6332">
        <v>26</v>
      </c>
      <c r="N22" s="6339"/>
      <c r="O22" s="10"/>
      <c r="P22" s="10"/>
      <c r="Q22" s="3307" t="s">
        <v>553</v>
      </c>
      <c r="R22" s="3437"/>
      <c r="S22" s="3430">
        <f>_xlfn.XLOOKUP($Q22,'JUL STWO Watchbill'!$B$5:$B$66,'JUL STWO Watchbill'!AV$5:AV$66)</f>
        <v>0</v>
      </c>
      <c r="T22" s="3430">
        <f>_xlfn.XLOOKUP($Q22,'JUL STWO Watchbill'!$B$5:$B$66,'JUL STWO Watchbill'!AW$5:AW$66)</f>
        <v>4</v>
      </c>
      <c r="U22" s="3430">
        <f>_xlfn.XLOOKUP($Q22,'JUL STWO Watchbill'!$B$5:$B$66,'JUL STWO Watchbill'!AX$5:AX$66)</f>
        <v>0</v>
      </c>
      <c r="V22" s="3430">
        <f>_xlfn.XLOOKUP($Q22,'JUL STWO Watchbill'!$B$5:$B$66,'JUL STWO Watchbill'!AY$5:AY$66)</f>
        <v>1</v>
      </c>
      <c r="W22" s="3430">
        <f>_xlfn.XLOOKUP($Q22,'JUL STWO Watchbill'!$B$5:$B$66,'JUL STWO Watchbill'!AZ$5:AZ$66)</f>
        <v>0</v>
      </c>
      <c r="X22" s="3431">
        <f>SUM(S22:W22)</f>
        <v>5</v>
      </c>
      <c r="Y22" s="10"/>
      <c r="Z22" s="10"/>
      <c r="AA22" s="10"/>
      <c r="AB22" s="10"/>
      <c r="AC22" s="10"/>
      <c r="AD22" s="10"/>
    </row>
    <row r="23" spans="1:30" ht="15.75" customHeight="1">
      <c r="A23" s="6346" t="s">
        <v>1307</v>
      </c>
      <c r="B23" s="3277" t="str" cm="1">
        <f t="array" aca="1" ref="B23" ca="1">_xlfn.XLOOKUP(8,'JUL STWO Watchbill'!W5:'JUL STWO Watchbill'!W66,'JUL STWO Watchbill'!$C$5:'JUL STWO Watchbill'!$C$66)</f>
        <v>ETC PEARSON</v>
      </c>
      <c r="C23" s="6346" t="s">
        <v>1307</v>
      </c>
      <c r="D23" s="3277" t="str" cm="1">
        <f t="array" aca="1" ref="D23" ca="1">_xlfn.XLOOKUP(8,'JUL STWO Watchbill'!X5:'JUL STWO Watchbill'!X66,'JUL STWO Watchbill'!$C$5:'JUL STWO Watchbill'!$C$66)</f>
        <v>BMC FUENTES</v>
      </c>
      <c r="E23" s="6340" t="s">
        <v>1307</v>
      </c>
      <c r="F23" s="3278" t="str" cm="1">
        <f t="array" aca="1" ref="F23" ca="1">_xlfn.XLOOKUP(8,'JUL STWO Watchbill'!Y5:'JUL STWO Watchbill'!Y66,'JUL STWO Watchbill'!$C$5:'JUL STWO Watchbill'!$C$66)</f>
        <v>LCDR DESORMIER</v>
      </c>
      <c r="G23" s="6677" t="s">
        <v>1307</v>
      </c>
      <c r="H23" s="3300" t="str" cm="1">
        <f t="array" aca="1" ref="H23" ca="1">_xlfn.XLOOKUP(8,'JUL STWO Watchbill'!Z5:'JUL STWO Watchbill'!Z66,'JUL STWO Watchbill'!$C$5:'JUL STWO Watchbill'!$C$66)</f>
        <v>LT PARRA</v>
      </c>
      <c r="I23" s="3716" t="s">
        <v>1307</v>
      </c>
      <c r="J23" s="3450" t="str" cm="1">
        <f t="array" aca="1" ref="J23" ca="1">_xlfn.XLOOKUP(8,'JUL STWO Watchbill'!AA5:'JUL STWO Watchbill'!AA66,'JUL STWO Watchbill'!$C$5:'JUL STWO Watchbill'!$C$66)</f>
        <v>BMC FUENTES</v>
      </c>
      <c r="K23" s="3711" t="s">
        <v>1307</v>
      </c>
      <c r="L23" s="3450" t="str" cm="1">
        <f t="array" aca="1" ref="L23" ca="1">_xlfn.XLOOKUP(8,'JUL STWO Watchbill'!AB5:'JUL STWO Watchbill'!AB66,'JUL STWO Watchbill'!$C$5:'JUL STWO Watchbill'!$C$66)</f>
        <v>GSMC MCKEOWN</v>
      </c>
      <c r="M23" s="3711" t="s">
        <v>1307</v>
      </c>
      <c r="N23" s="3278" t="str" cm="1">
        <f t="array" aca="1" ref="N23" ca="1">_xlfn.XLOOKUP(8,'JUL STWO Watchbill'!AC5:'JUL STWO Watchbill'!AC66,'JUL STWO Watchbill'!$C$5:'JUL STWO Watchbill'!$C$66)</f>
        <v>OS1 TILLMAN</v>
      </c>
      <c r="O23" s="10"/>
      <c r="P23" s="10"/>
      <c r="Q23" s="3307" t="s">
        <v>733</v>
      </c>
      <c r="R23" s="3279"/>
      <c r="S23" s="3430">
        <f>_xlfn.XLOOKUP($Q23,'JUL STWO Watchbill'!$B$5:$B$66,'JUL STWO Watchbill'!AV$5:AV$66)</f>
        <v>2</v>
      </c>
      <c r="T23" s="3430">
        <f>_xlfn.XLOOKUP($Q23,'JUL STWO Watchbill'!$B$5:$B$66,'JUL STWO Watchbill'!AW$5:AW$66)</f>
        <v>1</v>
      </c>
      <c r="U23" s="3430">
        <f>_xlfn.XLOOKUP($Q23,'JUL STWO Watchbill'!$B$5:$B$66,'JUL STWO Watchbill'!AX$5:AX$66)</f>
        <v>0</v>
      </c>
      <c r="V23" s="3430">
        <f>_xlfn.XLOOKUP($Q23,'JUL STWO Watchbill'!$B$5:$B$66,'JUL STWO Watchbill'!AY$5:AY$66)</f>
        <v>1</v>
      </c>
      <c r="W23" s="3430">
        <f>_xlfn.XLOOKUP($Q23,'JUL STWO Watchbill'!$B$5:$B$66,'JUL STWO Watchbill'!AZ$5:AZ$66)</f>
        <v>1</v>
      </c>
      <c r="X23" s="3431">
        <f>SUM(S23:W23)</f>
        <v>5</v>
      </c>
      <c r="Y23" s="10"/>
      <c r="Z23" s="10"/>
      <c r="AA23" s="10"/>
      <c r="AB23" s="10"/>
      <c r="AC23" s="10"/>
      <c r="AD23" s="10"/>
    </row>
    <row r="24" spans="1:30">
      <c r="A24" s="6341"/>
      <c r="B24" s="3727"/>
      <c r="C24" s="6347"/>
      <c r="D24" s="3544"/>
      <c r="E24" s="6341"/>
      <c r="F24" s="3543"/>
      <c r="G24" s="6678"/>
      <c r="H24" s="3528"/>
      <c r="I24" s="3718"/>
      <c r="J24" s="3526"/>
      <c r="K24" s="3712"/>
      <c r="L24" s="3526"/>
      <c r="M24" s="3712"/>
      <c r="N24" s="3528"/>
      <c r="O24" s="10"/>
      <c r="P24" s="10"/>
      <c r="Q24" s="3307" t="s">
        <v>693</v>
      </c>
      <c r="R24" s="3429"/>
      <c r="S24" s="3430">
        <f>_xlfn.XLOOKUP($Q24,'JUL STWO Watchbill'!$B$5:$B$66,'JUL STWO Watchbill'!AV$5:AV$66)</f>
        <v>0</v>
      </c>
      <c r="T24" s="3430">
        <f>_xlfn.XLOOKUP($Q24,'JUL STWO Watchbill'!$B$5:$B$66,'JUL STWO Watchbill'!AW$5:AW$66)</f>
        <v>1</v>
      </c>
      <c r="U24" s="3430">
        <f>_xlfn.XLOOKUP($Q24,'JUL STWO Watchbill'!$B$5:$B$66,'JUL STWO Watchbill'!AX$5:AX$66)</f>
        <v>1</v>
      </c>
      <c r="V24" s="3430">
        <f>_xlfn.XLOOKUP($Q24,'JUL STWO Watchbill'!$B$5:$B$66,'JUL STWO Watchbill'!AY$5:AY$66)</f>
        <v>2</v>
      </c>
      <c r="W24" s="3430">
        <f>_xlfn.XLOOKUP($Q24,'JUL STWO Watchbill'!$B$5:$B$66,'JUL STWO Watchbill'!AZ$5:AZ$66)</f>
        <v>0</v>
      </c>
      <c r="X24" s="3431">
        <f>SUM(S24:W24)</f>
        <v>4</v>
      </c>
      <c r="Y24" s="10"/>
      <c r="Z24" s="10"/>
      <c r="AA24" s="10"/>
      <c r="AB24" s="10"/>
      <c r="AC24" s="10"/>
      <c r="AD24" s="10"/>
    </row>
    <row r="25" spans="1:30">
      <c r="A25" s="3290" t="s">
        <v>1309</v>
      </c>
      <c r="B25" s="3166" t="str" cm="1">
        <f t="array" aca="1" ref="B25" ca="1">_xlfn.XLOOKUP(9,'JUL STWO Watchbill'!W5:'JUL STWO Watchbill'!W66,'JUL STWO Watchbill'!$C$5:'JUL STWO Watchbill'!$C$66)</f>
        <v>OS1 TILLMAN</v>
      </c>
      <c r="C25" s="3290" t="s">
        <v>1309</v>
      </c>
      <c r="D25" s="3166" t="str" cm="1">
        <f t="array" aca="1" ref="D25" ca="1">_xlfn.XLOOKUP(9,'JUL STWO Watchbill'!X5:'JUL STWO Watchbill'!X66,'JUL STWO Watchbill'!$C$5:'JUL STWO Watchbill'!$C$66)</f>
        <v>GMC OGLE</v>
      </c>
      <c r="E25" s="3443" t="s">
        <v>1309</v>
      </c>
      <c r="F25" s="3319" t="str" cm="1">
        <f t="array" aca="1" ref="F25" ca="1">_xlfn.XLOOKUP(9,'JUL STWO Watchbill'!Y5:'JUL STWO Watchbill'!Y66,'JUL STWO Watchbill'!$C$5:'JUL STWO Watchbill'!$C$66)</f>
        <v>GSMC MCKEOWN</v>
      </c>
      <c r="G25" s="3545" t="s">
        <v>1309</v>
      </c>
      <c r="H25" s="3285" t="str" cm="1">
        <f t="array" aca="1" ref="H25" ca="1">_xlfn.XLOOKUP(9,'JUL STWO Watchbill'!Z5:'JUL STWO Watchbill'!Z66,'JUL STWO Watchbill'!$C$5:'JUL STWO Watchbill'!$C$66)</f>
        <v>EMC DAVES</v>
      </c>
      <c r="I25" s="3292" t="s">
        <v>1309</v>
      </c>
      <c r="J25" s="3166" t="str" cm="1">
        <f t="array" aca="1" ref="J25" ca="1">_xlfn.XLOOKUP(9,'JUL STWO Watchbill'!AA5:'JUL STWO Watchbill'!AA66,'JUL STWO Watchbill'!$C$5:'JUL STWO Watchbill'!$C$66)</f>
        <v>ENC TRAN</v>
      </c>
      <c r="K25" s="3290" t="s">
        <v>1309</v>
      </c>
      <c r="L25" s="3166" t="str" cm="1">
        <f t="array" aca="1" ref="L25" ca="1">_xlfn.XLOOKUP(9,'JUL STWO Watchbill'!AB5:'JUL STWO Watchbill'!AB66,'JUL STWO Watchbill'!$C$5:'JUL STWO Watchbill'!$C$66)</f>
        <v>GMC OGLE</v>
      </c>
      <c r="M25" s="3290" t="s">
        <v>1309</v>
      </c>
      <c r="N25" s="3291" t="str" cm="1">
        <f t="array" aca="1" ref="N25" ca="1">_xlfn.XLOOKUP(9,'JUL STWO Watchbill'!AC5:'JUL STWO Watchbill'!AC66,'JUL STWO Watchbill'!$C$5:'JUL STWO Watchbill'!$C$66)</f>
        <v>ETC PEARSON</v>
      </c>
      <c r="O25" s="10"/>
      <c r="P25" s="10"/>
      <c r="Q25" s="3307" t="s">
        <v>657</v>
      </c>
      <c r="R25" s="3287"/>
      <c r="S25" s="3430">
        <f>_xlfn.XLOOKUP($Q25,'JUL STWO Watchbill'!$B$5:$B$66,'JUL STWO Watchbill'!AV$5:AV$66)</f>
        <v>1</v>
      </c>
      <c r="T25" s="3430">
        <f>_xlfn.XLOOKUP($Q25,'JUL STWO Watchbill'!$B$5:$B$66,'JUL STWO Watchbill'!AW$5:AW$66)</f>
        <v>1</v>
      </c>
      <c r="U25" s="3430">
        <f>_xlfn.XLOOKUP($Q25,'JUL STWO Watchbill'!$B$5:$B$66,'JUL STWO Watchbill'!AX$5:AX$66)</f>
        <v>0</v>
      </c>
      <c r="V25" s="3430">
        <f>_xlfn.XLOOKUP($Q25,'JUL STWO Watchbill'!$B$5:$B$66,'JUL STWO Watchbill'!AY$5:AY$66)</f>
        <v>3</v>
      </c>
      <c r="W25" s="3430">
        <f>_xlfn.XLOOKUP($Q25,'JUL STWO Watchbill'!$B$5:$B$66,'JUL STWO Watchbill'!AZ$5:AZ$66)</f>
        <v>0</v>
      </c>
      <c r="X25" s="3431">
        <f>SUM(S25:W25)</f>
        <v>5</v>
      </c>
      <c r="Y25" s="10"/>
      <c r="Z25" s="10"/>
      <c r="AA25" s="10"/>
      <c r="AB25" s="10"/>
      <c r="AC25" s="10"/>
      <c r="AD25" s="10"/>
    </row>
    <row r="26" spans="1:30">
      <c r="A26" s="3443" t="s">
        <v>1311</v>
      </c>
      <c r="B26" s="3325"/>
      <c r="C26" s="3443" t="s">
        <v>1311</v>
      </c>
      <c r="D26" s="3325"/>
      <c r="E26" s="3546" t="s">
        <v>1311</v>
      </c>
      <c r="F26" s="3221"/>
      <c r="G26" s="3545" t="s">
        <v>1311</v>
      </c>
      <c r="H26" s="3291"/>
      <c r="I26" s="3318" t="s">
        <v>1311</v>
      </c>
      <c r="J26" s="3166"/>
      <c r="K26" s="3449" t="s">
        <v>1311</v>
      </c>
      <c r="L26" s="3166"/>
      <c r="M26" s="3443" t="s">
        <v>1311</v>
      </c>
      <c r="N26" s="3291"/>
      <c r="O26" s="10"/>
      <c r="P26" s="10"/>
      <c r="Q26" s="3307" t="s">
        <v>474</v>
      </c>
      <c r="R26" s="3287" t="s">
        <v>1332</v>
      </c>
      <c r="S26" s="3430">
        <f>_xlfn.XLOOKUP($Q26,'JUL STWO Watchbill'!$B$5:$B$66,'JUL STWO Watchbill'!AV$5:AV$66)</f>
        <v>0</v>
      </c>
      <c r="T26" s="3430">
        <f>_xlfn.XLOOKUP($Q26,'JUL STWO Watchbill'!$B$5:$B$66,'JUL STWO Watchbill'!AW$5:AW$66)</f>
        <v>1</v>
      </c>
      <c r="U26" s="3430">
        <f>_xlfn.XLOOKUP($Q26,'JUL STWO Watchbill'!$B$5:$B$66,'JUL STWO Watchbill'!AX$5:AX$66)</f>
        <v>0</v>
      </c>
      <c r="V26" s="3430">
        <f>_xlfn.XLOOKUP($Q26,'JUL STWO Watchbill'!$B$5:$B$66,'JUL STWO Watchbill'!AY$5:AY$66)</f>
        <v>2</v>
      </c>
      <c r="W26" s="3430">
        <f>_xlfn.XLOOKUP($Q26,'JUL STWO Watchbill'!$B$5:$B$66,'JUL STWO Watchbill'!AZ$5:AZ$66)</f>
        <v>0</v>
      </c>
      <c r="X26" s="3431">
        <f>SUM(S26:W26)</f>
        <v>3</v>
      </c>
      <c r="Y26" s="10"/>
      <c r="Z26" s="10"/>
      <c r="AA26" s="10"/>
      <c r="AB26" s="10"/>
      <c r="AC26" s="10"/>
      <c r="AD26" s="10"/>
    </row>
    <row r="27" spans="1:30">
      <c r="A27" s="3713"/>
      <c r="B27" s="3715"/>
      <c r="C27" s="6351"/>
      <c r="D27" s="6352"/>
      <c r="E27" s="3709"/>
      <c r="F27" s="3724"/>
      <c r="G27" s="3726"/>
      <c r="H27" s="3721"/>
      <c r="I27" s="3446"/>
      <c r="J27" s="3446"/>
      <c r="K27" s="3709"/>
      <c r="L27" s="3446"/>
      <c r="M27" s="3330"/>
      <c r="N27" s="3447"/>
      <c r="O27" s="10"/>
      <c r="P27" s="10"/>
      <c r="Q27" s="3307" t="s">
        <v>135</v>
      </c>
      <c r="R27" s="3287"/>
      <c r="S27" s="3430">
        <f>_xlfn.XLOOKUP($Q27,'JUL STWO Watchbill'!$B$5:$B$66,'JUL STWO Watchbill'!AV$5:AV$66)</f>
        <v>1</v>
      </c>
      <c r="T27" s="3430">
        <f>_xlfn.XLOOKUP($Q27,'JUL STWO Watchbill'!$B$5:$B$66,'JUL STWO Watchbill'!AW$5:AW$66)</f>
        <v>1</v>
      </c>
      <c r="U27" s="3430">
        <f>_xlfn.XLOOKUP($Q27,'JUL STWO Watchbill'!$B$5:$B$66,'JUL STWO Watchbill'!AX$5:AX$66)</f>
        <v>1</v>
      </c>
      <c r="V27" s="3430">
        <f>_xlfn.XLOOKUP($Q27,'JUL STWO Watchbill'!$B$5:$B$66,'JUL STWO Watchbill'!AY$5:AY$66)</f>
        <v>1</v>
      </c>
      <c r="W27" s="3430">
        <f>_xlfn.XLOOKUP($Q27,'JUL STWO Watchbill'!$B$5:$B$66,'JUL STWO Watchbill'!AZ$5:AZ$66)</f>
        <v>0</v>
      </c>
      <c r="X27" s="3431">
        <f>SUM(S27:W27)</f>
        <v>4</v>
      </c>
      <c r="Y27" s="10"/>
      <c r="Z27" s="10"/>
      <c r="AA27" s="10"/>
      <c r="AB27" s="10"/>
      <c r="AC27" s="10"/>
      <c r="AD27" s="10"/>
    </row>
    <row r="28" spans="1:30" ht="15.75" customHeight="1">
      <c r="A28" s="6367">
        <v>27</v>
      </c>
      <c r="B28" s="6370"/>
      <c r="C28" s="6367">
        <v>28</v>
      </c>
      <c r="D28" s="6368"/>
      <c r="E28" s="6463">
        <v>29</v>
      </c>
      <c r="F28" s="6464"/>
      <c r="G28" s="6369">
        <v>30</v>
      </c>
      <c r="H28" s="6368"/>
      <c r="I28" s="6369">
        <v>31</v>
      </c>
      <c r="J28" s="6368"/>
      <c r="K28" s="283"/>
      <c r="L28" s="283"/>
      <c r="M28" s="283"/>
      <c r="N28" s="1435"/>
      <c r="O28" s="10"/>
      <c r="P28" s="10"/>
      <c r="Q28" s="3320" t="s">
        <v>334</v>
      </c>
      <c r="R28" s="3321"/>
      <c r="S28" s="3430" t="e">
        <f>_xlfn.XLOOKUP($Q28,'JUL STWO Watchbill'!$B$5:$B$66,'JUL STWO Watchbill'!AV$5:AV$66)</f>
        <v>#N/A</v>
      </c>
      <c r="T28" s="3430" t="e">
        <f>_xlfn.XLOOKUP($Q28,'JUL STWO Watchbill'!$B$5:$B$66,'JUL STWO Watchbill'!AW$5:AW$66)</f>
        <v>#N/A</v>
      </c>
      <c r="U28" s="3430" t="e">
        <f>_xlfn.XLOOKUP($Q28,'JUL STWO Watchbill'!$B$5:$B$66,'JUL STWO Watchbill'!AX$5:AX$66)</f>
        <v>#N/A</v>
      </c>
      <c r="V28" s="3430" t="e">
        <f>_xlfn.XLOOKUP($Q28,'JUL STWO Watchbill'!$B$5:$B$66,'JUL STWO Watchbill'!AY$5:AY$66)</f>
        <v>#N/A</v>
      </c>
      <c r="W28" s="3430" t="e">
        <f>_xlfn.XLOOKUP($Q28,'JUL STWO Watchbill'!$B$5:$B$66,'JUL STWO Watchbill'!AZ$5:AZ$66)</f>
        <v>#N/A</v>
      </c>
      <c r="X28" s="3431" t="e">
        <f>SUM(S28:W28)</f>
        <v>#N/A</v>
      </c>
      <c r="Y28" s="10"/>
      <c r="Z28" s="10"/>
      <c r="AA28" s="10"/>
      <c r="AB28" s="10"/>
      <c r="AC28" s="10"/>
      <c r="AD28" s="10"/>
    </row>
    <row r="29" spans="1:30" ht="15.75" customHeight="1">
      <c r="A29" s="6380" t="s">
        <v>1307</v>
      </c>
      <c r="B29" s="3277" t="str" cm="1">
        <f t="array" aca="1" ref="B29" ca="1">_xlfn.XLOOKUP(8,'JUL STWO Watchbill'!AD5:'JUL STWO Watchbill'!AD66,'JUL STWO Watchbill'!$C$5:'JUL STWO Watchbill'!$C$66)</f>
        <v>BMC FUENTES</v>
      </c>
      <c r="C29" s="6346" t="s">
        <v>1307</v>
      </c>
      <c r="D29" s="3278" t="str" cm="1">
        <f t="array" aca="1" ref="D29" ca="1">_xlfn.XLOOKUP(8,'JUL STWO Watchbill'!AE5:'JUL STWO Watchbill'!AE66,'JUL STWO Watchbill'!$C$5:'JUL STWO Watchbill'!$C$66)</f>
        <v>GMC OGLE</v>
      </c>
      <c r="E29" s="6346" t="s">
        <v>1307</v>
      </c>
      <c r="F29" s="3444" t="str" cm="1">
        <f t="array" aca="1" ref="F29" ca="1">_xlfn.XLOOKUP(8,'JUL STWO Watchbill'!AF5:'JUL STWO Watchbill'!AF66,'JUL STWO Watchbill'!$C$5:'JUL STWO Watchbill'!$C$66)</f>
        <v>ISC ALUMIA</v>
      </c>
      <c r="G29" s="6337" t="s">
        <v>1307</v>
      </c>
      <c r="H29" s="3278" t="str" cm="1">
        <f t="array" aca="1" ref="H29" ca="1">_xlfn.XLOOKUP(8,'JUL STWO Watchbill'!AG5:'JUL STWO Watchbill'!AG66,'JUL STWO Watchbill'!$C$5:'JUL STWO Watchbill'!$C$66)</f>
        <v>STGC PLACENCIA</v>
      </c>
      <c r="I29" s="6337" t="s">
        <v>1307</v>
      </c>
      <c r="J29" s="3278" t="str" cm="1">
        <f t="array" aca="1" ref="J29" ca="1">_xlfn.XLOOKUP(8,'JUL STWO Watchbill'!AH5:'JUL STWO Watchbill'!AH66,'JUL STWO Watchbill'!$C$5:'JUL STWO Watchbill'!$C$66)</f>
        <v>LTJG BAILEY</v>
      </c>
      <c r="K29" s="283"/>
      <c r="L29" s="283"/>
      <c r="M29" s="283"/>
      <c r="N29" s="1435"/>
      <c r="O29" s="10"/>
      <c r="P29" s="10"/>
      <c r="Q29" s="3298" t="s">
        <v>1036</v>
      </c>
      <c r="R29" s="3323"/>
      <c r="S29" s="3430">
        <f>_xlfn.XLOOKUP($Q29,'JUL STWO Watchbill'!$B$5:$B$66,'JUL STWO Watchbill'!AV$5:AV$66)</f>
        <v>1</v>
      </c>
      <c r="T29" s="3430">
        <f>_xlfn.XLOOKUP($Q29,'JUL STWO Watchbill'!$B$5:$B$66,'JUL STWO Watchbill'!AW$5:AW$66)</f>
        <v>0</v>
      </c>
      <c r="U29" s="3430">
        <f>_xlfn.XLOOKUP($Q29,'JUL STWO Watchbill'!$B$5:$B$66,'JUL STWO Watchbill'!AX$5:AX$66)</f>
        <v>0</v>
      </c>
      <c r="V29" s="3430">
        <f>_xlfn.XLOOKUP($Q29,'JUL STWO Watchbill'!$B$5:$B$66,'JUL STWO Watchbill'!AY$5:AY$66)</f>
        <v>0</v>
      </c>
      <c r="W29" s="3430">
        <f>_xlfn.XLOOKUP($Q29,'JUL STWO Watchbill'!$B$5:$B$66,'JUL STWO Watchbill'!AZ$5:AZ$66)</f>
        <v>0</v>
      </c>
      <c r="X29" s="3431">
        <f>SUM(S29:W29)</f>
        <v>1</v>
      </c>
      <c r="Y29" s="10"/>
      <c r="Z29" s="10"/>
      <c r="AA29" s="10"/>
      <c r="AB29" s="10"/>
      <c r="AC29" s="10"/>
      <c r="AD29" s="10"/>
    </row>
    <row r="30" spans="1:30" ht="15.75" customHeight="1">
      <c r="A30" s="6669"/>
      <c r="B30" s="3534"/>
      <c r="C30" s="6347"/>
      <c r="D30" s="3477"/>
      <c r="E30" s="6347"/>
      <c r="F30" s="3477"/>
      <c r="G30" s="6338"/>
      <c r="H30" s="3528"/>
      <c r="I30" s="6338"/>
      <c r="J30" s="3528"/>
      <c r="K30" s="283"/>
      <c r="L30" s="283"/>
      <c r="M30" s="283"/>
      <c r="N30" s="1435"/>
      <c r="O30" s="10"/>
      <c r="P30" s="10"/>
      <c r="Q30" s="3272" t="s">
        <v>1058</v>
      </c>
      <c r="R30" s="3287"/>
      <c r="S30" s="3430">
        <f>_xlfn.XLOOKUP($Q30,'JUL STWO Watchbill'!$B$5:$B$66,'JUL STWO Watchbill'!AV$5:AV$66)</f>
        <v>0</v>
      </c>
      <c r="T30" s="3430">
        <f>_xlfn.XLOOKUP($Q30,'JUL STWO Watchbill'!$B$5:$B$66,'JUL STWO Watchbill'!AW$5:AW$66)</f>
        <v>1</v>
      </c>
      <c r="U30" s="3430">
        <f>_xlfn.XLOOKUP($Q30,'JUL STWO Watchbill'!$B$5:$B$66,'JUL STWO Watchbill'!AX$5:AX$66)</f>
        <v>0</v>
      </c>
      <c r="V30" s="3430">
        <f>_xlfn.XLOOKUP($Q30,'JUL STWO Watchbill'!$B$5:$B$66,'JUL STWO Watchbill'!AY$5:AY$66)</f>
        <v>0</v>
      </c>
      <c r="W30" s="3430">
        <f>_xlfn.XLOOKUP($Q30,'JUL STWO Watchbill'!$B$5:$B$66,'JUL STWO Watchbill'!AZ$5:AZ$66)</f>
        <v>0</v>
      </c>
      <c r="X30" s="3431">
        <f>SUM(S30:W30)</f>
        <v>1</v>
      </c>
      <c r="Y30" s="10"/>
      <c r="Z30" s="10"/>
      <c r="AA30" s="10"/>
      <c r="AB30" s="10"/>
      <c r="AC30" s="10"/>
      <c r="AD30" s="10"/>
    </row>
    <row r="31" spans="1:30" ht="15.75" customHeight="1">
      <c r="A31" s="3324" t="s">
        <v>1309</v>
      </c>
      <c r="B31" s="3166" t="str" cm="1">
        <f t="array" aca="1" ref="B31" ca="1">_xlfn.XLOOKUP(9,'JUL STWO Watchbill'!AD5:'JUL STWO Watchbill'!AD66,'JUL STWO Watchbill'!$C$5:'JUL STWO Watchbill'!$C$66)</f>
        <v>EMC DAVES</v>
      </c>
      <c r="C31" s="3290" t="s">
        <v>1309</v>
      </c>
      <c r="D31" s="3319" t="str" cm="1">
        <f t="array" aca="1" ref="D31" ca="1">_xlfn.XLOOKUP(9,'JUL STWO Watchbill'!AE5:'JUL STWO Watchbill'!AE66,'JUL STWO Watchbill'!$C$5:'JUL STWO Watchbill'!$C$66)</f>
        <v>LT MALIGSA</v>
      </c>
      <c r="E31" s="3290" t="s">
        <v>1309</v>
      </c>
      <c r="F31" s="3291" t="str" cm="1">
        <f t="array" aca="1" ref="F31" ca="1">_xlfn.XLOOKUP(9,'JUL STWO Watchbill'!AF5:'JUL STWO Watchbill'!AF66,'JUL STWO Watchbill'!$C$5:'JUL STWO Watchbill'!$C$66)</f>
        <v>OSC WILLIAMS</v>
      </c>
      <c r="G31" s="3292" t="s">
        <v>1309</v>
      </c>
      <c r="H31" s="3278" t="str" cm="1">
        <f t="array" aca="1" ref="H31" ca="1">_xlfn.XLOOKUP(8,'JUL STWO Watchbill'!AG7:'JUL STWO Watchbill'!AG68,'JUL STWO Watchbill'!$C$5:'JUL STWO Watchbill'!$C$66)</f>
        <v>LT DECKER</v>
      </c>
      <c r="I31" s="3292" t="s">
        <v>1309</v>
      </c>
      <c r="J31" s="3291" t="str" cm="1">
        <f t="array" aca="1" ref="J31" ca="1">_xlfn.XLOOKUP(9,'JUL STWO Watchbill'!AH5:'JUL STWO Watchbill'!AH66,'JUL STWO Watchbill'!$C$5:'JUL STWO Watchbill'!$C$66)</f>
        <v>OS1 LARA</v>
      </c>
      <c r="K31" s="283"/>
      <c r="L31" s="283"/>
      <c r="M31" s="283"/>
      <c r="N31" s="1435"/>
      <c r="O31" s="10"/>
      <c r="P31" s="10"/>
      <c r="Q31" s="3272" t="s">
        <v>1037</v>
      </c>
      <c r="R31" s="3287"/>
      <c r="S31" s="3430">
        <f>_xlfn.XLOOKUP($Q31,'JUL STWO Watchbill'!$B$5:$B$66,'JUL STWO Watchbill'!AV$5:AV$66)</f>
        <v>0</v>
      </c>
      <c r="T31" s="3430">
        <f>_xlfn.XLOOKUP($Q31,'JUL STWO Watchbill'!$B$5:$B$66,'JUL STWO Watchbill'!AW$5:AW$66)</f>
        <v>1</v>
      </c>
      <c r="U31" s="3430">
        <f>_xlfn.XLOOKUP($Q31,'JUL STWO Watchbill'!$B$5:$B$66,'JUL STWO Watchbill'!AX$5:AX$66)</f>
        <v>0</v>
      </c>
      <c r="V31" s="3430">
        <f>_xlfn.XLOOKUP($Q31,'JUL STWO Watchbill'!$B$5:$B$66,'JUL STWO Watchbill'!AY$5:AY$66)</f>
        <v>0</v>
      </c>
      <c r="W31" s="3430">
        <f>_xlfn.XLOOKUP($Q31,'JUL STWO Watchbill'!$B$5:$B$66,'JUL STWO Watchbill'!AZ$5:AZ$66)</f>
        <v>0</v>
      </c>
      <c r="X31" s="3431">
        <f>SUM(S31:W31)</f>
        <v>1</v>
      </c>
      <c r="Y31" s="10"/>
      <c r="Z31" s="10"/>
      <c r="AA31" s="10"/>
      <c r="AB31" s="10"/>
      <c r="AC31" s="10"/>
      <c r="AD31" s="10"/>
    </row>
    <row r="32" spans="1:30">
      <c r="A32" s="3324" t="s">
        <v>1311</v>
      </c>
      <c r="B32" s="3166"/>
      <c r="C32" s="3328" t="s">
        <v>1311</v>
      </c>
      <c r="D32" s="3291"/>
      <c r="E32" s="3329" t="s">
        <v>1311</v>
      </c>
      <c r="F32" s="3291"/>
      <c r="G32" s="3445" t="s">
        <v>1311</v>
      </c>
      <c r="H32" s="3291"/>
      <c r="I32" s="3445" t="s">
        <v>1311</v>
      </c>
      <c r="J32" s="3291"/>
      <c r="K32" s="283"/>
      <c r="L32" s="283"/>
      <c r="M32" s="283"/>
      <c r="N32" s="1435"/>
      <c r="O32" s="10"/>
      <c r="P32" s="10"/>
      <c r="Q32" s="3272" t="s">
        <v>620</v>
      </c>
      <c r="R32" s="3287"/>
      <c r="S32" s="3430">
        <f>_xlfn.XLOOKUP($Q32,'JUL STWO Watchbill'!$B$5:$B$66,'JUL STWO Watchbill'!AV$5:AV$66)</f>
        <v>0</v>
      </c>
      <c r="T32" s="3430">
        <f>_xlfn.XLOOKUP($Q32,'JUL STWO Watchbill'!$B$5:$B$66,'JUL STWO Watchbill'!AW$5:AW$66)</f>
        <v>0</v>
      </c>
      <c r="U32" s="3430">
        <f>_xlfn.XLOOKUP($Q32,'JUL STWO Watchbill'!$B$5:$B$66,'JUL STWO Watchbill'!AX$5:AX$66)</f>
        <v>0</v>
      </c>
      <c r="V32" s="3430">
        <f>_xlfn.XLOOKUP($Q32,'JUL STWO Watchbill'!$B$5:$B$66,'JUL STWO Watchbill'!AY$5:AY$66)</f>
        <v>0</v>
      </c>
      <c r="W32" s="3430">
        <f>_xlfn.XLOOKUP($Q32,'JUL STWO Watchbill'!$B$5:$B$66,'JUL STWO Watchbill'!AZ$5:AZ$66)</f>
        <v>0</v>
      </c>
      <c r="X32" s="3431">
        <f>SUM(S32:W32)</f>
        <v>0</v>
      </c>
      <c r="Y32" s="10"/>
      <c r="Z32" s="10"/>
      <c r="AA32" s="10"/>
      <c r="AB32" s="10"/>
      <c r="AC32" s="10"/>
      <c r="AD32" s="10"/>
    </row>
    <row r="33" spans="1:30">
      <c r="A33" s="6668"/>
      <c r="B33" s="6460"/>
      <c r="C33" s="6374"/>
      <c r="D33" s="6461"/>
      <c r="E33" s="6376"/>
      <c r="F33" s="6462"/>
      <c r="G33" s="3446"/>
      <c r="H33" s="3724"/>
      <c r="I33" s="3446"/>
      <c r="J33" s="3724"/>
      <c r="K33" s="283"/>
      <c r="L33" s="283"/>
      <c r="M33" s="283"/>
      <c r="N33" s="1435"/>
      <c r="O33" s="10"/>
      <c r="P33" s="10"/>
      <c r="Q33" s="3272" t="s">
        <v>740</v>
      </c>
      <c r="R33" s="3279"/>
      <c r="S33" s="3430">
        <f>_xlfn.XLOOKUP($Q33,'JUL STWO Watchbill'!$B$5:$B$66,'JUL STWO Watchbill'!AV$5:AV$66)</f>
        <v>1</v>
      </c>
      <c r="T33" s="3430">
        <f>_xlfn.XLOOKUP($Q33,'JUL STWO Watchbill'!$B$5:$B$66,'JUL STWO Watchbill'!AW$5:AW$66)</f>
        <v>0</v>
      </c>
      <c r="U33" s="3430">
        <f>_xlfn.XLOOKUP($Q33,'JUL STWO Watchbill'!$B$5:$B$66,'JUL STWO Watchbill'!AX$5:AX$66)</f>
        <v>0</v>
      </c>
      <c r="V33" s="3430">
        <f>_xlfn.XLOOKUP($Q33,'JUL STWO Watchbill'!$B$5:$B$66,'JUL STWO Watchbill'!AY$5:AY$66)</f>
        <v>0</v>
      </c>
      <c r="W33" s="3430">
        <f>_xlfn.XLOOKUP($Q33,'JUL STWO Watchbill'!$B$5:$B$66,'JUL STWO Watchbill'!AZ$5:AZ$66)</f>
        <v>0</v>
      </c>
      <c r="X33" s="3431">
        <f>SUM(S33:W33)</f>
        <v>1</v>
      </c>
      <c r="Y33" s="10"/>
      <c r="Z33" s="10"/>
      <c r="AA33" s="10"/>
      <c r="AB33" s="10"/>
      <c r="AC33" s="10"/>
      <c r="AD33" s="10"/>
    </row>
    <row r="34" spans="1:30" ht="15.75" customHeight="1">
      <c r="A34" s="3722"/>
      <c r="B34" s="3723"/>
      <c r="C34" s="3723"/>
      <c r="D34" s="3723"/>
      <c r="E34" s="3723"/>
      <c r="F34" s="3375"/>
      <c r="G34" s="3723"/>
      <c r="H34" s="3375"/>
      <c r="I34" s="3723"/>
      <c r="J34" s="3375"/>
      <c r="K34" s="3375"/>
      <c r="L34" s="3467"/>
      <c r="M34" s="3375"/>
      <c r="N34" s="3468"/>
      <c r="O34" s="10"/>
      <c r="P34" s="10"/>
      <c r="Q34" s="3272" t="s">
        <v>1334</v>
      </c>
      <c r="R34" s="3301">
        <v>45778</v>
      </c>
      <c r="S34" s="3430"/>
      <c r="T34" s="3430"/>
      <c r="U34" s="3430"/>
      <c r="V34" s="3430"/>
      <c r="W34" s="3430"/>
      <c r="X34" s="3431"/>
      <c r="Y34" s="10"/>
      <c r="Z34" s="10"/>
      <c r="AA34" s="10"/>
      <c r="AB34" s="10"/>
      <c r="AC34" s="10"/>
      <c r="AD34" s="10"/>
    </row>
    <row r="35" spans="1:30" ht="15.75" customHeight="1">
      <c r="A35" s="3722"/>
      <c r="B35" s="3723"/>
      <c r="C35" s="3723"/>
      <c r="D35" s="3723"/>
      <c r="E35" s="3723"/>
      <c r="F35" s="3723"/>
      <c r="G35" s="3723"/>
      <c r="H35" s="3723"/>
      <c r="I35" s="3723"/>
      <c r="J35" s="3375" t="s">
        <v>1335</v>
      </c>
      <c r="K35" s="3332"/>
      <c r="L35" s="3333"/>
      <c r="M35" s="3375"/>
      <c r="N35" s="3468"/>
      <c r="O35" s="10"/>
      <c r="P35" s="10"/>
      <c r="Q35" s="3272" t="s">
        <v>88</v>
      </c>
      <c r="R35" s="3301">
        <v>45778</v>
      </c>
      <c r="S35" s="3430"/>
      <c r="T35" s="3430"/>
      <c r="U35" s="3430"/>
      <c r="V35" s="3430"/>
      <c r="W35" s="3430"/>
      <c r="X35" s="3431"/>
      <c r="Y35" s="10"/>
      <c r="Z35" s="10"/>
      <c r="AA35" s="10"/>
      <c r="AB35" s="10"/>
      <c r="AC35" s="10"/>
      <c r="AD35" s="10"/>
    </row>
    <row r="36" spans="1:30" ht="15.75" customHeight="1">
      <c r="A36" s="6448" t="s">
        <v>1336</v>
      </c>
      <c r="B36" s="6449"/>
      <c r="C36" s="6449"/>
      <c r="D36" s="6449"/>
      <c r="E36" s="6449"/>
      <c r="F36" s="6449"/>
      <c r="G36" s="6449"/>
      <c r="H36" s="6449"/>
      <c r="I36" s="6449"/>
      <c r="J36" s="3375"/>
      <c r="K36" s="3375"/>
      <c r="L36" s="3467"/>
      <c r="M36" s="3375"/>
      <c r="N36" s="3468"/>
      <c r="O36" s="10"/>
      <c r="P36" s="10"/>
      <c r="Q36" s="3334" t="s">
        <v>1106</v>
      </c>
      <c r="R36" s="3438">
        <v>45658</v>
      </c>
      <c r="S36" s="3430">
        <f>_xlfn.XLOOKUP($Q36,'JUL STWO Watchbill'!$B$5:$B$66,'JUL STWO Watchbill'!AV$5:AV$66)</f>
        <v>0</v>
      </c>
      <c r="T36" s="3430">
        <f>_xlfn.XLOOKUP($Q36,'JUL STWO Watchbill'!$B$5:$B$66,'JUL STWO Watchbill'!AW$5:AW$66)</f>
        <v>0</v>
      </c>
      <c r="U36" s="3430">
        <f>_xlfn.XLOOKUP($Q36,'JUL STWO Watchbill'!$B$5:$B$66,'JUL STWO Watchbill'!AX$5:AX$66)</f>
        <v>0</v>
      </c>
      <c r="V36" s="3430">
        <f>_xlfn.XLOOKUP($Q36,'JUL STWO Watchbill'!$B$5:$B$66,'JUL STWO Watchbill'!AY$5:AY$66)</f>
        <v>0</v>
      </c>
      <c r="W36" s="3430">
        <f>_xlfn.XLOOKUP($Q36,'JUL STWO Watchbill'!$B$5:$B$66,'JUL STWO Watchbill'!AZ$5:AZ$66)</f>
        <v>0</v>
      </c>
      <c r="X36" s="3431">
        <f>SUM(S36:W36)</f>
        <v>0</v>
      </c>
      <c r="Y36" s="10"/>
      <c r="Z36" s="10"/>
      <c r="AA36" s="10"/>
      <c r="AB36" s="10"/>
      <c r="AC36" s="10"/>
      <c r="AD36" s="10"/>
    </row>
    <row r="37" spans="1:30" ht="15.75" customHeight="1">
      <c r="A37" s="6450" t="s">
        <v>1337</v>
      </c>
      <c r="B37" s="6451"/>
      <c r="C37" s="6451"/>
      <c r="D37" s="6451"/>
      <c r="E37" s="6451"/>
      <c r="F37" s="6451"/>
      <c r="G37" s="6451"/>
      <c r="H37" s="6451"/>
      <c r="I37" s="6451"/>
      <c r="J37" s="3375" t="s">
        <v>1338</v>
      </c>
      <c r="K37" s="3332"/>
      <c r="L37" s="3333"/>
      <c r="M37" s="3375"/>
      <c r="N37" s="3468"/>
      <c r="O37" s="10"/>
      <c r="P37" s="10"/>
      <c r="Q37" s="3336" t="s">
        <v>148</v>
      </c>
      <c r="R37" s="3337"/>
      <c r="S37" s="3430">
        <f>_xlfn.XLOOKUP($Q37,'JUL STWO Watchbill'!$B$5:$B$66,'JUL STWO Watchbill'!AV$5:AV$66)</f>
        <v>0</v>
      </c>
      <c r="T37" s="3430">
        <f>_xlfn.XLOOKUP($Q37,'JUL STWO Watchbill'!$B$5:$B$66,'JUL STWO Watchbill'!AW$5:AW$66)</f>
        <v>0</v>
      </c>
      <c r="U37" s="3430">
        <f>_xlfn.XLOOKUP($Q37,'JUL STWO Watchbill'!$B$5:$B$66,'JUL STWO Watchbill'!AX$5:AX$66)</f>
        <v>0</v>
      </c>
      <c r="V37" s="3430">
        <f>_xlfn.XLOOKUP($Q37,'JUL STWO Watchbill'!$B$5:$B$66,'JUL STWO Watchbill'!AY$5:AY$66)</f>
        <v>0</v>
      </c>
      <c r="W37" s="3430">
        <f>_xlfn.XLOOKUP($Q37,'JUL STWO Watchbill'!$B$5:$B$66,'JUL STWO Watchbill'!AZ$5:AZ$66)</f>
        <v>0</v>
      </c>
      <c r="X37" s="3431">
        <f>SUM(S37:W37)</f>
        <v>0</v>
      </c>
      <c r="Y37" s="10"/>
      <c r="Z37" s="10"/>
      <c r="AA37" s="10"/>
      <c r="AB37" s="10"/>
      <c r="AC37" s="10"/>
      <c r="AD37" s="10"/>
    </row>
    <row r="38" spans="1:30" ht="15.75" customHeight="1">
      <c r="A38" s="6448" t="s">
        <v>1339</v>
      </c>
      <c r="B38" s="6449"/>
      <c r="C38" s="6449"/>
      <c r="D38" s="6449"/>
      <c r="E38" s="6449"/>
      <c r="F38" s="6449"/>
      <c r="G38" s="6449"/>
      <c r="H38" s="6449"/>
      <c r="I38" s="6449"/>
      <c r="J38" s="3375"/>
      <c r="K38" s="3375"/>
      <c r="L38" s="3375"/>
      <c r="M38" s="3375"/>
      <c r="N38" s="3468"/>
      <c r="O38" s="10"/>
      <c r="P38" s="10"/>
      <c r="Q38" s="3272" t="s">
        <v>618</v>
      </c>
      <c r="R38" s="3287"/>
      <c r="S38" s="3430">
        <f>_xlfn.XLOOKUP($Q38,'JUL STWO Watchbill'!$B$5:$B$66,'JUL STWO Watchbill'!AV$5:AV$66)</f>
        <v>0</v>
      </c>
      <c r="T38" s="3430">
        <f>_xlfn.XLOOKUP($Q38,'JUL STWO Watchbill'!$B$5:$B$66,'JUL STWO Watchbill'!AW$5:AW$66)</f>
        <v>0</v>
      </c>
      <c r="U38" s="3430">
        <f>_xlfn.XLOOKUP($Q38,'JUL STWO Watchbill'!$B$5:$B$66,'JUL STWO Watchbill'!AX$5:AX$66)</f>
        <v>0</v>
      </c>
      <c r="V38" s="3430">
        <f>_xlfn.XLOOKUP($Q38,'JUL STWO Watchbill'!$B$5:$B$66,'JUL STWO Watchbill'!AY$5:AY$66)</f>
        <v>0</v>
      </c>
      <c r="W38" s="3430">
        <f>_xlfn.XLOOKUP($Q38,'JUL STWO Watchbill'!$B$5:$B$66,'JUL STWO Watchbill'!AZ$5:AZ$66)</f>
        <v>0</v>
      </c>
      <c r="X38" s="3431">
        <f>SUM(S38:W38)</f>
        <v>0</v>
      </c>
      <c r="Y38" s="10"/>
      <c r="Z38" s="10"/>
      <c r="AA38" s="10"/>
      <c r="AB38" s="10"/>
      <c r="AC38" s="10"/>
      <c r="AD38" s="10"/>
    </row>
    <row r="39" spans="1:30" ht="15.75" customHeight="1">
      <c r="A39" s="6450" t="s">
        <v>1340</v>
      </c>
      <c r="B39" s="6451"/>
      <c r="C39" s="6451"/>
      <c r="D39" s="6451"/>
      <c r="E39" s="6451"/>
      <c r="F39" s="6451"/>
      <c r="G39" s="6451"/>
      <c r="H39" s="6451"/>
      <c r="I39" s="6451"/>
      <c r="J39" s="3375" t="s">
        <v>1341</v>
      </c>
      <c r="K39" s="3332"/>
      <c r="L39" s="3333"/>
      <c r="M39" s="3375"/>
      <c r="N39" s="3468"/>
      <c r="O39" s="10"/>
      <c r="P39" s="10"/>
      <c r="Q39" s="3272" t="s">
        <v>1251</v>
      </c>
      <c r="R39" s="3293">
        <v>45717</v>
      </c>
      <c r="S39" s="3430"/>
      <c r="T39" s="3430"/>
      <c r="U39" s="3430"/>
      <c r="V39" s="3430"/>
      <c r="W39" s="3430"/>
      <c r="X39" s="3431"/>
      <c r="Y39" s="10"/>
      <c r="Z39" s="10"/>
      <c r="AA39" s="10"/>
      <c r="AB39" s="10"/>
      <c r="AC39" s="10"/>
      <c r="AD39" s="10"/>
    </row>
    <row r="40" spans="1:30" ht="15.75" customHeight="1">
      <c r="A40" s="6452" t="s">
        <v>1342</v>
      </c>
      <c r="B40" s="6453"/>
      <c r="C40" s="6453"/>
      <c r="D40" s="6453"/>
      <c r="E40" s="6453"/>
      <c r="F40" s="6453"/>
      <c r="G40" s="6453"/>
      <c r="H40" s="6453"/>
      <c r="I40" s="6453"/>
      <c r="J40" s="3375"/>
      <c r="K40" s="3375"/>
      <c r="L40" s="3375"/>
      <c r="M40" s="3375"/>
      <c r="N40" s="3468"/>
      <c r="O40" s="10"/>
      <c r="P40" s="10"/>
      <c r="Q40" s="3272" t="s">
        <v>1207</v>
      </c>
      <c r="R40" s="3439">
        <v>45689</v>
      </c>
      <c r="S40" s="3430"/>
      <c r="T40" s="3430"/>
      <c r="U40" s="3430"/>
      <c r="V40" s="3430"/>
      <c r="W40" s="3430"/>
      <c r="X40" s="3431"/>
      <c r="Y40" s="10"/>
      <c r="Z40" s="10"/>
      <c r="AA40" s="10"/>
      <c r="AB40" s="10"/>
      <c r="AC40" s="10"/>
      <c r="AD40" s="10"/>
    </row>
    <row r="41" spans="1:30" ht="15.75" customHeight="1">
      <c r="A41" s="6452"/>
      <c r="B41" s="6453"/>
      <c r="C41" s="6453"/>
      <c r="D41" s="6453"/>
      <c r="E41" s="6453"/>
      <c r="F41" s="6453"/>
      <c r="G41" s="6453"/>
      <c r="H41" s="6453"/>
      <c r="I41" s="6453"/>
      <c r="J41" s="3375"/>
      <c r="K41" s="3375"/>
      <c r="L41" s="3375"/>
      <c r="M41" s="3375"/>
      <c r="N41" s="3468"/>
      <c r="O41" s="10"/>
      <c r="P41" s="10"/>
      <c r="Q41" s="3272" t="s">
        <v>151</v>
      </c>
      <c r="R41" s="3287"/>
      <c r="S41" s="3430">
        <f>_xlfn.XLOOKUP($Q41,'JUL STWO Watchbill'!$B$5:$B$66,'JUL STWO Watchbill'!AV$5:AV$66)</f>
        <v>0</v>
      </c>
      <c r="T41" s="3430">
        <f>_xlfn.XLOOKUP($Q41,'JUL STWO Watchbill'!$B$5:$B$66,'JUL STWO Watchbill'!AW$5:AW$66)</f>
        <v>0</v>
      </c>
      <c r="U41" s="3430">
        <f>_xlfn.XLOOKUP($Q41,'JUL STWO Watchbill'!$B$5:$B$66,'JUL STWO Watchbill'!AX$5:AX$66)</f>
        <v>0</v>
      </c>
      <c r="V41" s="3430">
        <f>_xlfn.XLOOKUP($Q41,'JUL STWO Watchbill'!$B$5:$B$66,'JUL STWO Watchbill'!AY$5:AY$66)</f>
        <v>0</v>
      </c>
      <c r="W41" s="3430">
        <f>_xlfn.XLOOKUP($Q41,'JUL STWO Watchbill'!$B$5:$B$66,'JUL STWO Watchbill'!AZ$5:AZ$66)</f>
        <v>0</v>
      </c>
      <c r="X41" s="3431">
        <f>SUM(S41:W41)</f>
        <v>0</v>
      </c>
      <c r="Y41" s="10"/>
      <c r="Z41" s="10"/>
      <c r="AA41" s="10"/>
      <c r="AB41" s="10"/>
      <c r="AC41" s="10"/>
      <c r="AD41" s="10"/>
    </row>
    <row r="42" spans="1:30" ht="15.75" customHeight="1">
      <c r="A42" s="6454"/>
      <c r="B42" s="6455"/>
      <c r="C42" s="6455"/>
      <c r="D42" s="6455"/>
      <c r="E42" s="6455"/>
      <c r="F42" s="6455"/>
      <c r="G42" s="6455"/>
      <c r="H42" s="6455"/>
      <c r="I42" s="6455"/>
      <c r="J42" s="3375" t="s">
        <v>1345</v>
      </c>
      <c r="K42" s="3332"/>
      <c r="L42" s="3332"/>
      <c r="M42" s="3375"/>
      <c r="N42" s="3468"/>
      <c r="O42" s="10"/>
      <c r="P42" s="10"/>
      <c r="Q42" s="3272" t="s">
        <v>1005</v>
      </c>
      <c r="R42" s="3429"/>
      <c r="S42" s="3430">
        <f>_xlfn.XLOOKUP($Q42,'JUL STWO Watchbill'!$B$5:$B$66,'JUL STWO Watchbill'!AV$5:AV$66)</f>
        <v>1</v>
      </c>
      <c r="T42" s="3430">
        <f>_xlfn.XLOOKUP($Q42,'JUL STWO Watchbill'!$B$5:$B$66,'JUL STWO Watchbill'!AW$5:AW$66)</f>
        <v>0</v>
      </c>
      <c r="U42" s="3430">
        <f>_xlfn.XLOOKUP($Q42,'JUL STWO Watchbill'!$B$5:$B$66,'JUL STWO Watchbill'!AX$5:AX$66)</f>
        <v>0</v>
      </c>
      <c r="V42" s="3430">
        <f>_xlfn.XLOOKUP($Q42,'JUL STWO Watchbill'!$B$5:$B$66,'JUL STWO Watchbill'!AY$5:AY$66)</f>
        <v>0</v>
      </c>
      <c r="W42" s="3430">
        <f>_xlfn.XLOOKUP($Q42,'JUL STWO Watchbill'!$B$5:$B$66,'JUL STWO Watchbill'!AZ$5:AZ$66)</f>
        <v>0</v>
      </c>
      <c r="X42" s="3431">
        <f>SUM(S42:W42)</f>
        <v>1</v>
      </c>
      <c r="Y42" s="10"/>
      <c r="Z42" s="10"/>
      <c r="AA42" s="10"/>
      <c r="AB42" s="10"/>
      <c r="AC42" s="10"/>
      <c r="AD42" s="10"/>
    </row>
    <row r="43" spans="1:30" ht="15.75" customHeight="1">
      <c r="A43" s="3469"/>
      <c r="B43" s="3375"/>
      <c r="C43" s="3375"/>
      <c r="D43" s="3375"/>
      <c r="E43" s="3375"/>
      <c r="F43" s="3375"/>
      <c r="G43" s="3375"/>
      <c r="H43" s="3375"/>
      <c r="I43" s="3375"/>
      <c r="J43" s="3375"/>
      <c r="K43" s="3375"/>
      <c r="L43" s="3375"/>
      <c r="M43" s="3375" t="s">
        <v>1346</v>
      </c>
      <c r="N43" s="3470">
        <f ca="1">TODAY()</f>
        <v>45818</v>
      </c>
      <c r="O43" s="10"/>
      <c r="P43" s="10"/>
      <c r="Q43" s="3341" t="s">
        <v>660</v>
      </c>
      <c r="R43" s="3287" t="s">
        <v>1347</v>
      </c>
      <c r="S43" s="3430">
        <f>_xlfn.XLOOKUP($Q43,'JUL STWO Watchbill'!$B$5:$B$66,'JUL STWO Watchbill'!AV$5:AV$66)</f>
        <v>2</v>
      </c>
      <c r="T43" s="3430">
        <f>_xlfn.XLOOKUP($Q43,'JUL STWO Watchbill'!$B$5:$B$66,'JUL STWO Watchbill'!AW$5:AW$66)</f>
        <v>0</v>
      </c>
      <c r="U43" s="3430">
        <f>_xlfn.XLOOKUP($Q43,'JUL STWO Watchbill'!$B$5:$B$66,'JUL STWO Watchbill'!AX$5:AX$66)</f>
        <v>1</v>
      </c>
      <c r="V43" s="3430">
        <f>_xlfn.XLOOKUP($Q43,'JUL STWO Watchbill'!$B$5:$B$66,'JUL STWO Watchbill'!AY$5:AY$66)</f>
        <v>1</v>
      </c>
      <c r="W43" s="3430">
        <f>_xlfn.XLOOKUP($Q43,'JUL STWO Watchbill'!$B$5:$B$66,'JUL STWO Watchbill'!AZ$5:AZ$66)</f>
        <v>1</v>
      </c>
      <c r="X43" s="3431">
        <f>SUM(S43:W43)</f>
        <v>5</v>
      </c>
      <c r="Y43" s="10"/>
      <c r="Z43" s="10"/>
      <c r="AA43" s="10"/>
      <c r="AB43" s="10"/>
      <c r="AC43" s="10"/>
      <c r="AD43" s="10"/>
    </row>
    <row r="44" spans="1:30" ht="18.75" customHeight="1">
      <c r="A44" s="6456" t="s">
        <v>1296</v>
      </c>
      <c r="B44" s="6457"/>
      <c r="C44" s="6457"/>
      <c r="D44" s="6457"/>
      <c r="E44" s="6457"/>
      <c r="F44" s="6457"/>
      <c r="G44" s="6457"/>
      <c r="H44" s="6457"/>
      <c r="I44" s="6457"/>
      <c r="J44" s="6457"/>
      <c r="K44" s="6457"/>
      <c r="L44" s="6457"/>
      <c r="M44" s="6457"/>
      <c r="N44" s="6458"/>
      <c r="O44" s="10"/>
      <c r="P44" s="10"/>
      <c r="Q44" s="3334" t="s">
        <v>396</v>
      </c>
      <c r="R44" s="3342" t="s">
        <v>1461</v>
      </c>
      <c r="S44" s="3430">
        <f>_xlfn.XLOOKUP($Q44,'JUL STWO Watchbill'!$B$5:$B$66,'JUL STWO Watchbill'!AV$5:AV$66)</f>
        <v>0</v>
      </c>
      <c r="T44" s="3430">
        <f>_xlfn.XLOOKUP($Q44,'JUL STWO Watchbill'!$B$5:$B$66,'JUL STWO Watchbill'!AW$5:AW$66)</f>
        <v>0</v>
      </c>
      <c r="U44" s="3430">
        <f>_xlfn.XLOOKUP($Q44,'JUL STWO Watchbill'!$B$5:$B$66,'JUL STWO Watchbill'!AX$5:AX$66)</f>
        <v>0</v>
      </c>
      <c r="V44" s="3430">
        <f>_xlfn.XLOOKUP($Q44,'JUL STWO Watchbill'!$B$5:$B$66,'JUL STWO Watchbill'!AY$5:AY$66)</f>
        <v>0</v>
      </c>
      <c r="W44" s="3430">
        <f>_xlfn.XLOOKUP($Q44,'JUL STWO Watchbill'!$B$5:$B$66,'JUL STWO Watchbill'!AZ$5:AZ$66)</f>
        <v>0</v>
      </c>
      <c r="X44" s="3431">
        <f>SUM(S44:W44)</f>
        <v>0</v>
      </c>
      <c r="Y44" s="10"/>
      <c r="Z44" s="10"/>
      <c r="AA44" s="10"/>
      <c r="AB44" s="10"/>
      <c r="AC44" s="10"/>
      <c r="AD44" s="10"/>
    </row>
    <row r="45" spans="1:30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3336" t="s">
        <v>303</v>
      </c>
      <c r="R45" s="3337"/>
      <c r="S45" s="3430">
        <f>_xlfn.XLOOKUP($Q45,'JUL STWO Watchbill'!$B$5:$B$66,'JUL STWO Watchbill'!AV$5:AV$66)</f>
        <v>3</v>
      </c>
      <c r="T45" s="3430">
        <f>_xlfn.XLOOKUP($Q45,'JUL STWO Watchbill'!$B$5:$B$66,'JUL STWO Watchbill'!AW$5:AW$66)</f>
        <v>0</v>
      </c>
      <c r="U45" s="3430">
        <f>_xlfn.XLOOKUP($Q45,'JUL STWO Watchbill'!$B$5:$B$66,'JUL STWO Watchbill'!AX$5:AX$66)</f>
        <v>0</v>
      </c>
      <c r="V45" s="3430">
        <f>_xlfn.XLOOKUP($Q45,'JUL STWO Watchbill'!$B$5:$B$66,'JUL STWO Watchbill'!AY$5:AY$66)</f>
        <v>1</v>
      </c>
      <c r="W45" s="3430">
        <f>_xlfn.XLOOKUP($Q45,'JUL STWO Watchbill'!$B$5:$B$66,'JUL STWO Watchbill'!AZ$5:AZ$66)</f>
        <v>1</v>
      </c>
      <c r="X45" s="3431">
        <f>SUM(S45:W45)</f>
        <v>5</v>
      </c>
      <c r="Y45" s="10"/>
      <c r="Z45" s="10"/>
      <c r="AA45" s="10"/>
      <c r="AB45" s="10"/>
      <c r="AC45" s="10"/>
      <c r="AD45" s="10"/>
    </row>
    <row r="46" spans="1:30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3307" t="s">
        <v>532</v>
      </c>
      <c r="R46" s="3287"/>
      <c r="S46" s="3430">
        <f>_xlfn.XLOOKUP($Q46,'JUL STWO Watchbill'!$B$5:$B$66,'JUL STWO Watchbill'!AV$5:AV$66)</f>
        <v>0</v>
      </c>
      <c r="T46" s="3430">
        <f>_xlfn.XLOOKUP($Q46,'JUL STWO Watchbill'!$B$5:$B$66,'JUL STWO Watchbill'!AW$5:AW$66)</f>
        <v>1</v>
      </c>
      <c r="U46" s="3430">
        <f>_xlfn.XLOOKUP($Q46,'JUL STWO Watchbill'!$B$5:$B$66,'JUL STWO Watchbill'!AX$5:AX$66)</f>
        <v>0</v>
      </c>
      <c r="V46" s="3430">
        <f>_xlfn.XLOOKUP($Q46,'JUL STWO Watchbill'!$B$5:$B$66,'JUL STWO Watchbill'!AY$5:AY$66)</f>
        <v>0</v>
      </c>
      <c r="W46" s="3430">
        <f>_xlfn.XLOOKUP($Q46,'JUL STWO Watchbill'!$B$5:$B$66,'JUL STWO Watchbill'!AZ$5:AZ$66)</f>
        <v>0</v>
      </c>
      <c r="X46" s="3431">
        <f>SUM(S46:W46)</f>
        <v>1</v>
      </c>
      <c r="Y46" s="10"/>
      <c r="Z46" s="10"/>
      <c r="AA46" s="10"/>
      <c r="AB46" s="10"/>
      <c r="AC46" s="10"/>
      <c r="AD46" s="10"/>
    </row>
    <row r="47" spans="1:30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3343"/>
      <c r="O47" s="10"/>
      <c r="P47" s="10"/>
      <c r="Q47" s="3344" t="s">
        <v>1256</v>
      </c>
      <c r="R47" s="3345">
        <v>45748</v>
      </c>
      <c r="S47" s="3430"/>
      <c r="T47" s="3430"/>
      <c r="U47" s="3430"/>
      <c r="V47" s="3430"/>
      <c r="W47" s="3430"/>
      <c r="X47" s="3431"/>
      <c r="Y47" s="10"/>
      <c r="Z47" s="10"/>
      <c r="AA47" s="10"/>
      <c r="AB47" s="10"/>
      <c r="AC47" s="10"/>
      <c r="AD47" s="10"/>
    </row>
    <row r="48" spans="1:30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3343"/>
      <c r="O48" s="10"/>
      <c r="P48" s="10"/>
      <c r="Q48" s="10"/>
      <c r="R48" s="3267"/>
      <c r="S48" s="3346"/>
      <c r="T48" s="3346"/>
      <c r="U48" s="3346"/>
      <c r="V48" s="3346"/>
      <c r="W48" s="3346"/>
      <c r="X48" s="3346" t="e">
        <f>SUM(X4:X47)</f>
        <v>#N/A</v>
      </c>
      <c r="Y48" s="10"/>
      <c r="Z48" s="10"/>
      <c r="AA48" s="10"/>
      <c r="AB48" s="10"/>
      <c r="AC48" s="10"/>
      <c r="AD48" s="10"/>
    </row>
    <row r="49" spans="1:30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3343"/>
      <c r="O49" s="10"/>
      <c r="P49" s="10"/>
      <c r="Q49" s="10"/>
      <c r="R49" s="3267"/>
      <c r="S49" s="3346"/>
      <c r="T49" s="3346"/>
      <c r="U49" s="3346"/>
      <c r="V49" s="3346"/>
      <c r="W49" s="3346"/>
      <c r="X49" s="3346"/>
      <c r="Y49" s="10"/>
      <c r="Z49" s="10"/>
      <c r="AA49" s="10"/>
      <c r="AB49" s="10"/>
      <c r="AC49" s="10"/>
      <c r="AD49" s="10"/>
    </row>
    <row r="50" spans="1:3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3343"/>
      <c r="O50" s="10"/>
      <c r="P50" s="10"/>
      <c r="Q50" s="3347"/>
      <c r="R50" s="3267"/>
      <c r="S50" s="3267"/>
      <c r="T50" s="3267"/>
      <c r="U50" s="3267"/>
      <c r="V50" s="3267"/>
      <c r="W50" s="3267"/>
      <c r="X50" s="3346"/>
      <c r="Y50" s="10"/>
      <c r="Z50" s="10"/>
      <c r="AA50" s="10"/>
      <c r="AB50" s="10"/>
      <c r="AC50" s="10"/>
      <c r="AD50" s="10"/>
    </row>
    <row r="51" spans="1:30" ht="15.75" customHeight="1">
      <c r="A51" s="10"/>
      <c r="B51" s="10"/>
      <c r="C51" s="10"/>
      <c r="D51" s="3221" t="s">
        <v>1349</v>
      </c>
      <c r="E51" s="6382" t="s">
        <v>1307</v>
      </c>
      <c r="F51" s="3221" t="s">
        <v>1350</v>
      </c>
      <c r="G51" s="6382" t="s">
        <v>1307</v>
      </c>
      <c r="H51" s="3166" t="s">
        <v>1351</v>
      </c>
      <c r="I51" s="6384" t="s">
        <v>1307</v>
      </c>
      <c r="J51" s="3221" t="s">
        <v>1352</v>
      </c>
      <c r="K51" s="10"/>
      <c r="L51" s="10"/>
      <c r="M51" s="10"/>
      <c r="N51" s="3348"/>
      <c r="O51" s="10"/>
      <c r="P51" s="10"/>
      <c r="Q51" s="3349" t="s">
        <v>1353</v>
      </c>
      <c r="R51" s="3440"/>
      <c r="S51" s="3267"/>
      <c r="T51" s="3267"/>
      <c r="U51" s="3267"/>
      <c r="V51" s="3267"/>
      <c r="W51" s="3267"/>
      <c r="X51" s="3346"/>
      <c r="Y51" s="10"/>
      <c r="Z51" s="10"/>
      <c r="AA51" s="10"/>
      <c r="AB51" s="10"/>
      <c r="AC51" s="10"/>
      <c r="AD51" s="10"/>
    </row>
    <row r="52" spans="1:30" ht="15.75" customHeight="1">
      <c r="A52" s="10"/>
      <c r="B52" s="10"/>
      <c r="C52" s="10"/>
      <c r="D52" s="3166"/>
      <c r="E52" s="6383"/>
      <c r="F52" s="3351" t="s">
        <v>1354</v>
      </c>
      <c r="G52" s="6383"/>
      <c r="H52" s="3166" t="s">
        <v>1320</v>
      </c>
      <c r="I52" s="6384"/>
      <c r="J52" s="3352" t="s">
        <v>1318</v>
      </c>
      <c r="K52" s="10"/>
      <c r="L52" s="3221" t="s">
        <v>1355</v>
      </c>
      <c r="M52" s="10"/>
      <c r="N52" s="3343"/>
      <c r="O52" s="10"/>
      <c r="P52" s="10"/>
      <c r="Q52" s="3353" t="s">
        <v>1356</v>
      </c>
      <c r="R52" s="3441"/>
      <c r="S52" s="3267"/>
      <c r="T52" s="3267"/>
      <c r="U52" s="3267"/>
      <c r="V52" s="3267"/>
      <c r="W52" s="3267"/>
      <c r="X52" s="3346"/>
      <c r="Y52" s="10"/>
      <c r="Z52" s="10"/>
      <c r="AA52" s="10"/>
      <c r="AB52" s="10"/>
      <c r="AC52" s="10"/>
      <c r="AD52" s="10"/>
    </row>
    <row r="53" spans="1:30" ht="15.75" customHeight="1">
      <c r="A53" s="10"/>
      <c r="B53" s="10"/>
      <c r="C53" s="10"/>
      <c r="D53" s="3166" t="s">
        <v>1357</v>
      </c>
      <c r="E53" s="3355" t="s">
        <v>1309</v>
      </c>
      <c r="F53" s="3356" t="s">
        <v>1358</v>
      </c>
      <c r="G53" s="3355" t="s">
        <v>1309</v>
      </c>
      <c r="H53" s="3166" t="s">
        <v>1359</v>
      </c>
      <c r="I53" s="3357" t="s">
        <v>1309</v>
      </c>
      <c r="J53" s="3291" t="s">
        <v>1360</v>
      </c>
      <c r="K53" s="10"/>
      <c r="L53" s="3221" t="s">
        <v>1352</v>
      </c>
      <c r="M53" s="10"/>
      <c r="N53" s="3343"/>
      <c r="O53" s="10"/>
      <c r="P53" s="10"/>
      <c r="Q53" s="3353" t="s">
        <v>1361</v>
      </c>
      <c r="R53" s="3442"/>
      <c r="S53" s="10"/>
      <c r="T53" s="10"/>
      <c r="U53" s="10"/>
      <c r="V53" s="10"/>
      <c r="W53" s="10"/>
      <c r="X53" s="3347"/>
      <c r="Y53" s="10"/>
      <c r="Z53" s="10"/>
      <c r="AA53" s="10"/>
      <c r="AB53" s="10"/>
      <c r="AC53" s="10"/>
      <c r="AD53" s="10"/>
    </row>
    <row r="54" spans="1:30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3221" t="s">
        <v>1362</v>
      </c>
      <c r="M54" s="10"/>
      <c r="N54" s="3359"/>
      <c r="O54" s="10"/>
      <c r="P54" s="10"/>
      <c r="Q54" s="6385" t="s">
        <v>1363</v>
      </c>
      <c r="R54" s="6386"/>
      <c r="S54" s="10"/>
      <c r="T54" s="10"/>
      <c r="U54" s="10"/>
      <c r="V54" s="10"/>
      <c r="W54" s="10"/>
      <c r="X54" s="3347"/>
      <c r="Y54" s="10"/>
      <c r="Z54" s="10"/>
      <c r="AA54" s="10"/>
      <c r="AB54" s="10"/>
      <c r="AC54" s="10"/>
      <c r="AD54" s="10"/>
    </row>
    <row r="55" spans="1:30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3221" t="s">
        <v>1364</v>
      </c>
      <c r="M55" s="10"/>
      <c r="N55" s="3221"/>
      <c r="O55" s="10"/>
      <c r="P55" s="10"/>
      <c r="Q55" s="10"/>
      <c r="R55" s="3267"/>
      <c r="S55" s="3347"/>
      <c r="T55" s="3347"/>
      <c r="U55" s="3347"/>
      <c r="V55" s="3347"/>
      <c r="W55" s="3347"/>
      <c r="X55" s="3347"/>
      <c r="Y55" s="10"/>
      <c r="Z55" s="10"/>
      <c r="AA55" s="10"/>
      <c r="AB55" s="10"/>
      <c r="AC55" s="10"/>
      <c r="AD55" s="10"/>
    </row>
    <row r="56" spans="1:30" ht="15.75" customHeight="1">
      <c r="A56" s="10"/>
      <c r="B56" s="10"/>
      <c r="C56" s="10"/>
      <c r="D56" s="3453"/>
      <c r="E56" s="10"/>
      <c r="F56" s="10"/>
      <c r="G56" s="10"/>
      <c r="H56" s="3360"/>
      <c r="I56" s="10"/>
      <c r="J56" s="10"/>
      <c r="K56" s="10"/>
      <c r="L56" s="3356" t="s">
        <v>1358</v>
      </c>
      <c r="M56" s="10"/>
      <c r="N56" s="3221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1:30" ht="15.75" customHeight="1">
      <c r="A57" s="10"/>
      <c r="B57" s="10"/>
      <c r="C57" s="10"/>
      <c r="D57" s="3453" t="s">
        <v>1320</v>
      </c>
      <c r="E57" s="10"/>
      <c r="F57" s="10"/>
      <c r="G57" s="10"/>
      <c r="H57" s="3166" t="s">
        <v>1320</v>
      </c>
      <c r="I57" s="1857"/>
      <c r="J57" s="10"/>
      <c r="K57" s="10"/>
      <c r="L57" s="3221" t="s">
        <v>1328</v>
      </c>
      <c r="M57" s="10"/>
      <c r="N57" s="3221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1:30" ht="15.75" customHeight="1">
      <c r="A58" s="10"/>
      <c r="B58" s="10"/>
      <c r="C58" s="10"/>
      <c r="D58" s="3455" t="s">
        <v>1318</v>
      </c>
      <c r="E58" s="10"/>
      <c r="F58" s="10"/>
      <c r="G58" s="10"/>
      <c r="H58" s="3309" t="s">
        <v>1318</v>
      </c>
      <c r="I58" s="3363"/>
      <c r="J58" s="10"/>
      <c r="K58" s="10"/>
      <c r="L58" s="3221" t="s">
        <v>1317</v>
      </c>
      <c r="M58" s="10"/>
      <c r="N58" s="3221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5.75" customHeight="1">
      <c r="A59" s="10"/>
      <c r="B59" s="10"/>
      <c r="C59" s="10"/>
      <c r="D59" s="3452" t="s">
        <v>1308</v>
      </c>
      <c r="E59" s="10"/>
      <c r="F59" s="10"/>
      <c r="G59" s="10"/>
      <c r="H59" s="3284" t="s">
        <v>1308</v>
      </c>
      <c r="I59" s="3363"/>
      <c r="J59" s="10"/>
      <c r="K59" s="10"/>
      <c r="L59" s="3221" t="s">
        <v>1357</v>
      </c>
      <c r="M59" s="10"/>
      <c r="N59" s="3221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5.75" customHeight="1">
      <c r="A60" s="10"/>
      <c r="B60" s="10"/>
      <c r="C60" s="10"/>
      <c r="D60" s="3452" t="s">
        <v>1328</v>
      </c>
      <c r="E60" s="10"/>
      <c r="F60" s="10"/>
      <c r="G60" s="10"/>
      <c r="H60" s="3284" t="s">
        <v>1328</v>
      </c>
      <c r="I60" s="3363"/>
      <c r="J60" s="10"/>
      <c r="K60" s="10"/>
      <c r="L60" s="3221" t="s">
        <v>1365</v>
      </c>
      <c r="M60" s="10"/>
      <c r="N60" s="3221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5.75" customHeight="1">
      <c r="A61" s="10"/>
      <c r="B61" s="10"/>
      <c r="C61" s="10"/>
      <c r="D61" s="3453" t="s">
        <v>1317</v>
      </c>
      <c r="E61" s="10"/>
      <c r="F61" s="10"/>
      <c r="G61" s="10"/>
      <c r="H61" s="3166" t="s">
        <v>1317</v>
      </c>
      <c r="I61" s="3363"/>
      <c r="J61" s="10"/>
      <c r="K61" s="10"/>
      <c r="L61" s="3221" t="s">
        <v>1366</v>
      </c>
      <c r="M61" s="10"/>
      <c r="N61" s="3221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5.75" customHeight="1">
      <c r="A62" s="10"/>
      <c r="B62" s="10"/>
      <c r="C62" s="10"/>
      <c r="D62" s="3453" t="s">
        <v>1319</v>
      </c>
      <c r="E62" s="10"/>
      <c r="F62" s="10"/>
      <c r="G62" s="10"/>
      <c r="H62" s="3166" t="s">
        <v>1319</v>
      </c>
      <c r="I62" s="3363"/>
      <c r="J62" s="10"/>
      <c r="K62" s="10"/>
      <c r="L62" s="3221" t="s">
        <v>1367</v>
      </c>
      <c r="M62" s="10"/>
      <c r="N62" s="3221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5.75" customHeight="1">
      <c r="A63" s="10"/>
      <c r="B63" s="10"/>
      <c r="C63" s="10"/>
      <c r="D63" s="3453" t="s">
        <v>1368</v>
      </c>
      <c r="E63" s="10"/>
      <c r="F63" s="10"/>
      <c r="G63" s="10"/>
      <c r="H63" s="3166" t="s">
        <v>1368</v>
      </c>
      <c r="I63" s="3363"/>
      <c r="J63" s="10"/>
      <c r="K63" s="10"/>
      <c r="L63" s="3221" t="s">
        <v>1359</v>
      </c>
      <c r="M63" s="10"/>
      <c r="N63" s="3221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5.75" customHeight="1">
      <c r="A64" s="10"/>
      <c r="B64" s="10"/>
      <c r="C64" s="10"/>
      <c r="D64" s="3453" t="s">
        <v>1330</v>
      </c>
      <c r="E64" s="10"/>
      <c r="F64" s="10"/>
      <c r="G64" s="10"/>
      <c r="H64" s="3166" t="s">
        <v>1330</v>
      </c>
      <c r="I64" s="3363"/>
      <c r="J64" s="10"/>
      <c r="K64" s="10"/>
      <c r="L64" s="3221" t="s">
        <v>1369</v>
      </c>
      <c r="M64" s="10"/>
      <c r="N64" s="3221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5.75" customHeight="1">
      <c r="A65" s="10"/>
      <c r="B65" s="10"/>
      <c r="C65" s="10"/>
      <c r="D65" s="3453" t="s">
        <v>1315</v>
      </c>
      <c r="E65" s="10"/>
      <c r="F65" s="10"/>
      <c r="G65" s="10"/>
      <c r="H65" s="3166" t="s">
        <v>1315</v>
      </c>
      <c r="I65" s="3363"/>
      <c r="J65" s="10"/>
      <c r="K65" s="10"/>
      <c r="L65" s="3221" t="s">
        <v>1312</v>
      </c>
      <c r="M65" s="10"/>
      <c r="N65" s="3221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5.75" customHeight="1">
      <c r="A66" s="10"/>
      <c r="B66" s="10"/>
      <c r="C66" s="10"/>
      <c r="D66" s="3454" t="s">
        <v>1324</v>
      </c>
      <c r="E66" s="10"/>
      <c r="F66" s="10"/>
      <c r="G66" s="10"/>
      <c r="H66" s="3163" t="s">
        <v>1324</v>
      </c>
      <c r="I66" s="3363"/>
      <c r="J66" s="10"/>
      <c r="K66" s="10"/>
      <c r="L66" s="3221" t="s">
        <v>1327</v>
      </c>
      <c r="M66" s="10"/>
      <c r="N66" s="3221" t="s">
        <v>1038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5.75" customHeight="1">
      <c r="A67" s="10"/>
      <c r="B67" s="10"/>
      <c r="C67" s="10"/>
      <c r="D67" s="3453" t="s">
        <v>1329</v>
      </c>
      <c r="E67" s="10"/>
      <c r="F67" s="10"/>
      <c r="G67" s="10"/>
      <c r="H67" s="3166" t="s">
        <v>1329</v>
      </c>
      <c r="I67" s="3363"/>
      <c r="J67" s="10"/>
      <c r="K67" s="10"/>
      <c r="L67" s="3221" t="s">
        <v>1331</v>
      </c>
      <c r="M67" s="10"/>
      <c r="N67" s="3221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5.75" customHeight="1">
      <c r="A68" s="10"/>
      <c r="B68" s="10"/>
      <c r="C68" s="10"/>
      <c r="D68" s="3453" t="s">
        <v>1316</v>
      </c>
      <c r="E68" s="10"/>
      <c r="F68" s="10"/>
      <c r="G68" s="10"/>
      <c r="H68" s="3166" t="s">
        <v>1316</v>
      </c>
      <c r="I68" s="3366"/>
      <c r="J68" s="10"/>
      <c r="K68" s="10"/>
      <c r="L68" s="3221" t="s">
        <v>1370</v>
      </c>
      <c r="M68" s="10"/>
      <c r="N68" s="3221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5.75" customHeight="1">
      <c r="A69" s="10"/>
      <c r="B69" s="10"/>
      <c r="C69" s="10"/>
      <c r="D69" s="3453" t="s">
        <v>1416</v>
      </c>
      <c r="E69" s="10"/>
      <c r="F69" s="10"/>
      <c r="G69" s="10"/>
      <c r="H69" s="10"/>
      <c r="I69" s="10"/>
      <c r="J69" s="10"/>
      <c r="K69" s="10"/>
      <c r="L69" s="3221" t="s">
        <v>1371</v>
      </c>
      <c r="M69" s="10"/>
      <c r="N69" s="3221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5.75" customHeight="1">
      <c r="A70" s="10"/>
      <c r="B70" s="10"/>
      <c r="C70" s="10"/>
      <c r="D70" s="3453" t="s">
        <v>1417</v>
      </c>
      <c r="E70" s="10"/>
      <c r="F70" s="10"/>
      <c r="G70" s="10"/>
      <c r="H70" s="10"/>
      <c r="I70" s="10"/>
      <c r="J70" s="10"/>
      <c r="K70" s="10"/>
      <c r="L70" s="3221" t="s">
        <v>1372</v>
      </c>
      <c r="M70" s="10"/>
      <c r="N70" s="3221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5.75" customHeight="1">
      <c r="A71" s="10"/>
      <c r="B71" s="10"/>
      <c r="C71" s="10"/>
      <c r="D71" s="3453" t="s">
        <v>1411</v>
      </c>
      <c r="E71" s="10"/>
      <c r="F71" s="10"/>
      <c r="G71" s="10"/>
      <c r="H71" s="10"/>
      <c r="I71" s="10"/>
      <c r="J71" s="10"/>
      <c r="K71" s="10"/>
      <c r="L71" s="3221" t="s">
        <v>1373</v>
      </c>
      <c r="M71" s="10"/>
      <c r="N71" s="3221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5.75" customHeight="1">
      <c r="A72" s="10"/>
      <c r="B72" s="10"/>
      <c r="C72" s="10"/>
      <c r="D72" s="3453"/>
      <c r="E72" s="10"/>
      <c r="F72" s="10"/>
      <c r="G72" s="10"/>
      <c r="H72" s="10"/>
      <c r="I72" s="10"/>
      <c r="J72" s="10"/>
      <c r="K72" s="10"/>
      <c r="L72" s="3221" t="s">
        <v>1374</v>
      </c>
      <c r="M72" s="10"/>
      <c r="N72" s="3221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5.75" customHeight="1">
      <c r="A73" s="10"/>
      <c r="B73" s="10"/>
      <c r="C73" s="10"/>
      <c r="D73" s="3453"/>
      <c r="E73" s="10"/>
      <c r="F73" s="10"/>
      <c r="G73" s="10"/>
      <c r="H73" s="10"/>
      <c r="I73" s="10"/>
      <c r="J73" s="10"/>
      <c r="K73" s="10"/>
      <c r="L73" s="3221" t="s">
        <v>1349</v>
      </c>
      <c r="M73" s="10"/>
      <c r="N73" s="322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5.75" customHeight="1">
      <c r="A74" s="10"/>
      <c r="B74" s="10"/>
      <c r="C74" s="10"/>
      <c r="D74" s="3453"/>
      <c r="E74" s="10"/>
      <c r="F74" s="10"/>
      <c r="G74" s="10"/>
      <c r="H74" s="10"/>
      <c r="I74" s="10"/>
      <c r="J74" s="10"/>
      <c r="K74" s="10"/>
      <c r="L74" s="3221" t="s">
        <v>1375</v>
      </c>
      <c r="M74" s="10"/>
      <c r="N74" s="322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5.75" customHeight="1">
      <c r="A75" s="10"/>
      <c r="B75" s="10"/>
      <c r="C75" s="10"/>
      <c r="D75" s="3453"/>
      <c r="E75" s="10"/>
      <c r="F75" s="10"/>
      <c r="G75" s="10"/>
      <c r="H75" s="10"/>
      <c r="I75" s="10"/>
      <c r="J75" s="10"/>
      <c r="K75" s="10"/>
      <c r="L75" s="3221" t="s">
        <v>1376</v>
      </c>
      <c r="M75" s="10"/>
      <c r="N75" s="322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5.75" customHeight="1">
      <c r="A76" s="10"/>
      <c r="B76" s="10"/>
      <c r="C76" s="10"/>
      <c r="D76" s="3453"/>
      <c r="E76" s="10"/>
      <c r="F76" s="10"/>
      <c r="G76" s="10"/>
      <c r="H76" s="10"/>
      <c r="I76" s="10"/>
      <c r="J76" s="10"/>
      <c r="K76" s="10"/>
      <c r="L76" s="3221" t="s">
        <v>1377</v>
      </c>
      <c r="M76" s="10"/>
      <c r="N76" s="322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5.75" customHeight="1">
      <c r="A77" s="10"/>
      <c r="B77" s="10"/>
      <c r="C77" s="10"/>
      <c r="D77" s="3453"/>
      <c r="E77" s="10"/>
      <c r="F77" s="10"/>
      <c r="G77" s="10"/>
      <c r="H77" s="10"/>
      <c r="I77" s="10"/>
      <c r="J77" s="10"/>
      <c r="K77" s="10"/>
      <c r="L77" s="3221" t="s">
        <v>1378</v>
      </c>
      <c r="M77" s="10"/>
      <c r="N77" s="322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5.75" customHeight="1">
      <c r="A78" s="10"/>
      <c r="B78" s="10"/>
      <c r="C78" s="10"/>
      <c r="D78" s="3453"/>
      <c r="E78" s="10"/>
      <c r="F78" s="10"/>
      <c r="G78" s="10"/>
      <c r="H78" s="10"/>
      <c r="I78" s="10"/>
      <c r="J78" s="10"/>
      <c r="K78" s="10"/>
      <c r="L78" s="3221" t="s">
        <v>1379</v>
      </c>
      <c r="M78" s="10"/>
      <c r="N78" s="3367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5.75" customHeight="1">
      <c r="A79" s="10"/>
      <c r="B79" s="10"/>
      <c r="C79" s="10"/>
      <c r="D79" s="3343"/>
      <c r="E79" s="10"/>
      <c r="F79" s="10"/>
      <c r="G79" s="10"/>
      <c r="H79" s="10"/>
      <c r="I79" s="10"/>
      <c r="J79" s="10"/>
      <c r="K79" s="10"/>
      <c r="L79" s="3221" t="s">
        <v>1351</v>
      </c>
      <c r="M79" s="10"/>
      <c r="N79" s="3364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5.75" customHeight="1">
      <c r="A80" s="10"/>
      <c r="B80" s="10"/>
      <c r="C80" s="10"/>
      <c r="D80" s="3343"/>
      <c r="E80" s="10"/>
      <c r="F80" s="10"/>
      <c r="G80" s="10"/>
      <c r="H80" s="10"/>
      <c r="I80" s="10"/>
      <c r="J80" s="10"/>
      <c r="K80" s="10"/>
      <c r="L80" s="3221" t="s">
        <v>1380</v>
      </c>
      <c r="M80" s="10"/>
      <c r="N80" s="3359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3221" t="s">
        <v>1350</v>
      </c>
      <c r="M81" s="10"/>
      <c r="N81" s="3368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3221" t="s">
        <v>1354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3367" t="s">
        <v>1360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3364" t="s">
        <v>1381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3359" t="s">
        <v>1382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3368" t="s">
        <v>1383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 ht="15.7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 ht="15.75" customHeight="1"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 ht="15.75" customHeight="1">
      <c r="J974" s="567"/>
      <c r="K974" s="567"/>
      <c r="L974" s="567"/>
      <c r="M974" s="567"/>
      <c r="N974" s="567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5.75" customHeight="1"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O976" s="567"/>
      <c r="P976" s="567"/>
      <c r="Q976" s="10"/>
      <c r="R976" s="567"/>
      <c r="S976" s="10"/>
      <c r="T976" s="10"/>
      <c r="U976" s="10"/>
      <c r="V976" s="10"/>
      <c r="W976" s="10"/>
      <c r="X976" s="10"/>
      <c r="Y976" s="567"/>
      <c r="Z976" s="567"/>
      <c r="AA976" s="567"/>
      <c r="AB976" s="567"/>
      <c r="AC976" s="567"/>
      <c r="AD976" s="567"/>
    </row>
    <row r="977" spans="17:24" ht="15" customHeight="1">
      <c r="Q977" s="10"/>
      <c r="S977" s="10"/>
      <c r="T977" s="10"/>
      <c r="U977" s="10"/>
      <c r="V977" s="10"/>
      <c r="W977" s="10"/>
      <c r="X977" s="10"/>
    </row>
    <row r="978" spans="17:24" ht="15" customHeight="1">
      <c r="Q978" s="567"/>
      <c r="S978" s="10"/>
      <c r="T978" s="10"/>
      <c r="U978" s="10"/>
      <c r="V978" s="10"/>
      <c r="W978" s="10"/>
      <c r="X978" s="10"/>
    </row>
    <row r="979" spans="17:24" ht="15" customHeight="1">
      <c r="S979" s="567"/>
      <c r="T979" s="567"/>
      <c r="U979" s="567"/>
      <c r="V979" s="567"/>
      <c r="W979" s="567"/>
      <c r="X979" s="567"/>
    </row>
  </sheetData>
  <mergeCells count="85">
    <mergeCell ref="I28:J28"/>
    <mergeCell ref="I29:I30"/>
    <mergeCell ref="I4:J4"/>
    <mergeCell ref="K4:L4"/>
    <mergeCell ref="K10:L10"/>
    <mergeCell ref="I10:J10"/>
    <mergeCell ref="I16:J16"/>
    <mergeCell ref="K16:L16"/>
    <mergeCell ref="I9:N9"/>
    <mergeCell ref="C27:D27"/>
    <mergeCell ref="I22:J22"/>
    <mergeCell ref="K22:L22"/>
    <mergeCell ref="M22:N22"/>
    <mergeCell ref="E23:E24"/>
    <mergeCell ref="G23:G24"/>
    <mergeCell ref="C23:C24"/>
    <mergeCell ref="E22:F22"/>
    <mergeCell ref="G22:H22"/>
    <mergeCell ref="E17:E18"/>
    <mergeCell ref="G17:G18"/>
    <mergeCell ref="M16:N16"/>
    <mergeCell ref="M10:N10"/>
    <mergeCell ref="A36:I36"/>
    <mergeCell ref="A37:I37"/>
    <mergeCell ref="Q54:R54"/>
    <mergeCell ref="A39:I39"/>
    <mergeCell ref="A40:I40"/>
    <mergeCell ref="A41:I41"/>
    <mergeCell ref="A42:I42"/>
    <mergeCell ref="A44:N44"/>
    <mergeCell ref="E51:E52"/>
    <mergeCell ref="G51:G52"/>
    <mergeCell ref="I51:I52"/>
    <mergeCell ref="A38:I38"/>
    <mergeCell ref="A33:B33"/>
    <mergeCell ref="C33:D33"/>
    <mergeCell ref="E28:F28"/>
    <mergeCell ref="G28:H28"/>
    <mergeCell ref="A29:A30"/>
    <mergeCell ref="E29:E30"/>
    <mergeCell ref="G29:G30"/>
    <mergeCell ref="E33:F33"/>
    <mergeCell ref="A28:B28"/>
    <mergeCell ref="C28:D28"/>
    <mergeCell ref="A22:B22"/>
    <mergeCell ref="C22:D22"/>
    <mergeCell ref="A16:B16"/>
    <mergeCell ref="C16:D16"/>
    <mergeCell ref="C29:C30"/>
    <mergeCell ref="A23:A24"/>
    <mergeCell ref="A17:A18"/>
    <mergeCell ref="C17:C18"/>
    <mergeCell ref="E10:F10"/>
    <mergeCell ref="G10:H10"/>
    <mergeCell ref="A21:B21"/>
    <mergeCell ref="C21:D21"/>
    <mergeCell ref="E16:F16"/>
    <mergeCell ref="G16:H16"/>
    <mergeCell ref="A15:B15"/>
    <mergeCell ref="C15:D15"/>
    <mergeCell ref="C10:D10"/>
    <mergeCell ref="E5:E6"/>
    <mergeCell ref="E11:E12"/>
    <mergeCell ref="A5:A6"/>
    <mergeCell ref="C5:C6"/>
    <mergeCell ref="A9:B9"/>
    <mergeCell ref="G5:G6"/>
    <mergeCell ref="A11:A12"/>
    <mergeCell ref="C11:C12"/>
    <mergeCell ref="E4:F4"/>
    <mergeCell ref="G4:H4"/>
    <mergeCell ref="A10:B10"/>
    <mergeCell ref="A4:B4"/>
    <mergeCell ref="C4:D4"/>
    <mergeCell ref="E9:F9"/>
    <mergeCell ref="G11:G12"/>
    <mergeCell ref="A1:N1"/>
    <mergeCell ref="A2:N2"/>
    <mergeCell ref="A3:B3"/>
    <mergeCell ref="C3:D3"/>
    <mergeCell ref="E3:F3"/>
    <mergeCell ref="G3:H3"/>
    <mergeCell ref="I3:J3"/>
    <mergeCell ref="K3:L3"/>
    <mergeCell ref="M3:N3"/>
  </mergeCells>
  <pageMargins left="0.25" right="0.25" top="0.75" bottom="0.75" header="0.3" footer="0.3"/>
  <pageSetup scale="61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E43F-EC13-422B-9495-1973BFDA33FD}">
  <sheetPr>
    <pageSetUpPr fitToPage="1"/>
  </sheetPr>
  <dimension ref="A1:Y51"/>
  <sheetViews>
    <sheetView workbookViewId="0">
      <selection activeCell="J5" sqref="J5"/>
    </sheetView>
  </sheetViews>
  <sheetFormatPr defaultRowHeight="15"/>
  <cols>
    <col min="1" max="1" width="7.5703125" bestFit="1" customWidth="1"/>
    <col min="2" max="2" width="13.5703125" bestFit="1" customWidth="1"/>
    <col min="3" max="4" width="13.5703125" customWidth="1"/>
    <col min="5" max="5" width="16.85546875" bestFit="1" customWidth="1"/>
    <col min="6" max="6" width="13.85546875" bestFit="1" customWidth="1"/>
    <col min="7" max="7" width="17.85546875" bestFit="1" customWidth="1"/>
    <col min="8" max="8" width="12.85546875" bestFit="1" customWidth="1"/>
    <col min="9" max="9" width="12.28515625" bestFit="1" customWidth="1"/>
    <col min="10" max="10" width="16" bestFit="1" customWidth="1"/>
  </cols>
  <sheetData>
    <row r="1" spans="1:25">
      <c r="E1" s="6681" t="s">
        <v>1462</v>
      </c>
      <c r="F1" s="6681"/>
      <c r="G1" s="6681"/>
      <c r="H1" s="6681"/>
      <c r="P1" s="6681" t="s">
        <v>1463</v>
      </c>
      <c r="Q1" s="6681"/>
      <c r="R1" s="6681"/>
      <c r="S1" s="6681"/>
      <c r="T1" s="1344"/>
      <c r="U1" s="1344"/>
      <c r="V1" s="1344"/>
      <c r="W1" s="1344"/>
      <c r="X1" s="1344"/>
      <c r="Y1" s="1344"/>
    </row>
    <row r="2" spans="1:25">
      <c r="A2" s="6680" t="s">
        <v>1163</v>
      </c>
      <c r="B2" s="6680"/>
      <c r="C2" s="3458" t="s">
        <v>1464</v>
      </c>
      <c r="D2" s="3458" t="s">
        <v>1465</v>
      </c>
      <c r="E2" s="3159" t="s">
        <v>1466</v>
      </c>
      <c r="F2" s="3159" t="s">
        <v>1467</v>
      </c>
      <c r="G2" s="3159" t="s">
        <v>1468</v>
      </c>
      <c r="H2" s="3159" t="s">
        <v>1469</v>
      </c>
      <c r="I2" s="3159" t="s">
        <v>1470</v>
      </c>
      <c r="J2" s="3159" t="s">
        <v>1471</v>
      </c>
      <c r="K2" s="3159"/>
      <c r="L2" s="3159"/>
      <c r="M2" s="3159"/>
      <c r="N2" s="3159"/>
      <c r="O2" s="3159"/>
      <c r="P2" s="3262" t="s">
        <v>1472</v>
      </c>
      <c r="Q2" s="3262" t="s">
        <v>1473</v>
      </c>
      <c r="R2" s="3262" t="s">
        <v>1474</v>
      </c>
      <c r="S2" s="922" t="s">
        <v>1475</v>
      </c>
      <c r="T2" s="922" t="s">
        <v>1476</v>
      </c>
      <c r="U2" s="922" t="s">
        <v>1477</v>
      </c>
    </row>
    <row r="3" spans="1:25">
      <c r="A3" s="3180" t="s">
        <v>81</v>
      </c>
      <c r="B3" s="3180" t="s">
        <v>718</v>
      </c>
      <c r="C3" s="426">
        <v>0</v>
      </c>
      <c r="D3" s="3475"/>
      <c r="E3">
        <f>_xlfn.XLOOKUP(B3,'FEB STWO Watchbill'!$B$5:$B$66,'FEB STWO Watchbill'!$BD$5:$BD$66)</f>
        <v>9.6310679611650478</v>
      </c>
      <c r="F3">
        <f>_xlfn.XLOOKUP(B3,'MAR STWO Watchbill REV 1'!$B$5:$B$62,'MAR STWO Watchbill REV 1'!$BD$5:$BD$62)</f>
        <v>-2.2971335504886028</v>
      </c>
      <c r="G3">
        <f>_xlfn.XLOOKUP($B3,'APR STWO Watchbill REV 2'!$B$5:$B$68,'APR STWO Watchbill REV 2'!$BD$5:$BD$68)</f>
        <v>16.841984732824429</v>
      </c>
      <c r="H3">
        <f>_xlfn.XLOOKUP($B3,'MAY STWO Watchbill'!$B$5:$B$68,'MAY STWO Watchbill'!$BD$5:$BD$68)</f>
        <v>-15.518124999999998</v>
      </c>
      <c r="I3">
        <f>_xlfn.XLOOKUP($B3,'JUN STWO Watchbill'!$B$5:$B$68,'JUN STWO Watchbill'!$BD$5:$BD$68)</f>
        <v>-16.580171856287421</v>
      </c>
      <c r="J3">
        <f>_xlfn.XLOOKUP($B3,'JUL STWO Watchbill'!$B$5:$B$68,'JUL STWO Watchbill'!$BD$5:$BD$68)</f>
        <v>9.745841916167663</v>
      </c>
      <c r="P3">
        <f>SUM($E3:E3)</f>
        <v>9.6310679611650478</v>
      </c>
      <c r="Q3">
        <f>SUM($E3:F3)</f>
        <v>7.333934410676445</v>
      </c>
      <c r="R3">
        <f>SUM($E3:G3)</f>
        <v>24.175919143500874</v>
      </c>
      <c r="S3">
        <f>SUM($E3:H3)</f>
        <v>8.6577941435008761</v>
      </c>
      <c r="T3">
        <f>SUM($E3:I3)</f>
        <v>-7.9223777127865453</v>
      </c>
      <c r="U3">
        <f>SUM($E3:J3)</f>
        <v>1.8234642033811177</v>
      </c>
    </row>
    <row r="4" spans="1:25">
      <c r="A4" s="3180" t="s">
        <v>326</v>
      </c>
      <c r="B4" s="3180" t="s">
        <v>327</v>
      </c>
      <c r="C4" s="426">
        <v>0</v>
      </c>
      <c r="D4" s="3475"/>
      <c r="E4">
        <f>_xlfn.XLOOKUP(B4,'FEB STWO Watchbill'!$B$5:$B$66,'FEB STWO Watchbill'!$BD$5:$BD$66)</f>
        <v>-2.0145631067961176</v>
      </c>
      <c r="F4">
        <f>_xlfn.XLOOKUP(B4,'MAR STWO Watchbill REV 1'!$B$5:$B$62,'MAR STWO Watchbill REV 1'!$BD$5:$BD$62)</f>
        <v>-21.580944625407163</v>
      </c>
      <c r="G4">
        <f>_xlfn.XLOOKUP($B4,'APR STWO Watchbill REV 2'!$B$5:$B$68,'APR STWO Watchbill REV 2'!$BD$5:$BD$68)</f>
        <v>-9.9099236641221324</v>
      </c>
      <c r="H4">
        <f>_xlfn.XLOOKUP($B4,'MAY STWO Watchbill'!$B$5:$B$68,'MAY STWO Watchbill'!$BD$5:$BD$68)</f>
        <v>-7.5181249999999977</v>
      </c>
      <c r="I4">
        <f>_xlfn.XLOOKUP($B4,'JUN STWO Watchbill'!$B$5:$B$68,'JUN STWO Watchbill'!$BD$5:$BD$68)</f>
        <v>7.7844329341317433</v>
      </c>
      <c r="J4">
        <f>_xlfn.XLOOKUP($B4,'JUL STWO Watchbill'!$B$5:$B$68,'JUL STWO Watchbill'!$BD$5:$BD$68)</f>
        <v>9.745841916167663</v>
      </c>
      <c r="P4">
        <f>SUM($E4:E4)</f>
        <v>-2.0145631067961176</v>
      </c>
      <c r="Q4">
        <f>SUM($E4:F4)</f>
        <v>-23.595507732203281</v>
      </c>
      <c r="R4">
        <f>SUM($E4:G4)</f>
        <v>-33.505431396325413</v>
      </c>
      <c r="S4">
        <f>SUM($E4:H4)</f>
        <v>-41.023556396325411</v>
      </c>
      <c r="T4">
        <f>SUM($E4:I4)</f>
        <v>-33.239123462193668</v>
      </c>
      <c r="U4">
        <f>SUM($E4:J4)</f>
        <v>-23.493281546026004</v>
      </c>
    </row>
    <row r="5" spans="1:25">
      <c r="A5" s="3180" t="s">
        <v>606</v>
      </c>
      <c r="B5" s="3180" t="s">
        <v>98</v>
      </c>
      <c r="C5" s="426">
        <v>0</v>
      </c>
      <c r="D5" s="3475"/>
      <c r="E5">
        <f>_xlfn.XLOOKUP(B5,'FEB STWO Watchbill'!$B$5:$B$66,'FEB STWO Watchbill'!$BD$5:$BD$66)</f>
        <v>-28.014563106796118</v>
      </c>
      <c r="F5">
        <f>_xlfn.XLOOKUP(B5,'MAR STWO Watchbill REV 1'!$B$5:$B$62,'MAR STWO Watchbill REV 1'!$BD$5:$BD$62)</f>
        <v>3.1657247557003245</v>
      </c>
      <c r="G5">
        <f>_xlfn.XLOOKUP($B5,'APR STWO Watchbill REV 2'!$B$5:$B$68,'APR STWO Watchbill REV 2'!$BD$5:$BD$68)</f>
        <v>-25.804580152671754</v>
      </c>
      <c r="H5">
        <f>_xlfn.XLOOKUP($B5,'MAY STWO Watchbill'!$B$5:$B$68,'MAY STWO Watchbill'!$BD$5:$BD$68)</f>
        <v>57.722812500000003</v>
      </c>
      <c r="I5">
        <f>_xlfn.XLOOKUP($B5,'JUN STWO Watchbill'!$B$5:$B$68,'JUN STWO Watchbill'!$BD$5:$BD$68)</f>
        <v>-8.0718556886227546</v>
      </c>
      <c r="J5">
        <f>_xlfn.XLOOKUP($B5,'JUL STWO Watchbill'!$B$5:$B$68,'JUL STWO Watchbill'!$BD$5:$BD$68)</f>
        <v>0</v>
      </c>
      <c r="P5">
        <f>SUM($E5:E5)</f>
        <v>-28.014563106796118</v>
      </c>
      <c r="Q5">
        <f>SUM($E5:F5)</f>
        <v>-24.848838351095793</v>
      </c>
      <c r="R5">
        <f>SUM($E5:G5)</f>
        <v>-50.653418503767547</v>
      </c>
      <c r="S5">
        <f>SUM($E5:H5)</f>
        <v>7.0693939962324563</v>
      </c>
      <c r="T5">
        <f>SUM($E5:I5)</f>
        <v>-1.0024616923902983</v>
      </c>
      <c r="U5">
        <f>SUM($E5:J5)</f>
        <v>-1.0024616923902983</v>
      </c>
    </row>
    <row r="6" spans="1:25">
      <c r="A6" s="3180" t="s">
        <v>100</v>
      </c>
      <c r="B6" s="3180" t="s">
        <v>725</v>
      </c>
      <c r="C6" s="426">
        <v>0</v>
      </c>
      <c r="D6" s="3475"/>
      <c r="E6">
        <f>_xlfn.XLOOKUP(B6,'FEB STWO Watchbill'!$B$5:$B$66,'FEB STWO Watchbill'!$BD$5:$BD$66)</f>
        <v>0</v>
      </c>
      <c r="F6">
        <f>_xlfn.XLOOKUP(B6,'MAR STWO Watchbill REV 1'!$B$5:$B$62,'MAR STWO Watchbill REV 1'!$BD$5:$BD$62)</f>
        <v>8</v>
      </c>
      <c r="G6">
        <f>_xlfn.XLOOKUP($B6,'APR STWO Watchbill REV 2'!$B$5:$B$68,'APR STWO Watchbill REV 2'!$BD$5:$BD$68)</f>
        <v>-2.3999999999999986</v>
      </c>
      <c r="H6">
        <f>_xlfn.XLOOKUP($B6,'MAY STWO Watchbill'!$B$5:$B$68,'MAY STWO Watchbill'!$BD$5:$BD$68)</f>
        <v>-10</v>
      </c>
      <c r="I6">
        <f>_xlfn.XLOOKUP($B6,'JUN STWO Watchbill'!$B$5:$B$68,'JUN STWO Watchbill'!$BD$5:$BD$68)</f>
        <v>0</v>
      </c>
      <c r="J6">
        <f>_xlfn.XLOOKUP($B6,'JUL STWO Watchbill'!$B$5:$B$68,'JUL STWO Watchbill'!$BD$5:$BD$68)</f>
        <v>0</v>
      </c>
      <c r="P6">
        <f>SUM($E6:E6)</f>
        <v>0</v>
      </c>
      <c r="Q6">
        <f>SUM($E6:F6)</f>
        <v>8</v>
      </c>
      <c r="R6">
        <f>SUM($E6:G6)</f>
        <v>5.6000000000000014</v>
      </c>
      <c r="S6">
        <f>SUM($E6:H6)</f>
        <v>-4.3999999999999986</v>
      </c>
      <c r="T6">
        <f>SUM($E6:I6)</f>
        <v>-4.3999999999999986</v>
      </c>
      <c r="U6">
        <f>SUM($E6:J6)</f>
        <v>-4.3999999999999986</v>
      </c>
    </row>
    <row r="7" spans="1:25">
      <c r="A7" s="3187" t="s">
        <v>95</v>
      </c>
      <c r="B7" s="3180" t="s">
        <v>726</v>
      </c>
      <c r="C7" s="426">
        <v>0</v>
      </c>
      <c r="D7" s="3475"/>
      <c r="E7">
        <f>_xlfn.XLOOKUP(B7,'FEB STWO Watchbill'!$B$5:$B$66,'FEB STWO Watchbill'!$BD$5:$BD$66)</f>
        <v>-29.191747572815537</v>
      </c>
      <c r="F7">
        <f>_xlfn.XLOOKUP(B7,'MAR STWO Watchbill REV 1'!$B$5:$B$62,'MAR STWO Watchbill REV 1'!$BD$5:$BD$62)</f>
        <v>-2.4761807817589556</v>
      </c>
      <c r="G7">
        <f>_xlfn.XLOOKUP($B7,'APR STWO Watchbill REV 2'!$B$5:$B$68,'APR STWO Watchbill REV 2'!$BD$5:$BD$68)</f>
        <v>-9.007633587786259</v>
      </c>
      <c r="H7">
        <f>_xlfn.XLOOKUP($B7,'MAY STWO Watchbill'!$B$5:$B$68,'MAY STWO Watchbill'!$BD$5:$BD$68)</f>
        <v>38.481875000000002</v>
      </c>
      <c r="I7">
        <f>_xlfn.XLOOKUP($B7,'JUN STWO Watchbill'!$B$5:$B$68,'JUN STWO Watchbill'!$BD$5:$BD$68)</f>
        <v>9.0938143712574799</v>
      </c>
      <c r="J7">
        <f>_xlfn.XLOOKUP($B7,'JUL STWO Watchbill'!$B$5:$B$68,'JUL STWO Watchbill'!$BD$5:$BD$68)</f>
        <v>-30.652027544910183</v>
      </c>
      <c r="P7">
        <f>SUM($E7:E7)</f>
        <v>-29.191747572815537</v>
      </c>
      <c r="Q7">
        <f>SUM($E7:F7)</f>
        <v>-31.667928354574492</v>
      </c>
      <c r="R7">
        <f>SUM($E7:G7)</f>
        <v>-40.675561942360751</v>
      </c>
      <c r="S7">
        <f>SUM($E7:H7)</f>
        <v>-2.193686942360749</v>
      </c>
      <c r="T7">
        <f>SUM($E7:I7)</f>
        <v>6.9001274288967309</v>
      </c>
      <c r="U7">
        <f>SUM($E7:J7)</f>
        <v>-23.751900116013452</v>
      </c>
    </row>
    <row r="8" spans="1:25">
      <c r="A8" s="3180" t="s">
        <v>95</v>
      </c>
      <c r="B8" s="3180" t="s">
        <v>738</v>
      </c>
      <c r="C8" s="426">
        <v>0</v>
      </c>
      <c r="D8" s="3475"/>
      <c r="E8">
        <f>_xlfn.XLOOKUP(B8,'FEB STWO Watchbill'!$B$5:$B$66,'FEB STWO Watchbill'!$BD$5:$BD$66)</f>
        <v>0</v>
      </c>
      <c r="F8">
        <f>_xlfn.XLOOKUP(B8,'MAR STWO Watchbill REV 1'!$B$5:$B$62,'MAR STWO Watchbill REV 1'!$BD$5:$BD$62)</f>
        <v>19.881913680781764</v>
      </c>
      <c r="G8">
        <f>_xlfn.XLOOKUP($B8,'APR STWO Watchbill REV 2'!$B$5:$B$68,'APR STWO Watchbill REV 2'!$BD$5:$BD$68)</f>
        <v>-23.954961832061066</v>
      </c>
      <c r="H8">
        <f>_xlfn.XLOOKUP($B8,'MAY STWO Watchbill'!$B$5:$B$68,'MAY STWO Watchbill'!$BD$5:$BD$68)</f>
        <v>16.343993055555558</v>
      </c>
      <c r="I8">
        <f>_xlfn.XLOOKUP($B8,'JUN STWO Watchbill'!$B$5:$B$68,'JUN STWO Watchbill'!$BD$5:$BD$68)</f>
        <v>-14.143711377245509</v>
      </c>
      <c r="J8">
        <f>_xlfn.XLOOKUP($B8,'JUL STWO Watchbill'!$B$5:$B$68,'JUL STWO Watchbill'!$BD$5:$BD$68)</f>
        <v>0.18230239520958058</v>
      </c>
      <c r="P8">
        <f>SUM($E8:E8)</f>
        <v>0</v>
      </c>
      <c r="Q8">
        <f>SUM($E8:F8)</f>
        <v>19.881913680781764</v>
      </c>
      <c r="R8">
        <f>SUM($E8:G8)</f>
        <v>-4.073048151279302</v>
      </c>
      <c r="S8">
        <f>SUM($E8:H8)</f>
        <v>12.270944904276256</v>
      </c>
      <c r="T8">
        <f>SUM($E8:I8)</f>
        <v>-1.8727664729692535</v>
      </c>
      <c r="U8">
        <f>SUM($E8:J8)</f>
        <v>-1.6904640777596729</v>
      </c>
    </row>
    <row r="9" spans="1:25">
      <c r="A9" s="3180" t="s">
        <v>106</v>
      </c>
      <c r="B9" s="3180" t="s">
        <v>1191</v>
      </c>
      <c r="C9" s="426">
        <v>0</v>
      </c>
      <c r="D9" s="3475"/>
      <c r="E9">
        <v>0</v>
      </c>
      <c r="F9">
        <v>0</v>
      </c>
      <c r="G9">
        <f>_xlfn.XLOOKUP($B9,'APR STWO Watchbill REV 2'!$B$5:$B$68,'APR STWO Watchbill REV 2'!$BD$5:$BD$68)</f>
        <v>0</v>
      </c>
      <c r="H9">
        <f>_xlfn.XLOOKUP($B9,'MAY STWO Watchbill'!$B$5:$B$68,'MAY STWO Watchbill'!$BD$5:$BD$68)</f>
        <v>-6.9652777777776009E-2</v>
      </c>
      <c r="I9">
        <f>_xlfn.XLOOKUP($B9,'JUN STWO Watchbill'!$B$5:$B$68,'JUN STWO Watchbill'!$BD$5:$BD$68)</f>
        <v>-16.215567065868257</v>
      </c>
      <c r="J9">
        <f>_xlfn.XLOOKUP($B9,'JUL STWO Watchbill'!$B$5:$B$68,'JUL STWO Watchbill'!$BD$5:$BD$68)</f>
        <v>-22.652027544910183</v>
      </c>
      <c r="P9">
        <f>SUM($E9:E9)</f>
        <v>0</v>
      </c>
      <c r="Q9">
        <f>SUM($E9:F9)</f>
        <v>0</v>
      </c>
      <c r="R9">
        <f>SUM($E9:G9)</f>
        <v>0</v>
      </c>
      <c r="S9">
        <f>SUM($E9:H9)</f>
        <v>-6.9652777777776009E-2</v>
      </c>
      <c r="T9">
        <f>SUM($E9:I9)</f>
        <v>-16.285219843646033</v>
      </c>
      <c r="U9">
        <f>SUM($E9:J9)</f>
        <v>-38.937247388556216</v>
      </c>
    </row>
    <row r="10" spans="1:25">
      <c r="A10" s="3180" t="s">
        <v>108</v>
      </c>
      <c r="B10" s="3180" t="s">
        <v>109</v>
      </c>
      <c r="C10" s="426">
        <v>0</v>
      </c>
      <c r="D10" s="3475"/>
      <c r="E10">
        <f>_xlfn.XLOOKUP(B10,'FEB STWO Watchbill'!$B$5:$B$66,'FEB STWO Watchbill'!$BD$5:$BD$66)</f>
        <v>8.708737864077662</v>
      </c>
      <c r="F10">
        <f>_xlfn.XLOOKUP(B10,'MAR STWO Watchbill REV 1'!$B$5:$B$62,'MAR STWO Watchbill REV 1'!$BD$5:$BD$62)</f>
        <v>8.449535830618899</v>
      </c>
      <c r="G10">
        <f>_xlfn.XLOOKUP($B10,'APR STWO Watchbill REV 2'!$B$5:$B$68,'APR STWO Watchbill REV 2'!$BD$5:$BD$68)</f>
        <v>21.488549618320612</v>
      </c>
      <c r="H10">
        <f>_xlfn.XLOOKUP($B10,'MAY STWO Watchbill'!$B$5:$B$68,'MAY STWO Watchbill'!$BD$5:$BD$68)</f>
        <v>-21.518124999999998</v>
      </c>
      <c r="I10">
        <f>_xlfn.XLOOKUP($B10,'JUN STWO Watchbill'!$B$5:$B$68,'JUN STWO Watchbill'!$BD$5:$BD$68)</f>
        <v>-10.90618562874252</v>
      </c>
      <c r="J10">
        <f>_xlfn.XLOOKUP($B10,'JUL STWO Watchbill'!$B$5:$B$68,'JUL STWO Watchbill'!$BD$5:$BD$68)</f>
        <v>-54.90618562874252</v>
      </c>
      <c r="P10">
        <f>SUM($E10:E10)</f>
        <v>8.708737864077662</v>
      </c>
      <c r="Q10">
        <f>SUM($E10:F10)</f>
        <v>17.158273694696561</v>
      </c>
      <c r="R10">
        <f>SUM($E10:G10)</f>
        <v>38.646823313017173</v>
      </c>
      <c r="S10">
        <f>SUM($E10:H10)</f>
        <v>17.128698313017175</v>
      </c>
      <c r="T10">
        <f>SUM($E10:I10)</f>
        <v>6.2225126842746548</v>
      </c>
      <c r="U10">
        <f>SUM($E10:J10)</f>
        <v>-48.683672944467865</v>
      </c>
    </row>
    <row r="11" spans="1:25">
      <c r="A11" s="3187" t="s">
        <v>283</v>
      </c>
      <c r="B11" s="3187" t="s">
        <v>201</v>
      </c>
      <c r="C11" s="37">
        <v>0</v>
      </c>
      <c r="D11" s="3474"/>
      <c r="E11">
        <f>_xlfn.XLOOKUP(B11,'FEB STWO Watchbill'!$B$5:$B$66,'FEB STWO Watchbill'!$BD$5:$BD$66)</f>
        <v>-10</v>
      </c>
      <c r="F11">
        <f>_xlfn.XLOOKUP(B11,'MAR STWO Watchbill REV 1'!$B$5:$B$62,'MAR STWO Watchbill REV 1'!$BD$5:$BD$62)</f>
        <v>-1.8064516129032278</v>
      </c>
      <c r="G11">
        <f>_xlfn.XLOOKUP($B11,'APR STWO Watchbill REV 2'!$B$5:$B$68,'APR STWO Watchbill REV 2'!$BD$5:$BD$68)</f>
        <v>-3.7333333333333343</v>
      </c>
      <c r="H11">
        <f>_xlfn.XLOOKUP($B11,'MAY STWO Watchbill'!$B$5:$B$68,'MAY STWO Watchbill'!$BD$5:$BD$68)</f>
        <v>8</v>
      </c>
      <c r="I11">
        <f>_xlfn.XLOOKUP($B11,'JUN STWO Watchbill'!$B$5:$B$68,'JUN STWO Watchbill'!$BD$5:$BD$68)</f>
        <v>7.7333333333333343</v>
      </c>
      <c r="J11" s="3233">
        <f>_xlfn.XLOOKUP($B11,'JUL STWO Watchbill'!$B$5:$B$68,'JUL STWO Watchbill'!$BD$5:$BD$68)</f>
        <v>0</v>
      </c>
      <c r="P11">
        <f>SUM($E11:E11)</f>
        <v>-10</v>
      </c>
      <c r="Q11">
        <f>SUM($E11:F11)</f>
        <v>-11.806451612903228</v>
      </c>
      <c r="R11">
        <f>SUM($E11:G11)</f>
        <v>-15.539784946236562</v>
      </c>
      <c r="S11">
        <f>SUM($E11:H11)</f>
        <v>-7.539784946236562</v>
      </c>
      <c r="T11">
        <f>SUM($E11:I11)</f>
        <v>0.19354838709677225</v>
      </c>
      <c r="U11">
        <f>SUM($E11:J11)</f>
        <v>0.19354838709677225</v>
      </c>
    </row>
    <row r="12" spans="1:25">
      <c r="A12" s="3187" t="s">
        <v>283</v>
      </c>
      <c r="B12" s="3187" t="s">
        <v>610</v>
      </c>
      <c r="C12" s="37">
        <v>0</v>
      </c>
      <c r="D12" s="3474"/>
      <c r="E12">
        <f>_xlfn.XLOOKUP(B12,'FEB STWO Watchbill'!$B$5:$B$66,'FEB STWO Watchbill'!$BD$5:$BD$66)</f>
        <v>-4</v>
      </c>
      <c r="F12">
        <f>_xlfn.XLOOKUP(B12,'MAR STWO Watchbill REV 1'!$B$5:$B$62,'MAR STWO Watchbill REV 1'!$BD$5:$BD$62)</f>
        <v>8</v>
      </c>
      <c r="G12">
        <f>_xlfn.XLOOKUP($B12,'APR STWO Watchbill REV 2'!$B$5:$B$68,'APR STWO Watchbill REV 2'!$BD$5:$BD$68)</f>
        <v>-11.2</v>
      </c>
      <c r="H12">
        <f>_xlfn.XLOOKUP($B12,'MAY STWO Watchbill'!$B$5:$B$68,'MAY STWO Watchbill'!$BD$5:$BD$68)</f>
        <v>4.4516129032258061</v>
      </c>
      <c r="I12">
        <f>_xlfn.XLOOKUP($B12,'JUN STWO Watchbill'!$B$5:$B$68,'JUN STWO Watchbill'!$BD$5:$BD$68)</f>
        <v>0</v>
      </c>
      <c r="J12" s="1" t="e">
        <f>_xlfn.XLOOKUP($B12,'JUL STWO Watchbill'!$B$5:$B$68,'JUL STWO Watchbill'!$BD$5:$BD$68)</f>
        <v>#N/A</v>
      </c>
      <c r="P12">
        <f>SUM($E12:E12)</f>
        <v>-4</v>
      </c>
      <c r="Q12">
        <f>SUM($E12:F12)</f>
        <v>4</v>
      </c>
      <c r="R12">
        <f>SUM($E12:G12)</f>
        <v>-7.1999999999999993</v>
      </c>
      <c r="S12">
        <f>SUM($E12:H12)</f>
        <v>-2.7483870967741932</v>
      </c>
      <c r="T12">
        <f>SUM($E12:I12)</f>
        <v>-2.7483870967741932</v>
      </c>
      <c r="U12" s="1" t="e">
        <f>SUM($E12:J12)</f>
        <v>#N/A</v>
      </c>
    </row>
    <row r="13" spans="1:25">
      <c r="A13" s="3187" t="s">
        <v>122</v>
      </c>
      <c r="B13" s="3187" t="s">
        <v>553</v>
      </c>
      <c r="C13" s="37">
        <v>0</v>
      </c>
      <c r="D13" s="3474"/>
      <c r="E13">
        <f>_xlfn.XLOOKUP(B13,'FEB STWO Watchbill'!$B$5:$B$66,'FEB STWO Watchbill'!$BD$5:$BD$66)</f>
        <v>0</v>
      </c>
      <c r="F13">
        <f>_xlfn.XLOOKUP(B13,'MAR STWO Watchbill REV 1'!$B$5:$B$62,'MAR STWO Watchbill REV 1'!$BD$5:$BD$62)</f>
        <v>-1.550464169381101</v>
      </c>
      <c r="G13">
        <f>_xlfn.XLOOKUP($B13,'APR STWO Watchbill REV 2'!$B$5:$B$68,'APR STWO Watchbill REV 2'!$BD$5:$BD$68)</f>
        <v>12.390839694656492</v>
      </c>
      <c r="H13">
        <f>_xlfn.XLOOKUP($B13,'MAY STWO Watchbill'!$B$5:$B$68,'MAY STWO Watchbill'!$BD$5:$BD$68)</f>
        <v>8.2743402777777817</v>
      </c>
      <c r="I13">
        <f>_xlfn.XLOOKUP($B13,'JUN STWO Watchbill'!$B$5:$B$68,'JUN STWO Watchbill'!$BD$5:$BD$68)</f>
        <v>-34.90618562874252</v>
      </c>
      <c r="J13">
        <f>_xlfn.XLOOKUP($B13,'JUL STWO Watchbill'!$B$5:$B$68,'JUL STWO Watchbill'!$BD$5:$BD$68)</f>
        <v>-20.652027544910183</v>
      </c>
      <c r="P13">
        <f>SUM($E13:E13)</f>
        <v>0</v>
      </c>
      <c r="Q13">
        <f>SUM($E13:F13)</f>
        <v>-1.550464169381101</v>
      </c>
      <c r="R13">
        <f>SUM($E13:G13)</f>
        <v>10.840375525275391</v>
      </c>
      <c r="S13">
        <f>SUM($E13:H13)</f>
        <v>19.114715803053173</v>
      </c>
      <c r="T13">
        <f>SUM($E13:I13)</f>
        <v>-15.791469825689347</v>
      </c>
      <c r="U13">
        <f>SUM($E13:J13)</f>
        <v>-36.44349737059953</v>
      </c>
    </row>
    <row r="14" spans="1:25">
      <c r="A14" s="3187" t="s">
        <v>293</v>
      </c>
      <c r="B14" s="3187" t="s">
        <v>733</v>
      </c>
      <c r="C14" s="37">
        <v>0</v>
      </c>
      <c r="D14" s="3474"/>
      <c r="E14">
        <f>_xlfn.XLOOKUP(B14,'FEB STWO Watchbill'!$B$5:$B$66,'FEB STWO Watchbill'!$BD$5:$BD$66)</f>
        <v>10.708737864077662</v>
      </c>
      <c r="F14">
        <f>_xlfn.XLOOKUP(B14,'MAR STWO Watchbill REV 1'!$B$5:$B$62,'MAR STWO Watchbill REV 1'!$BD$5:$BD$62)</f>
        <v>-27.550464169381101</v>
      </c>
      <c r="G14">
        <f>_xlfn.XLOOKUP($B14,'APR STWO Watchbill REV 2'!$B$5:$B$68,'APR STWO Watchbill REV 2'!$BD$5:$BD$68)</f>
        <v>18.090076335877868</v>
      </c>
      <c r="H14">
        <f>_xlfn.XLOOKUP($B14,'MAY STWO Watchbill'!$B$5:$B$68,'MAY STWO Watchbill'!$BD$5:$BD$68)</f>
        <v>-5.2423611111111086</v>
      </c>
      <c r="I14">
        <f>_xlfn.XLOOKUP($B14,'JUN STWO Watchbill'!$B$5:$B$68,'JUN STWO Watchbill'!$BD$5:$BD$68)</f>
        <v>-6.7624742514970038</v>
      </c>
      <c r="J14">
        <f>_xlfn.XLOOKUP($B14,'JUL STWO Watchbill'!$B$5:$B$68,'JUL STWO Watchbill'!$BD$5:$BD$68)</f>
        <v>-14.90618562874252</v>
      </c>
      <c r="P14">
        <f>SUM($E14:E14)</f>
        <v>10.708737864077662</v>
      </c>
      <c r="Q14">
        <f>SUM($E14:F14)</f>
        <v>-16.841726305303439</v>
      </c>
      <c r="R14">
        <f>SUM($E14:G14)</f>
        <v>1.2483500305744286</v>
      </c>
      <c r="S14">
        <f>SUM($E14:H14)</f>
        <v>-3.99401108053668</v>
      </c>
      <c r="T14">
        <f>SUM($E14:I14)</f>
        <v>-10.756485332033684</v>
      </c>
      <c r="U14">
        <f>SUM($E14:J14)</f>
        <v>-25.662670960776204</v>
      </c>
    </row>
    <row r="15" spans="1:25">
      <c r="A15" s="3187" t="s">
        <v>692</v>
      </c>
      <c r="B15" s="3187" t="s">
        <v>693</v>
      </c>
      <c r="C15" s="37">
        <v>0</v>
      </c>
      <c r="D15" s="3474"/>
      <c r="E15">
        <f>_xlfn.XLOOKUP(B15,'FEB STWO Watchbill'!$B$5:$B$66,'FEB STWO Watchbill'!$BD$5:$BD$66)</f>
        <v>34.354368932038831</v>
      </c>
      <c r="F15">
        <f>_xlfn.XLOOKUP(B15,'MAR STWO Watchbill REV 1'!$B$5:$B$62,'MAR STWO Watchbill REV 1'!$BD$5:$BD$62)</f>
        <v>6.449535830618899</v>
      </c>
      <c r="G15">
        <f>_xlfn.XLOOKUP($B15,'APR STWO Watchbill REV 2'!$B$5:$B$68,'APR STWO Watchbill REV 2'!$BD$5:$BD$68)</f>
        <v>-9.1580152671755712</v>
      </c>
      <c r="H15">
        <f>_xlfn.XLOOKUP($B15,'MAY STWO Watchbill'!$B$5:$B$68,'MAY STWO Watchbill'!$BD$5:$BD$68)</f>
        <v>-41.725659722222218</v>
      </c>
      <c r="I15">
        <f>_xlfn.XLOOKUP($B15,'JUN STWO Watchbill'!$B$5:$B$68,'JUN STWO Watchbill'!$BD$5:$BD$68)</f>
        <v>2.7292095808383223</v>
      </c>
      <c r="J15">
        <f>_xlfn.XLOOKUP($B15,'JUL STWO Watchbill'!$B$5:$B$68,'JUL STWO Watchbill'!$BD$5:$BD$68)</f>
        <v>-36.215567065868257</v>
      </c>
      <c r="P15">
        <f>SUM($E15:E15)</f>
        <v>34.354368932038831</v>
      </c>
      <c r="Q15">
        <f>SUM($E15:F15)</f>
        <v>40.80390476265773</v>
      </c>
      <c r="R15">
        <f>SUM($E15:G15)</f>
        <v>31.645889495482159</v>
      </c>
      <c r="S15">
        <f>SUM($E15:H15)</f>
        <v>-10.07977022674006</v>
      </c>
      <c r="T15">
        <f>SUM($E15:I15)</f>
        <v>-7.3505606459017372</v>
      </c>
      <c r="U15">
        <f>SUM($E15:J15)</f>
        <v>-43.566127711769994</v>
      </c>
    </row>
    <row r="16" spans="1:25">
      <c r="A16" s="3187" t="s">
        <v>127</v>
      </c>
      <c r="B16" s="3187" t="s">
        <v>657</v>
      </c>
      <c r="C16" s="37">
        <v>0</v>
      </c>
      <c r="D16" s="3474"/>
      <c r="E16">
        <f>_xlfn.XLOOKUP(B16,'FEB STWO Watchbill'!$B$5:$B$66,'FEB STWO Watchbill'!$BD$5:$BD$66)</f>
        <v>-14.099514563106798</v>
      </c>
      <c r="F16">
        <f>_xlfn.XLOOKUP(B16,'MAR STWO Watchbill REV 1'!$B$5:$B$62,'MAR STWO Watchbill REV 1'!$BD$5:$BD$62)</f>
        <v>-1.550464169381101</v>
      </c>
      <c r="G16">
        <f>_xlfn.XLOOKUP($B16,'APR STWO Watchbill REV 2'!$B$5:$B$68,'APR STWO Watchbill REV 2'!$BD$5:$BD$68)</f>
        <v>25.488549618320612</v>
      </c>
      <c r="H16">
        <f>_xlfn.XLOOKUP($B16,'MAY STWO Watchbill'!$B$5:$B$68,'MAY STWO Watchbill'!$BD$5:$BD$68)</f>
        <v>-17.242361111111109</v>
      </c>
      <c r="I16">
        <f>_xlfn.XLOOKUP($B16,'JUN STWO Watchbill'!$B$5:$B$68,'JUN STWO Watchbill'!$BD$5:$BD$68)</f>
        <v>25.09381437125748</v>
      </c>
      <c r="J16">
        <f>_xlfn.XLOOKUP($B16,'JUL STWO Watchbill'!$B$5:$B$68,'JUL STWO Watchbill'!$BD$5:$BD$68)</f>
        <v>-56.90618562874252</v>
      </c>
      <c r="P16">
        <f>SUM($E16:E16)</f>
        <v>-14.099514563106798</v>
      </c>
      <c r="Q16">
        <f>SUM($E16:F16)</f>
        <v>-15.649978732487899</v>
      </c>
      <c r="R16">
        <f>SUM($E16:G16)</f>
        <v>9.8385708858327128</v>
      </c>
      <c r="S16">
        <f>SUM($E16:H16)</f>
        <v>-7.4037902252783958</v>
      </c>
      <c r="T16">
        <f>SUM($E16:I16)</f>
        <v>17.690024145979084</v>
      </c>
      <c r="U16">
        <f>SUM($E16:J16)</f>
        <v>-39.216161482763439</v>
      </c>
    </row>
    <row r="17" spans="1:21">
      <c r="A17" s="3187" t="s">
        <v>554</v>
      </c>
      <c r="B17" s="3187" t="s">
        <v>555</v>
      </c>
      <c r="C17" s="37">
        <f>-E17</f>
        <v>-8.6237864077669926</v>
      </c>
      <c r="D17" s="3474">
        <v>45717</v>
      </c>
      <c r="E17">
        <f>_xlfn.XLOOKUP(B17,'FEB STWO Watchbill'!$B$5:$B$66,'FEB STWO Watchbill'!$BD$5:$BD$66)</f>
        <v>8.6237864077669926</v>
      </c>
      <c r="F17">
        <v>0</v>
      </c>
      <c r="G17">
        <v>0</v>
      </c>
      <c r="H17">
        <v>0</v>
      </c>
      <c r="I17">
        <v>0</v>
      </c>
      <c r="J17">
        <v>0</v>
      </c>
      <c r="P17">
        <f>SUM($E17:E17)</f>
        <v>8.6237864077669926</v>
      </c>
      <c r="Q17">
        <f>SUM($E17:F17)+$C$17</f>
        <v>0</v>
      </c>
      <c r="R17">
        <f>SUM($E17:G17)+$C$17</f>
        <v>0</v>
      </c>
      <c r="S17">
        <f>SUM($E17:H17)+$C$17</f>
        <v>0</v>
      </c>
      <c r="T17">
        <f>SUM($E17:I17)+$C$17</f>
        <v>0</v>
      </c>
      <c r="U17">
        <f>SUM($E17:J17)+$C$17</f>
        <v>0</v>
      </c>
    </row>
    <row r="18" spans="1:21">
      <c r="A18" s="3187" t="s">
        <v>155</v>
      </c>
      <c r="B18" s="3187" t="s">
        <v>135</v>
      </c>
      <c r="C18" s="37">
        <v>0</v>
      </c>
      <c r="D18" s="3474"/>
      <c r="E18">
        <f>_xlfn.XLOOKUP(B18,'FEB STWO Watchbill'!$B$5:$B$66,'FEB STWO Watchbill'!$BD$5:$BD$66)</f>
        <v>0.70873786407766204</v>
      </c>
      <c r="F18">
        <f>_xlfn.XLOOKUP(B18,'MAR STWO Watchbill REV 1'!$B$5:$B$62,'MAR STWO Watchbill REV 1'!$BD$5:$BD$62)</f>
        <v>25.165724755700325</v>
      </c>
      <c r="G18">
        <f>_xlfn.XLOOKUP($B18,'APR STWO Watchbill REV 2'!$B$5:$B$68,'APR STWO Watchbill REV 2'!$BD$5:$BD$68)</f>
        <v>-28.105343511450382</v>
      </c>
      <c r="H18">
        <f>_xlfn.XLOOKUP($B18,'MAY STWO Watchbill'!$B$5:$B$68,'MAY STWO Watchbill'!$BD$5:$BD$68)</f>
        <v>-3.8635416666666629</v>
      </c>
      <c r="I18">
        <f>_xlfn.XLOOKUP($B18,'JUN STWO Watchbill'!$B$5:$B$68,'JUN STWO Watchbill'!$BD$5:$BD$68)</f>
        <v>9.9281443113772454</v>
      </c>
      <c r="J18">
        <f>_xlfn.XLOOKUP($B18,'JUL STWO Watchbill'!$B$5:$B$68,'JUL STWO Watchbill'!$BD$5:$BD$68)</f>
        <v>-34.580171856287421</v>
      </c>
      <c r="P18">
        <f>SUM($E18:E18)</f>
        <v>0.70873786407766204</v>
      </c>
      <c r="Q18">
        <f>SUM($E18:F18)</f>
        <v>25.874462619777987</v>
      </c>
      <c r="R18">
        <f>SUM($E18:G18)</f>
        <v>-2.2308808916723954</v>
      </c>
      <c r="S18">
        <f>SUM($E18:H18)</f>
        <v>-6.0944225583390583</v>
      </c>
      <c r="T18">
        <f>SUM($E18:I18)</f>
        <v>3.8337217530381871</v>
      </c>
      <c r="U18">
        <f>SUM($E18:J18)</f>
        <v>-30.746450103249234</v>
      </c>
    </row>
    <row r="19" spans="1:21">
      <c r="A19" s="3187" t="s">
        <v>1056</v>
      </c>
      <c r="B19" s="3187" t="s">
        <v>334</v>
      </c>
      <c r="C19" s="37">
        <v>0</v>
      </c>
      <c r="D19" s="3474"/>
      <c r="E19">
        <f>_xlfn.XLOOKUP(B19,'FEB STWO Watchbill'!$B$5:$B$66,'FEB STWO Watchbill'!$BD$5:$BD$66)</f>
        <v>34.708737864077662</v>
      </c>
      <c r="F19">
        <f>_xlfn.XLOOKUP(B19,'MAR STWO Watchbill REV 1'!$B$5:$B$62,'MAR STWO Watchbill REV 1'!$BD$5:$BD$62)</f>
        <v>-3.550464169381101</v>
      </c>
      <c r="G19">
        <f>_xlfn.XLOOKUP($B19,'APR STWO Watchbill REV 2'!$B$5:$B$68,'APR STWO Watchbill REV 2'!$BD$5:$BD$68)</f>
        <v>-16.511450381679388</v>
      </c>
      <c r="H19">
        <f>_xlfn.XLOOKUP($B19,'MAY STWO Watchbill'!$B$5:$B$68,'MAY STWO Watchbill'!$BD$5:$BD$68)</f>
        <v>-15.725659722222218</v>
      </c>
      <c r="I19">
        <f>_xlfn.XLOOKUP($B19,'JUN STWO Watchbill'!$B$5:$B$68,'JUN STWO Watchbill'!$BD$5:$BD$68)</f>
        <v>0</v>
      </c>
      <c r="J19" s="1" t="e">
        <f>_xlfn.XLOOKUP($B19,'JUL STWO Watchbill'!$B$5:$B$68,'JUL STWO Watchbill'!$BD$5:$BD$68)</f>
        <v>#N/A</v>
      </c>
      <c r="P19">
        <f>SUM($E19:E19)</f>
        <v>34.708737864077662</v>
      </c>
      <c r="Q19">
        <f>SUM($E19:F19)</f>
        <v>31.158273694696561</v>
      </c>
      <c r="R19">
        <f>SUM($E19:G19)</f>
        <v>14.646823313017173</v>
      </c>
      <c r="S19">
        <f>SUM($E19:H19)</f>
        <v>-1.0788364092050458</v>
      </c>
      <c r="T19">
        <f>SUM($E19:I19)</f>
        <v>-1.0788364092050458</v>
      </c>
      <c r="U19" s="1" t="e">
        <f>SUM($E19:J19)</f>
        <v>#N/A</v>
      </c>
    </row>
    <row r="20" spans="1:21">
      <c r="A20" s="3187" t="s">
        <v>129</v>
      </c>
      <c r="B20" s="3187" t="s">
        <v>474</v>
      </c>
      <c r="C20" s="37">
        <v>0</v>
      </c>
      <c r="D20" s="3474"/>
      <c r="E20">
        <f>_xlfn.XLOOKUP(B20,'FEB STWO Watchbill'!$B$5:$B$66,'FEB STWO Watchbill'!$BD$5:$BD$66)</f>
        <v>21.985436893203882</v>
      </c>
      <c r="F20">
        <f>_xlfn.XLOOKUP(B20,'MAR STWO Watchbill REV 1'!$B$5:$B$62,'MAR STWO Watchbill REV 1'!$BD$5:$BD$62)</f>
        <v>8.449535830618899</v>
      </c>
      <c r="G20">
        <f>_xlfn.XLOOKUP($B20,'APR STWO Watchbill REV 2'!$B$5:$B$68,'APR STWO Watchbill REV 2'!$BD$5:$BD$68)</f>
        <v>16.841984732824429</v>
      </c>
      <c r="H20">
        <f>_xlfn.XLOOKUP($B20,'MAY STWO Watchbill'!$B$5:$B$68,'MAY STWO Watchbill'!$BD$5:$BD$68)</f>
        <v>-23.725659722222218</v>
      </c>
      <c r="I20">
        <f>_xlfn.XLOOKUP($B20,'JUN STWO Watchbill'!$B$5:$B$68,'JUN STWO Watchbill'!$BD$5:$BD$68)</f>
        <v>-20.90618562874252</v>
      </c>
      <c r="J20">
        <f>_xlfn.XLOOKUP($B20,'JUL STWO Watchbill'!$B$5:$B$68,'JUL STWO Watchbill'!$BD$5:$BD$68)</f>
        <v>-10.90618562874252</v>
      </c>
      <c r="P20">
        <f>SUM($E20:E20)</f>
        <v>21.985436893203882</v>
      </c>
      <c r="Q20">
        <f>SUM($E20:F20)</f>
        <v>30.434972723822781</v>
      </c>
      <c r="R20">
        <f>SUM($E20:G20)</f>
        <v>47.27695745664721</v>
      </c>
      <c r="S20">
        <f>SUM($E20:H20)</f>
        <v>23.551297734424992</v>
      </c>
      <c r="T20">
        <f>SUM($E20:I20)</f>
        <v>2.6451121056824718</v>
      </c>
      <c r="U20">
        <f>SUM($E20:J20)</f>
        <v>-8.2610735230600483</v>
      </c>
    </row>
    <row r="21" spans="1:21">
      <c r="A21" s="3180" t="s">
        <v>283</v>
      </c>
      <c r="B21" s="3180" t="s">
        <v>1036</v>
      </c>
      <c r="C21" s="426">
        <v>0</v>
      </c>
      <c r="D21" s="3475"/>
      <c r="E21">
        <f>_xlfn.XLOOKUP(B21,'FEB STWO Watchbill'!$B$5:$B$66,'FEB STWO Watchbill'!$BD$5:$BD$66)</f>
        <v>5</v>
      </c>
      <c r="F21">
        <f>_xlfn.XLOOKUP(B21,'MAR STWO Watchbill REV 1'!$B$5:$B$62,'MAR STWO Watchbill REV 1'!$BD$5:$BD$62)</f>
        <v>7.1612903225806441</v>
      </c>
      <c r="G21">
        <f>_xlfn.XLOOKUP($B21,'APR STWO Watchbill REV 2'!$B$5:$B$68,'APR STWO Watchbill REV 2'!$BD$5:$BD$68)</f>
        <v>-7.5999999999999979</v>
      </c>
      <c r="H21">
        <f>_xlfn.XLOOKUP($B21,'MAY STWO Watchbill'!$B$5:$B$68,'MAY STWO Watchbill'!$BD$5:$BD$68)</f>
        <v>2.6451612903225801</v>
      </c>
      <c r="I21">
        <f>_xlfn.XLOOKUP($B21,'JUN STWO Watchbill'!$B$5:$B$68,'JUN STWO Watchbill'!$BD$5:$BD$68)</f>
        <v>-1.5999999999999996</v>
      </c>
      <c r="J21">
        <f>_xlfn.XLOOKUP($B21,'JUL STWO Watchbill'!$B$5:$B$68,'JUL STWO Watchbill'!$BD$5:$BD$68)</f>
        <v>-8.1333333333333329</v>
      </c>
      <c r="P21">
        <f>SUM($E21:E21)</f>
        <v>5</v>
      </c>
      <c r="Q21">
        <f>SUM($E21:F21)</f>
        <v>12.161290322580644</v>
      </c>
      <c r="R21">
        <f>SUM($E21:G21)</f>
        <v>4.5612903225806463</v>
      </c>
      <c r="S21">
        <f>SUM($E21:H21)</f>
        <v>7.2064516129032263</v>
      </c>
      <c r="T21">
        <f>SUM($E21:I21)</f>
        <v>5.6064516129032267</v>
      </c>
      <c r="U21">
        <f>SUM($E21:J21)</f>
        <v>-2.5268817204301062</v>
      </c>
    </row>
    <row r="22" spans="1:21">
      <c r="A22" s="3180" t="s">
        <v>95</v>
      </c>
      <c r="B22" s="3180" t="s">
        <v>1058</v>
      </c>
      <c r="C22" s="426">
        <v>0</v>
      </c>
      <c r="D22" s="3475"/>
      <c r="E22">
        <f>_xlfn.XLOOKUP(B22,'FEB STWO Watchbill'!$B$5:$B$66,'FEB STWO Watchbill'!$BD$5:$BD$66)</f>
        <v>0</v>
      </c>
      <c r="F22">
        <f>_xlfn.XLOOKUP(B22,'MAR STWO Watchbill REV 1'!$B$5:$B$62,'MAR STWO Watchbill REV 1'!$BD$5:$BD$62)</f>
        <v>0.95619706840390961</v>
      </c>
      <c r="G22">
        <f>_xlfn.XLOOKUP($B22,'APR STWO Watchbill REV 2'!$B$5:$B$68,'APR STWO Watchbill REV 2'!$BD$5:$BD$68)</f>
        <v>14.045038167938934</v>
      </c>
      <c r="H22">
        <f>_xlfn.XLOOKUP($B22,'MAY STWO Watchbill'!$B$5:$B$68,'MAY STWO Watchbill'!$BD$5:$BD$68)</f>
        <v>-0.96659722222221234</v>
      </c>
      <c r="I22">
        <f>_xlfn.XLOOKUP($B22,'JUN STWO Watchbill'!$B$5:$B$68,'JUN STWO Watchbill'!$BD$5:$BD$68)</f>
        <v>-14.071855688622755</v>
      </c>
      <c r="J22">
        <f>_xlfn.XLOOKUP($B22,'JUL STWO Watchbill'!$B$5:$B$68,'JUL STWO Watchbill'!$BD$5:$BD$68)</f>
        <v>-7.1270790419161685</v>
      </c>
      <c r="P22">
        <f>SUM($E22:E22)</f>
        <v>0</v>
      </c>
      <c r="Q22">
        <f>SUM($E22:F22)</f>
        <v>0.95619706840390961</v>
      </c>
      <c r="R22">
        <f>SUM($E22:G22)</f>
        <v>15.001235236342843</v>
      </c>
      <c r="S22">
        <f>SUM($E22:H22)</f>
        <v>14.034638014120631</v>
      </c>
      <c r="T22">
        <f>SUM($E22:I22)</f>
        <v>-3.7217674502123543E-2</v>
      </c>
      <c r="U22">
        <f>SUM($E22:J22)</f>
        <v>-7.164296716418292</v>
      </c>
    </row>
    <row r="23" spans="1:21">
      <c r="A23" s="3180" t="s">
        <v>95</v>
      </c>
      <c r="B23" s="3180" t="s">
        <v>620</v>
      </c>
      <c r="C23" s="426">
        <v>0</v>
      </c>
      <c r="D23" s="3475"/>
      <c r="E23">
        <f>_xlfn.XLOOKUP(B23,'FEB STWO Watchbill'!$B$5:$B$66,'FEB STWO Watchbill'!$BD$5:$BD$66)</f>
        <v>2.453883495145631</v>
      </c>
      <c r="F23">
        <f>_xlfn.XLOOKUP(B23,'MAR STWO Watchbill REV 1'!$B$5:$B$62,'MAR STWO Watchbill REV 1'!$BD$5:$BD$62)</f>
        <v>-17.790472312703582</v>
      </c>
      <c r="G23">
        <f>_xlfn.XLOOKUP($B23,'APR STWO Watchbill REV 2'!$B$5:$B$68,'APR STWO Watchbill REV 2'!$BD$5:$BD$68)</f>
        <v>-19.007633587786259</v>
      </c>
      <c r="H23">
        <f>_xlfn.XLOOKUP($B23,'MAY STWO Watchbill'!$B$5:$B$68,'MAY STWO Watchbill'!$BD$5:$BD$68)</f>
        <v>5.930347222222224</v>
      </c>
      <c r="I23">
        <f>_xlfn.XLOOKUP($B23,'JUN STWO Watchbill'!$B$5:$B$68,'JUN STWO Watchbill'!$BD$5:$BD$68)</f>
        <v>9.4916838323353261</v>
      </c>
      <c r="J23">
        <f>_xlfn.XLOOKUP($B23,'JUL STWO Watchbill'!$B$5:$B$68,'JUL STWO Watchbill'!$BD$5:$BD$68)</f>
        <v>4.8729209580838315</v>
      </c>
      <c r="P23">
        <f>SUM($E23:E23)</f>
        <v>2.453883495145631</v>
      </c>
      <c r="Q23">
        <f>SUM($E23:F23)</f>
        <v>-15.336588817557951</v>
      </c>
      <c r="R23">
        <f>SUM($E23:G23)</f>
        <v>-34.344222405344212</v>
      </c>
      <c r="S23">
        <f>SUM($E23:H23)</f>
        <v>-28.413875183121988</v>
      </c>
      <c r="T23">
        <f>SUM($E23:I23)</f>
        <v>-18.922191350786662</v>
      </c>
      <c r="U23">
        <f>SUM($E23:J23)</f>
        <v>-14.04927039270283</v>
      </c>
    </row>
    <row r="24" spans="1:21">
      <c r="A24" s="3180" t="s">
        <v>95</v>
      </c>
      <c r="B24" s="3180" t="s">
        <v>1037</v>
      </c>
      <c r="C24" s="426">
        <v>0</v>
      </c>
      <c r="D24" s="3475"/>
      <c r="E24">
        <f>_xlfn.XLOOKUP(B24,'FEB STWO Watchbill'!$B$5:$B$66,'FEB STWO Watchbill'!$BD$5:$BD$66)</f>
        <v>0</v>
      </c>
      <c r="F24">
        <f>_xlfn.XLOOKUP(B24,'MAR STWO Watchbill REV 1'!$B$5:$B$62,'MAR STWO Watchbill REV 1'!$BD$5:$BD$62)</f>
        <v>-9.5809446254071631</v>
      </c>
      <c r="G24">
        <f>_xlfn.XLOOKUP($B24,'APR STWO Watchbill REV 2'!$B$5:$B$68,'APR STWO Watchbill REV 2'!$BD$5:$BD$68)</f>
        <v>-16.556488549618322</v>
      </c>
      <c r="H24">
        <f>_xlfn.XLOOKUP($B24,'MAY STWO Watchbill'!$B$5:$B$68,'MAY STWO Watchbill'!$BD$5:$BD$68)</f>
        <v>17.930347222222224</v>
      </c>
      <c r="I24">
        <f>_xlfn.XLOOKUP($B24,'JUN STWO Watchbill'!$B$5:$B$68,'JUN STWO Watchbill'!$BD$5:$BD$68)</f>
        <v>16.729209580838322</v>
      </c>
      <c r="J24">
        <f>_xlfn.XLOOKUP($B24,'JUL STWO Watchbill'!$B$5:$B$68,'JUL STWO Watchbill'!$BD$5:$BD$68)</f>
        <v>2.6187628742514981</v>
      </c>
      <c r="P24">
        <f>SUM($E24:E24)</f>
        <v>0</v>
      </c>
      <c r="Q24">
        <f>SUM($E24:F24)</f>
        <v>-9.5809446254071631</v>
      </c>
      <c r="R24">
        <f>SUM($E24:G24)</f>
        <v>-26.137433175025485</v>
      </c>
      <c r="S24">
        <f>SUM($E24:H24)</f>
        <v>-8.2070859528032614</v>
      </c>
      <c r="T24">
        <f>SUM($E24:I24)</f>
        <v>8.522123628035061</v>
      </c>
      <c r="U24">
        <f>SUM($E24:J24)</f>
        <v>11.140886502286559</v>
      </c>
    </row>
    <row r="25" spans="1:21">
      <c r="A25" s="3180" t="s">
        <v>739</v>
      </c>
      <c r="B25" s="3180" t="s">
        <v>740</v>
      </c>
      <c r="C25" s="426">
        <v>0</v>
      </c>
      <c r="D25" s="3475"/>
      <c r="E25">
        <f>_xlfn.XLOOKUP(B25,'FEB STWO Watchbill'!$B$5:$B$66,'FEB STWO Watchbill'!$BD$5:$BD$66)</f>
        <v>-13.83009708737864</v>
      </c>
      <c r="F25">
        <f>_xlfn.XLOOKUP(B25,'MAR STWO Watchbill REV 1'!$B$5:$B$62,'MAR STWO Watchbill REV 1'!$BD$5:$BD$62)</f>
        <v>1.3447719869706845</v>
      </c>
      <c r="G25">
        <f>_xlfn.XLOOKUP($B25,'APR STWO Watchbill REV 2'!$B$5:$B$68,'APR STWO Watchbill REV 2'!$BD$5:$BD$68)</f>
        <v>-11.007633587786259</v>
      </c>
      <c r="H25">
        <f>_xlfn.XLOOKUP($B25,'MAY STWO Watchbill'!$B$5:$B$68,'MAY STWO Watchbill'!$BD$5:$BD$68)</f>
        <v>0.3439930555555577</v>
      </c>
      <c r="I25">
        <f>_xlfn.XLOOKUP($B25,'JUN STWO Watchbill'!$B$5:$B$68,'JUN STWO Watchbill'!$BD$5:$BD$68)</f>
        <v>19.673986227544908</v>
      </c>
      <c r="J25">
        <f>_xlfn.XLOOKUP($B25,'JUL STWO Watchbill'!$B$5:$B$68,'JUL STWO Watchbill'!$BD$5:$BD$68)</f>
        <v>-0.25415808383233696</v>
      </c>
      <c r="P25">
        <f>SUM($E25:E25)</f>
        <v>-13.83009708737864</v>
      </c>
      <c r="Q25">
        <f>SUM($E25:F25)</f>
        <v>-12.485325100407955</v>
      </c>
      <c r="R25">
        <f>SUM($E25:G25)</f>
        <v>-23.492958688194214</v>
      </c>
      <c r="S25">
        <f>SUM($E25:H25)</f>
        <v>-23.148965632638657</v>
      </c>
      <c r="T25">
        <f>SUM($E25:I25)</f>
        <v>-3.4749794050937481</v>
      </c>
      <c r="U25">
        <f>SUM($E25:J25)</f>
        <v>-3.7291374889260851</v>
      </c>
    </row>
    <row r="26" spans="1:21">
      <c r="A26" s="3180" t="s">
        <v>108</v>
      </c>
      <c r="B26" s="3180" t="s">
        <v>1106</v>
      </c>
      <c r="C26" s="426">
        <v>0</v>
      </c>
      <c r="D26" s="3475"/>
      <c r="E26">
        <v>0</v>
      </c>
      <c r="F26">
        <v>0</v>
      </c>
      <c r="G26">
        <f>_xlfn.XLOOKUP($B26,'APR STWO Watchbill REV 2'!$B$5:$B$68,'APR STWO Watchbill REV 2'!$BD$5:$BD$68)</f>
        <v>0</v>
      </c>
      <c r="H26">
        <f>_xlfn.XLOOKUP($B26,'MAY STWO Watchbill'!$B$5:$B$68,'MAY STWO Watchbill'!$BD$5:$BD$68)</f>
        <v>0.3439930555555577</v>
      </c>
      <c r="I26">
        <f>_xlfn.XLOOKUP($B26,'JUN STWO Watchbill'!$B$5:$B$68,'JUN STWO Watchbill'!$BD$5:$BD$68)</f>
        <v>11.673986227544908</v>
      </c>
      <c r="J26">
        <f>_xlfn.XLOOKUP($B26,'JUL STWO Watchbill'!$B$5:$B$68,'JUL STWO Watchbill'!$BD$5:$BD$68)</f>
        <v>9.745841916167663</v>
      </c>
      <c r="P26">
        <f>SUM($E26:E26)</f>
        <v>0</v>
      </c>
      <c r="Q26">
        <f>SUM($E26:F26)</f>
        <v>0</v>
      </c>
      <c r="R26">
        <f>SUM($E26:G26)</f>
        <v>0</v>
      </c>
      <c r="S26">
        <f>SUM($E26:H26)</f>
        <v>0.3439930555555577</v>
      </c>
      <c r="T26">
        <f>SUM($E26:I26)</f>
        <v>12.017979283100466</v>
      </c>
      <c r="U26">
        <f>SUM($E26:J26)</f>
        <v>21.763821199268129</v>
      </c>
    </row>
    <row r="27" spans="1:21">
      <c r="A27" s="3180" t="s">
        <v>145</v>
      </c>
      <c r="B27" s="3180" t="s">
        <v>148</v>
      </c>
      <c r="C27" s="426">
        <v>0</v>
      </c>
      <c r="D27" s="3475"/>
      <c r="E27">
        <f>_xlfn.XLOOKUP(B27,'FEB STWO Watchbill'!$B$5:$B$66,'FEB STWO Watchbill'!$BD$5:$BD$66)</f>
        <v>-13.645631067961169</v>
      </c>
      <c r="F27">
        <f>_xlfn.XLOOKUP(B27,'MAR STWO Watchbill REV 1'!$B$5:$B$62,'MAR STWO Watchbill REV 1'!$BD$5:$BD$62)</f>
        <v>-13.939039087947876</v>
      </c>
      <c r="G27">
        <f>_xlfn.XLOOKUP($B27,'APR STWO Watchbill REV 2'!$B$5:$B$68,'APR STWO Watchbill REV 2'!$BD$5:$BD$68)</f>
        <v>0.2404580152671798</v>
      </c>
      <c r="H27">
        <f>_xlfn.XLOOKUP($B27,'MAY STWO Watchbill'!$B$5:$B$68,'MAY STWO Watchbill'!$BD$5:$BD$68)</f>
        <v>35.722812500000003</v>
      </c>
      <c r="I27">
        <f>_xlfn.XLOOKUP($B27,'JUN STWO Watchbill'!$B$5:$B$68,'JUN STWO Watchbill'!$BD$5:$BD$68)</f>
        <v>-6.8343299401197655</v>
      </c>
      <c r="J27">
        <f>_xlfn.XLOOKUP($B27,'JUL STWO Watchbill'!$B$5:$B$68,'JUL STWO Watchbill'!$BD$5:$BD$68)</f>
        <v>0</v>
      </c>
      <c r="P27">
        <f>SUM($E27:E27)</f>
        <v>-13.645631067961169</v>
      </c>
      <c r="Q27">
        <f>SUM($E27:F27)</f>
        <v>-27.584670155909045</v>
      </c>
      <c r="R27">
        <f>SUM($E27:G27)</f>
        <v>-27.344212140641865</v>
      </c>
      <c r="S27">
        <f>SUM($E27:H27)</f>
        <v>8.3786003593581384</v>
      </c>
      <c r="T27">
        <f>SUM($E27:I27)</f>
        <v>1.5442704192383729</v>
      </c>
      <c r="U27">
        <f>SUM($E27:J27)</f>
        <v>1.5442704192383729</v>
      </c>
    </row>
    <row r="28" spans="1:21">
      <c r="A28" s="3180" t="s">
        <v>1272</v>
      </c>
      <c r="B28" s="3180" t="s">
        <v>618</v>
      </c>
      <c r="C28" s="426">
        <v>0</v>
      </c>
      <c r="D28" s="3475"/>
      <c r="E28">
        <f>_xlfn.XLOOKUP(B28,'FEB STWO Watchbill'!$B$5:$B$66,'FEB STWO Watchbill'!$BD$5:$BD$66)</f>
        <v>-1.3762135922330074</v>
      </c>
      <c r="F28">
        <f>_xlfn.XLOOKUP(B28,'MAR STWO Watchbill REV 1'!$B$5:$B$62,'MAR STWO Watchbill REV 1'!$BD$5:$BD$62)</f>
        <v>-25.550464169381101</v>
      </c>
      <c r="G28">
        <f>_xlfn.XLOOKUP($B28,'APR STWO Watchbill REV 2'!$B$5:$B$68,'APR STWO Watchbill REV 2'!$BD$5:$BD$68)</f>
        <v>45.488549618320612</v>
      </c>
      <c r="H28">
        <f>_xlfn.XLOOKUP($B28,'MAY STWO Watchbill'!$B$5:$B$68,'MAY STWO Watchbill'!$BD$5:$BD$68)</f>
        <v>29.930347222222224</v>
      </c>
      <c r="I28">
        <f>_xlfn.XLOOKUP($B28,'JUN STWO Watchbill'!$B$5:$B$68,'JUN STWO Watchbill'!$BD$5:$BD$68)</f>
        <v>-12.90618562874252</v>
      </c>
      <c r="J28" s="3233">
        <f>_xlfn.XLOOKUP($B28,'JUL STWO Watchbill'!$B$5:$B$68,'JUL STWO Watchbill'!$BD$5:$BD$68)</f>
        <v>0</v>
      </c>
      <c r="P28">
        <f>SUM($E28:E28)</f>
        <v>-1.3762135922330074</v>
      </c>
      <c r="Q28">
        <f>SUM($E28:F28)</f>
        <v>-26.926677761614108</v>
      </c>
      <c r="R28">
        <f>SUM($E28:G28)</f>
        <v>18.561871856706503</v>
      </c>
      <c r="S28">
        <f>SUM($E28:H28)</f>
        <v>48.492219078928727</v>
      </c>
      <c r="T28">
        <f>SUM($E28:I28)</f>
        <v>35.586033450186207</v>
      </c>
      <c r="U28" s="3233">
        <f>SUM($E28:J28)</f>
        <v>35.586033450186207</v>
      </c>
    </row>
    <row r="29" spans="1:21">
      <c r="A29" s="3180" t="s">
        <v>149</v>
      </c>
      <c r="B29" s="3180" t="s">
        <v>151</v>
      </c>
      <c r="C29" s="426">
        <v>0</v>
      </c>
      <c r="D29" s="3475"/>
      <c r="E29">
        <f>_xlfn.XLOOKUP(B29,'FEB STWO Watchbill'!$B$5:$B$66,'FEB STWO Watchbill'!$BD$5:$BD$66)</f>
        <v>-11.106796116504853</v>
      </c>
      <c r="F29">
        <f>_xlfn.XLOOKUP(B29,'MAR STWO Watchbill REV 1'!$B$5:$B$62,'MAR STWO Watchbill REV 1'!$BD$5:$BD$62)</f>
        <v>12.449535830618899</v>
      </c>
      <c r="G29">
        <f>_xlfn.XLOOKUP($B29,'APR STWO Watchbill REV 2'!$B$5:$B$68,'APR STWO Watchbill REV 2'!$BD$5:$BD$68)</f>
        <v>22.24045801526718</v>
      </c>
      <c r="H29">
        <f>_xlfn.XLOOKUP($B29,'MAY STWO Watchbill'!$B$5:$B$68,'MAY STWO Watchbill'!$BD$5:$BD$68)</f>
        <v>-42.139305555555552</v>
      </c>
      <c r="I29">
        <f>_xlfn.XLOOKUP($B29,'JUN STWO Watchbill'!$B$5:$B$68,'JUN STWO Watchbill'!$BD$5:$BD$68)</f>
        <v>21.928144311377245</v>
      </c>
      <c r="J29">
        <f>_xlfn.XLOOKUP($B29,'JUL STWO Watchbill'!$B$5:$B$68,'JUL STWO Watchbill'!$BD$5:$BD$68)</f>
        <v>0</v>
      </c>
      <c r="P29">
        <f>SUM($E29:E29)</f>
        <v>-11.106796116504853</v>
      </c>
      <c r="Q29">
        <f>SUM($E29:F29)</f>
        <v>1.342739714114046</v>
      </c>
      <c r="R29">
        <f>SUM($E29:G29)</f>
        <v>23.583197729381226</v>
      </c>
      <c r="S29">
        <f>SUM($E29:H29)</f>
        <v>-18.556107826174326</v>
      </c>
      <c r="T29">
        <f>SUM($E29:I29)</f>
        <v>3.3720364852029192</v>
      </c>
      <c r="U29">
        <f>SUM($E29:J29)</f>
        <v>3.3720364852029192</v>
      </c>
    </row>
    <row r="30" spans="1:21">
      <c r="A30" s="3180" t="s">
        <v>283</v>
      </c>
      <c r="B30" s="3180" t="s">
        <v>1005</v>
      </c>
      <c r="C30" s="426">
        <v>0</v>
      </c>
      <c r="D30" s="3475"/>
      <c r="E30">
        <f>_xlfn.XLOOKUP(B30,'FEB STWO Watchbill'!$B$5:$B$66,'FEB STWO Watchbill'!$BD$5:$BD$66)</f>
        <v>-8</v>
      </c>
      <c r="F30">
        <f>_xlfn.XLOOKUP(B30,'MAR STWO Watchbill REV 1'!$B$5:$B$62,'MAR STWO Watchbill REV 1'!$BD$5:$BD$62)</f>
        <v>2.5806451612903203</v>
      </c>
      <c r="G30">
        <f>_xlfn.XLOOKUP($B30,'APR STWO Watchbill REV 2'!$B$5:$B$68,'APR STWO Watchbill REV 2'!$BD$5:$BD$68)</f>
        <v>7.7333333333333343</v>
      </c>
      <c r="H30">
        <f>_xlfn.XLOOKUP($B30,'MAY STWO Watchbill'!$B$5:$B$68,'MAY STWO Watchbill'!$BD$5:$BD$68)</f>
        <v>3.4838709677419359</v>
      </c>
      <c r="I30">
        <f>_xlfn.XLOOKUP($B30,'JUN STWO Watchbill'!$B$5:$B$68,'JUN STWO Watchbill'!$BD$5:$BD$68)</f>
        <v>-24.799999999999997</v>
      </c>
      <c r="J30">
        <f>_xlfn.XLOOKUP($B30,'JUL STWO Watchbill'!$B$5:$B$68,'JUL STWO Watchbill'!$BD$5:$BD$68)</f>
        <v>0.26666666666666572</v>
      </c>
      <c r="P30">
        <f>SUM($E30:E30)</f>
        <v>-8</v>
      </c>
      <c r="Q30">
        <f>SUM($E30:F30)</f>
        <v>-5.4193548387096797</v>
      </c>
      <c r="R30">
        <f>SUM($E30:G30)</f>
        <v>2.3139784946236546</v>
      </c>
      <c r="S30">
        <f>SUM($E30:H30)</f>
        <v>5.7978494623655905</v>
      </c>
      <c r="T30">
        <f>SUM($E30:I30)</f>
        <v>-19.002150537634407</v>
      </c>
      <c r="U30">
        <f>SUM($E30:J30)</f>
        <v>-18.735483870967741</v>
      </c>
    </row>
    <row r="31" spans="1:21">
      <c r="A31" s="3180" t="s">
        <v>602</v>
      </c>
      <c r="B31" s="3216" t="s">
        <v>660</v>
      </c>
      <c r="C31" s="37">
        <v>0</v>
      </c>
      <c r="D31" s="3474"/>
      <c r="E31">
        <f>_xlfn.XLOOKUP(B31,'FEB STWO Watchbill'!$B$5:$B$66,'FEB STWO Watchbill'!$BD$5:$BD$66)</f>
        <v>26.708737864077662</v>
      </c>
      <c r="F31">
        <f>_xlfn.XLOOKUP(B31,'MAR STWO Watchbill REV 1'!$B$5:$B$62,'MAR STWO Watchbill REV 1'!$BD$5:$BD$62)</f>
        <v>3.7028664495113972</v>
      </c>
      <c r="G31">
        <f>_xlfn.XLOOKUP($B31,'APR STWO Watchbill REV 2'!$B$5:$B$68,'APR STWO Watchbill REV 2'!$BD$5:$BD$68)</f>
        <v>7.4885496183206115</v>
      </c>
      <c r="H31">
        <f>_xlfn.XLOOKUP($B31,'MAY STWO Watchbill'!$B$5:$B$68,'MAY STWO Watchbill'!$BD$5:$BD$68)</f>
        <v>-37.725659722222218</v>
      </c>
      <c r="I31">
        <f>_xlfn.XLOOKUP($B31,'JUN STWO Watchbill'!$B$5:$B$68,'JUN STWO Watchbill'!$BD$5:$BD$68)</f>
        <v>-10.90618562874252</v>
      </c>
      <c r="J31">
        <f>_xlfn.XLOOKUP($B31,'JUL STWO Watchbill'!$B$5:$B$68,'JUL STWO Watchbill'!$BD$5:$BD$68)</f>
        <v>-20.90618562874252</v>
      </c>
      <c r="P31">
        <f>SUM($E31:E31)</f>
        <v>26.708737864077662</v>
      </c>
      <c r="Q31">
        <f>SUM($E31:F31)</f>
        <v>30.411604313589059</v>
      </c>
      <c r="R31">
        <f>SUM($E31:G31)</f>
        <v>37.900153931909671</v>
      </c>
      <c r="S31">
        <f>SUM($E31:H31)</f>
        <v>0.17449420968745244</v>
      </c>
      <c r="T31">
        <f>SUM($E31:I31)</f>
        <v>-10.731691419055068</v>
      </c>
      <c r="U31">
        <f>SUM($E31:J31)</f>
        <v>-31.637877047797588</v>
      </c>
    </row>
    <row r="32" spans="1:21">
      <c r="A32" s="3180" t="s">
        <v>81</v>
      </c>
      <c r="B32" s="3180" t="s">
        <v>396</v>
      </c>
      <c r="C32" s="426">
        <v>0</v>
      </c>
      <c r="D32" s="3475"/>
      <c r="E32">
        <f>_xlfn.XLOOKUP(B32,'FEB STWO Watchbill'!$B$5:$B$66,'FEB STWO Watchbill'!$BD$5:$BD$66)</f>
        <v>-16.099514563106798</v>
      </c>
      <c r="F32">
        <f>_xlfn.XLOOKUP(B32,'MAR STWO Watchbill REV 1'!$B$5:$B$62,'MAR STWO Watchbill REV 1'!$BD$5:$BD$62)</f>
        <v>2.240008143322477</v>
      </c>
      <c r="G32">
        <f>_xlfn.XLOOKUP($B32,'APR STWO Watchbill REV 2'!$B$5:$B$68,'APR STWO Watchbill REV 2'!$BD$5:$BD$68)</f>
        <v>11.142748091603053</v>
      </c>
      <c r="H32">
        <f>_xlfn.XLOOKUP($B32,'MAY STWO Watchbill'!$B$5:$B$68,'MAY STWO Watchbill'!$BD$5:$BD$68)</f>
        <v>-18.415069444444441</v>
      </c>
      <c r="I32">
        <f>_xlfn.XLOOKUP($B32,'JUN STWO Watchbill'!$B$5:$B$68,'JUN STWO Watchbill'!$BD$5:$BD$68)</f>
        <v>16.983367664670652</v>
      </c>
      <c r="J32">
        <f>_xlfn.XLOOKUP($B32,'JUL STWO Watchbill'!$B$5:$B$68,'JUL STWO Watchbill'!$BD$5:$BD$68)</f>
        <v>0</v>
      </c>
      <c r="P32">
        <f>SUM($E32:E32)</f>
        <v>-16.099514563106798</v>
      </c>
      <c r="Q32">
        <f>SUM($E32:F32)</f>
        <v>-13.859506419784321</v>
      </c>
      <c r="R32">
        <f>SUM($E32:G32)</f>
        <v>-2.7167583281812675</v>
      </c>
      <c r="S32">
        <f>SUM($E32:H32)</f>
        <v>-21.131827772625709</v>
      </c>
      <c r="T32">
        <f>SUM($E32:I32)</f>
        <v>-4.1484601079550565</v>
      </c>
      <c r="U32">
        <f>SUM($E32:J32)</f>
        <v>-4.1484601079550565</v>
      </c>
    </row>
    <row r="33" spans="1:21">
      <c r="A33" s="3180" t="s">
        <v>95</v>
      </c>
      <c r="B33" s="3180" t="s">
        <v>303</v>
      </c>
      <c r="C33" s="426">
        <v>0</v>
      </c>
      <c r="D33" s="3475"/>
      <c r="E33">
        <f>_xlfn.XLOOKUP(B33,'FEB STWO Watchbill'!$B$5:$B$66,'FEB STWO Watchbill'!$BD$5:$BD$66)</f>
        <v>10.708737864077662</v>
      </c>
      <c r="F33">
        <f>_xlfn.XLOOKUP(B33,'MAR STWO Watchbill REV 1'!$B$5:$B$62,'MAR STWO Watchbill REV 1'!$BD$5:$BD$62)</f>
        <v>-8.4761807817589556</v>
      </c>
      <c r="G33">
        <f>_xlfn.XLOOKUP($B33,'APR STWO Watchbill REV 2'!$B$5:$B$68,'APR STWO Watchbill REV 2'!$BD$5:$BD$68)</f>
        <v>-3.4587786259542028</v>
      </c>
      <c r="H33">
        <f>_xlfn.XLOOKUP($B33,'MAY STWO Watchbill'!$B$5:$B$68,'MAY STWO Watchbill'!$BD$5:$BD$68)</f>
        <v>-1.104479166666664</v>
      </c>
      <c r="I33">
        <f>_xlfn.XLOOKUP($B33,'JUN STWO Watchbill'!$B$5:$B$68,'JUN STWO Watchbill'!$BD$5:$BD$68)</f>
        <v>20.983367664670652</v>
      </c>
      <c r="J33">
        <f>_xlfn.XLOOKUP($B33,'JUL STWO Watchbill'!$B$5:$B$68,'JUL STWO Watchbill'!$BD$5:$BD$68)</f>
        <v>-29.961408982035927</v>
      </c>
      <c r="P33">
        <f>SUM($E33:E33)</f>
        <v>10.708737864077662</v>
      </c>
      <c r="Q33">
        <f>SUM($E33:F33)</f>
        <v>2.2325570823187064</v>
      </c>
      <c r="R33">
        <f>SUM($E33:G33)</f>
        <v>-1.2262215436354964</v>
      </c>
      <c r="S33">
        <f>SUM($E33:H33)</f>
        <v>-2.3307007103021604</v>
      </c>
      <c r="T33">
        <f>SUM($E33:I33)</f>
        <v>18.652666954368492</v>
      </c>
      <c r="U33">
        <f>SUM($E33:J33)</f>
        <v>-11.308742027667435</v>
      </c>
    </row>
    <row r="34" spans="1:21">
      <c r="A34" s="3180" t="s">
        <v>155</v>
      </c>
      <c r="B34" s="3187" t="s">
        <v>532</v>
      </c>
      <c r="C34" s="37">
        <v>0</v>
      </c>
      <c r="D34" s="3474"/>
      <c r="E34">
        <f>_xlfn.XLOOKUP(B34,'FEB STWO Watchbill'!$B$5:$B$66,'FEB STWO Watchbill'!$BD$5:$BD$66)</f>
        <v>-22.922330097087382</v>
      </c>
      <c r="F34">
        <f>_xlfn.XLOOKUP(B34,'MAR STWO Watchbill REV 1'!$B$5:$B$62,'MAR STWO Watchbill REV 1'!$BD$5:$BD$62)</f>
        <v>19.702866449511397</v>
      </c>
      <c r="G34">
        <f>_xlfn.XLOOKUP($B34,'APR STWO Watchbill REV 2'!$B$5:$B$68,'APR STWO Watchbill REV 2'!$BD$5:$BD$68)</f>
        <v>-22.105343511450382</v>
      </c>
      <c r="H34">
        <f>_xlfn.XLOOKUP($B34,'MAY STWO Watchbill'!$B$5:$B$68,'MAY STWO Watchbill'!$BD$5:$BD$68)</f>
        <v>32.895520833333336</v>
      </c>
      <c r="I34">
        <f>_xlfn.XLOOKUP($B34,'JUN STWO Watchbill'!$B$5:$B$68,'JUN STWO Watchbill'!$BD$5:$BD$68)</f>
        <v>19.784432934131743</v>
      </c>
      <c r="J34">
        <f>_xlfn.XLOOKUP($B34,'JUL STWO Watchbill'!$B$5:$B$68,'JUL STWO Watchbill'!$BD$5:$BD$68)</f>
        <v>5.0552233532934139</v>
      </c>
      <c r="P34">
        <f>SUM($E34:E34)</f>
        <v>-22.922330097087382</v>
      </c>
      <c r="Q34">
        <f>SUM($E34:F34)</f>
        <v>-3.219463647575985</v>
      </c>
      <c r="R34">
        <f>SUM($E34:G34)</f>
        <v>-25.324807159026367</v>
      </c>
      <c r="S34">
        <f>SUM($E34:H34)</f>
        <v>7.570713674306969</v>
      </c>
      <c r="T34">
        <f>SUM($E34:I34)</f>
        <v>27.355146608438712</v>
      </c>
      <c r="U34">
        <f>SUM($E34:J34)</f>
        <v>32.41036996173213</v>
      </c>
    </row>
    <row r="35" spans="1:21">
      <c r="A35" s="877"/>
      <c r="B35" s="3125" t="s">
        <v>1478</v>
      </c>
      <c r="C35">
        <f>SUM(C3:C34)</f>
        <v>-8.6237864077669926</v>
      </c>
      <c r="D35" s="3476"/>
      <c r="E35">
        <f>SUM(E3:E34)</f>
        <v>-5.3290705182007514E-14</v>
      </c>
      <c r="F35">
        <f>SUM(F3:F34)</f>
        <v>4.8387096780544425E-4</v>
      </c>
      <c r="G35">
        <f>SUM(G3:G34)</f>
        <v>3.907985046680551E-14</v>
      </c>
      <c r="H35">
        <f>SUM(H3:H34)</f>
        <v>6.45161290407259E-4</v>
      </c>
      <c r="I35">
        <f>SUM(I3:I34)</f>
        <v>3.3333333341545313E-5</v>
      </c>
      <c r="J35" t="e">
        <f>SUM(J3:J34)</f>
        <v>#N/A</v>
      </c>
    </row>
    <row r="36" spans="1:21">
      <c r="A36" s="877"/>
      <c r="B36" s="3125" t="s">
        <v>1479</v>
      </c>
      <c r="E36">
        <f>STDEV(E3:E34)</f>
        <v>15.442576750174894</v>
      </c>
      <c r="F36">
        <f t="shared" ref="F36:G36" si="0">STDEV(F3:F34)</f>
        <v>12.125307667944019</v>
      </c>
      <c r="G36">
        <f t="shared" si="0"/>
        <v>17.214279561571928</v>
      </c>
      <c r="H36">
        <f t="shared" ref="H36" si="1">STDEV(H3:H34)</f>
        <v>22.827409770868396</v>
      </c>
      <c r="I36">
        <f>STDEV(I3:I34)</f>
        <v>15.24445708849932</v>
      </c>
      <c r="J36" t="e">
        <f>STDEV(J3:J34)</f>
        <v>#N/A</v>
      </c>
      <c r="P36">
        <f t="shared" ref="P36:Q36" si="2">STDEV(P3:P34)</f>
        <v>15.442576750174894</v>
      </c>
      <c r="Q36">
        <f t="shared" si="2"/>
        <v>18.991761590175788</v>
      </c>
      <c r="R36">
        <f t="shared" ref="R36:S36" si="3">STDEV(R3:R34)</f>
        <v>23.984343716113099</v>
      </c>
      <c r="S36">
        <f t="shared" si="3"/>
        <v>16.49767945900285</v>
      </c>
      <c r="T36">
        <f>STDEV(T3:T34)</f>
        <v>13.668430710191428</v>
      </c>
      <c r="U36" t="e">
        <f>STDEV(U3:U34)</f>
        <v>#N/A</v>
      </c>
    </row>
    <row r="37" spans="1:21">
      <c r="A37" s="877"/>
      <c r="B37" s="3125" t="s">
        <v>1157</v>
      </c>
      <c r="C37" s="3125"/>
      <c r="D37" s="3125"/>
    </row>
    <row r="38" spans="1:21">
      <c r="A38" s="877"/>
      <c r="B38" s="3125"/>
      <c r="C38" s="3125"/>
      <c r="D38" s="3125"/>
    </row>
    <row r="39" spans="1:21">
      <c r="A39" s="3252" t="s">
        <v>1480</v>
      </c>
      <c r="B39" s="3253"/>
      <c r="C39" s="3160" t="s">
        <v>92</v>
      </c>
      <c r="D39" s="3472"/>
      <c r="E39" s="3161" t="s">
        <v>99</v>
      </c>
      <c r="F39" s="3161" t="s">
        <v>110</v>
      </c>
      <c r="G39" s="3161" t="s">
        <v>136</v>
      </c>
      <c r="H39" s="3161" t="s">
        <v>144</v>
      </c>
      <c r="I39" s="3161" t="s">
        <v>13</v>
      </c>
      <c r="J39" s="3254" t="s">
        <v>1481</v>
      </c>
      <c r="K39" s="3255"/>
      <c r="L39" s="3162" t="s">
        <v>1482</v>
      </c>
    </row>
    <row r="40" spans="1:21">
      <c r="A40" s="3164" t="s">
        <v>120</v>
      </c>
      <c r="B40" s="3165" t="s">
        <v>1079</v>
      </c>
      <c r="C40" s="3167"/>
      <c r="D40" s="3473"/>
      <c r="E40" s="3168"/>
      <c r="F40" s="3168"/>
      <c r="G40" s="3168"/>
      <c r="H40" s="3168"/>
      <c r="I40" s="3168"/>
      <c r="J40" s="3168"/>
      <c r="K40" s="3168"/>
      <c r="L40" s="3169"/>
    </row>
    <row r="41" spans="1:21">
      <c r="A41" s="3164" t="s">
        <v>120</v>
      </c>
      <c r="B41" s="3165" t="s">
        <v>1195</v>
      </c>
      <c r="C41" s="3165" t="s">
        <v>1195</v>
      </c>
      <c r="D41" s="3165"/>
      <c r="E41" s="3168" t="s">
        <v>1483</v>
      </c>
      <c r="F41" s="3168"/>
      <c r="G41" s="3168"/>
      <c r="H41" s="3168" t="s">
        <v>1327</v>
      </c>
      <c r="I41" s="3168"/>
      <c r="J41" s="3168"/>
      <c r="K41" s="3168"/>
      <c r="L41" s="3169"/>
    </row>
    <row r="42" spans="1:21">
      <c r="A42" s="3164" t="s">
        <v>131</v>
      </c>
      <c r="B42" s="3165" t="s">
        <v>1201</v>
      </c>
      <c r="C42" s="3167"/>
      <c r="D42" s="3473"/>
      <c r="E42" s="3168"/>
      <c r="F42" s="3168" t="s">
        <v>1372</v>
      </c>
      <c r="G42" s="3168"/>
      <c r="H42" s="3168"/>
      <c r="I42" s="3168"/>
      <c r="J42" s="3168"/>
      <c r="K42" s="3168"/>
      <c r="L42" s="3169"/>
    </row>
    <row r="43" spans="1:21">
      <c r="A43" s="3460"/>
      <c r="B43" s="3461"/>
      <c r="C43" s="3462"/>
      <c r="D43" s="3462"/>
      <c r="E43" s="3463"/>
      <c r="F43" s="3463"/>
      <c r="G43" s="3464"/>
      <c r="H43" s="3465"/>
      <c r="I43" s="3465"/>
      <c r="J43" s="3465"/>
      <c r="K43" s="3465"/>
      <c r="L43" s="3466"/>
    </row>
    <row r="44" spans="1:21">
      <c r="A44" s="3460"/>
      <c r="B44" s="3461"/>
      <c r="C44" s="3462"/>
      <c r="D44" s="3462"/>
      <c r="E44" s="3463"/>
      <c r="F44" s="3463"/>
      <c r="G44" s="3464"/>
      <c r="H44" s="3465"/>
      <c r="I44" s="3465"/>
      <c r="J44" s="3465"/>
      <c r="K44" s="3465"/>
      <c r="L44" s="3466"/>
    </row>
    <row r="45" spans="1:21">
      <c r="A45" s="3460"/>
      <c r="B45" s="3461"/>
      <c r="C45" s="3462"/>
      <c r="D45" s="3462"/>
      <c r="E45" s="3463"/>
      <c r="F45" s="3463"/>
      <c r="G45" s="3464"/>
      <c r="H45" s="3465"/>
      <c r="I45" s="3465"/>
      <c r="J45" s="3465"/>
      <c r="K45" s="3465"/>
      <c r="L45" s="3466"/>
    </row>
    <row r="46" spans="1:21">
      <c r="A46" s="3172" t="s">
        <v>149</v>
      </c>
      <c r="B46" s="3173" t="s">
        <v>1207</v>
      </c>
      <c r="C46" s="3174"/>
      <c r="D46" s="3174"/>
      <c r="E46" s="3174"/>
      <c r="F46" s="3174" t="s">
        <v>1372</v>
      </c>
      <c r="G46" s="3175"/>
      <c r="H46" s="3170"/>
      <c r="I46" s="3170"/>
      <c r="J46" s="3170"/>
      <c r="K46" s="3170"/>
      <c r="L46" s="3171"/>
    </row>
    <row r="48" spans="1:21">
      <c r="A48" s="3256" t="s">
        <v>1484</v>
      </c>
      <c r="B48" s="3257"/>
      <c r="C48" s="3459"/>
      <c r="D48" s="3459"/>
    </row>
    <row r="49" spans="1:4">
      <c r="A49" s="2235" t="s">
        <v>1485</v>
      </c>
      <c r="B49" s="696" t="s">
        <v>716</v>
      </c>
      <c r="C49" s="283"/>
      <c r="D49" s="283"/>
    </row>
    <row r="50" spans="1:4">
      <c r="A50" s="2235" t="s">
        <v>554</v>
      </c>
      <c r="B50" s="696" t="s">
        <v>555</v>
      </c>
      <c r="C50" s="283"/>
      <c r="D50" s="283"/>
    </row>
    <row r="51" spans="1:4">
      <c r="A51" s="2231" t="s">
        <v>1211</v>
      </c>
      <c r="B51" s="322" t="s">
        <v>1212</v>
      </c>
      <c r="C51" s="283"/>
      <c r="D51" s="283"/>
    </row>
  </sheetData>
  <sortState xmlns:xlrd2="http://schemas.microsoft.com/office/spreadsheetml/2017/richdata2" ref="R3:R1048576">
    <sortCondition descending="1" ref="R3:R1048576"/>
  </sortState>
  <mergeCells count="3">
    <mergeCell ref="A2:B2"/>
    <mergeCell ref="P1:S1"/>
    <mergeCell ref="E1:H1"/>
  </mergeCells>
  <conditionalFormatting sqref="P3:T3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fitToHeight="0"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31B3-1A9A-4F03-9AF9-3C54EEB403E3}">
  <dimension ref="A1:H33"/>
  <sheetViews>
    <sheetView workbookViewId="0">
      <selection activeCell="H3" sqref="H3"/>
    </sheetView>
  </sheetViews>
  <sheetFormatPr defaultRowHeight="15"/>
  <sheetData>
    <row r="1" spans="1:8">
      <c r="A1" t="s">
        <v>1486</v>
      </c>
      <c r="B1" t="s">
        <v>1487</v>
      </c>
      <c r="C1" t="s">
        <v>1488</v>
      </c>
      <c r="D1" s="3262" t="s">
        <v>1472</v>
      </c>
      <c r="E1" s="3262" t="s">
        <v>1473</v>
      </c>
      <c r="F1" s="3262" t="s">
        <v>1474</v>
      </c>
      <c r="G1" s="922" t="s">
        <v>1475</v>
      </c>
      <c r="H1" s="922" t="s">
        <v>1489</v>
      </c>
    </row>
    <row r="2" spans="1:8">
      <c r="A2" t="str" cm="1">
        <f t="array" ref="A2:A33">'Personnel Tracker'!A3:A34</f>
        <v>LTJG</v>
      </c>
      <c r="B2" t="str" cm="1">
        <f t="array" ref="B2:B33">'Personnel Tracker'!B3:B34</f>
        <v>Bailey</v>
      </c>
      <c r="C2" t="str">
        <f>_xlfn.CONCAT(A2," ",B2)</f>
        <v>LTJG Bailey</v>
      </c>
      <c r="D2">
        <f>'Personnel Tracker'!P3</f>
        <v>9.6310679611650478</v>
      </c>
      <c r="E2">
        <f>'Personnel Tracker'!Q3</f>
        <v>7.333934410676445</v>
      </c>
      <c r="F2">
        <f>'Personnel Tracker'!R3</f>
        <v>24.175919143500874</v>
      </c>
      <c r="G2">
        <f>'Personnel Tracker'!S3</f>
        <v>8.6577941435008761</v>
      </c>
      <c r="H2">
        <f>'Personnel Tracker'!T3</f>
        <v>-7.9223777127865453</v>
      </c>
    </row>
    <row r="3" spans="1:8">
      <c r="A3" t="str">
        <v>CTTC</v>
      </c>
      <c r="B3" t="str">
        <v>Thompson</v>
      </c>
      <c r="C3" t="str">
        <f t="shared" ref="C3:C33" si="0">_xlfn.CONCAT(A3," ",B3)</f>
        <v>CTTC Thompson</v>
      </c>
      <c r="D3">
        <f>'Personnel Tracker'!P4</f>
        <v>-2.0145631067961176</v>
      </c>
      <c r="E3">
        <f>'Personnel Tracker'!Q4</f>
        <v>-23.595507732203281</v>
      </c>
      <c r="F3">
        <f>'Personnel Tracker'!R4</f>
        <v>-33.505431396325413</v>
      </c>
      <c r="G3">
        <f>'Personnel Tracker'!S4</f>
        <v>-41.023556396325411</v>
      </c>
      <c r="H3">
        <f>'Personnel Tracker'!T4</f>
        <v>-33.239123462193668</v>
      </c>
    </row>
    <row r="4" spans="1:8">
      <c r="A4" t="str">
        <v>ISC</v>
      </c>
      <c r="B4" t="str">
        <v>Alumia</v>
      </c>
      <c r="C4" t="str">
        <f t="shared" si="0"/>
        <v>ISC Alumia</v>
      </c>
      <c r="D4">
        <f>'Personnel Tracker'!P5</f>
        <v>-28.014563106796118</v>
      </c>
      <c r="E4">
        <f>'Personnel Tracker'!Q5</f>
        <v>-24.848838351095793</v>
      </c>
      <c r="F4">
        <f>'Personnel Tracker'!R5</f>
        <v>-50.653418503767547</v>
      </c>
      <c r="G4">
        <f>'Personnel Tracker'!S5</f>
        <v>7.0693939962324563</v>
      </c>
      <c r="H4">
        <f>'Personnel Tracker'!T5</f>
        <v>-1.0024616923902983</v>
      </c>
    </row>
    <row r="5" spans="1:8">
      <c r="A5" t="str">
        <v>CDR</v>
      </c>
      <c r="B5" t="str">
        <v>Ivey</v>
      </c>
      <c r="C5" t="str">
        <f t="shared" si="0"/>
        <v>CDR Ivey</v>
      </c>
      <c r="D5">
        <f>'Personnel Tracker'!P6</f>
        <v>0</v>
      </c>
      <c r="E5">
        <f>'Personnel Tracker'!Q6</f>
        <v>8</v>
      </c>
      <c r="F5">
        <f>'Personnel Tracker'!R6</f>
        <v>5.6000000000000014</v>
      </c>
      <c r="G5">
        <f>'Personnel Tracker'!S6</f>
        <v>-4.3999999999999986</v>
      </c>
      <c r="H5">
        <f>'Personnel Tracker'!T6</f>
        <v>-4.3999999999999986</v>
      </c>
    </row>
    <row r="6" spans="1:8">
      <c r="A6" t="str">
        <v>LT</v>
      </c>
      <c r="B6" t="str">
        <v>Maligsa</v>
      </c>
      <c r="C6" t="str">
        <f t="shared" si="0"/>
        <v>LT Maligsa</v>
      </c>
      <c r="D6">
        <f>'Personnel Tracker'!P7</f>
        <v>-29.191747572815537</v>
      </c>
      <c r="E6">
        <f>'Personnel Tracker'!Q7</f>
        <v>-31.667928354574492</v>
      </c>
      <c r="F6">
        <f>'Personnel Tracker'!R7</f>
        <v>-40.675561942360751</v>
      </c>
      <c r="G6">
        <f>'Personnel Tracker'!S7</f>
        <v>-2.193686942360749</v>
      </c>
      <c r="H6">
        <f>'Personnel Tracker'!T7</f>
        <v>6.9001274288967309</v>
      </c>
    </row>
    <row r="7" spans="1:8">
      <c r="A7" t="str">
        <v>LT</v>
      </c>
      <c r="B7" t="str">
        <v>Hespen</v>
      </c>
      <c r="C7" t="str">
        <f t="shared" si="0"/>
        <v>LT Hespen</v>
      </c>
      <c r="D7">
        <f>'Personnel Tracker'!P8</f>
        <v>0</v>
      </c>
      <c r="E7">
        <f>'Personnel Tracker'!Q8</f>
        <v>19.881913680781764</v>
      </c>
      <c r="F7">
        <f>'Personnel Tracker'!R8</f>
        <v>-4.073048151279302</v>
      </c>
      <c r="G7">
        <f>'Personnel Tracker'!S8</f>
        <v>12.270944904276256</v>
      </c>
      <c r="H7">
        <f>'Personnel Tracker'!T8</f>
        <v>-1.8727664729692535</v>
      </c>
    </row>
    <row r="8" spans="1:8">
      <c r="A8" t="str">
        <v>OSC</v>
      </c>
      <c r="B8" t="str">
        <v>Williams</v>
      </c>
      <c r="C8" t="str">
        <f t="shared" si="0"/>
        <v>OSC Williams</v>
      </c>
      <c r="D8">
        <f>'Personnel Tracker'!P9</f>
        <v>0</v>
      </c>
      <c r="E8">
        <f>'Personnel Tracker'!Q9</f>
        <v>0</v>
      </c>
      <c r="F8">
        <f>'Personnel Tracker'!R9</f>
        <v>0</v>
      </c>
      <c r="G8">
        <f>'Personnel Tracker'!S9</f>
        <v>-6.9652777777776009E-2</v>
      </c>
      <c r="H8">
        <f>'Personnel Tracker'!T9</f>
        <v>-16.285219843646033</v>
      </c>
    </row>
    <row r="9" spans="1:8">
      <c r="A9" t="str">
        <v>OS1</v>
      </c>
      <c r="B9" t="str">
        <v>Tillman</v>
      </c>
      <c r="C9" t="str">
        <f t="shared" si="0"/>
        <v>OS1 Tillman</v>
      </c>
      <c r="D9">
        <f>'Personnel Tracker'!P10</f>
        <v>8.708737864077662</v>
      </c>
      <c r="E9">
        <f>'Personnel Tracker'!Q10</f>
        <v>17.158273694696561</v>
      </c>
      <c r="F9">
        <f>'Personnel Tracker'!R10</f>
        <v>38.646823313017173</v>
      </c>
      <c r="G9">
        <f>'Personnel Tracker'!S10</f>
        <v>17.128698313017175</v>
      </c>
      <c r="H9">
        <f>'Personnel Tracker'!T10</f>
        <v>6.2225126842746548</v>
      </c>
    </row>
    <row r="10" spans="1:8">
      <c r="A10" t="str">
        <v xml:space="preserve">LCDR </v>
      </c>
      <c r="B10" t="str">
        <v>Huntley</v>
      </c>
      <c r="C10" t="str">
        <f t="shared" si="0"/>
        <v>LCDR  Huntley</v>
      </c>
      <c r="D10">
        <f>'Personnel Tracker'!P11</f>
        <v>-10</v>
      </c>
      <c r="E10">
        <f>'Personnel Tracker'!Q11</f>
        <v>-11.806451612903228</v>
      </c>
      <c r="F10">
        <f>'Personnel Tracker'!R11</f>
        <v>-15.539784946236562</v>
      </c>
      <c r="G10">
        <f>'Personnel Tracker'!S11</f>
        <v>-7.539784946236562</v>
      </c>
      <c r="H10">
        <f>'Personnel Tracker'!T11</f>
        <v>0.19354838709677225</v>
      </c>
    </row>
    <row r="11" spans="1:8">
      <c r="A11" t="str">
        <v xml:space="preserve">LCDR </v>
      </c>
      <c r="B11" t="str">
        <v>Despota</v>
      </c>
      <c r="C11" t="str">
        <f t="shared" si="0"/>
        <v>LCDR  Despota</v>
      </c>
      <c r="D11">
        <f>'Personnel Tracker'!P12</f>
        <v>-4</v>
      </c>
      <c r="E11">
        <f>'Personnel Tracker'!Q12</f>
        <v>4</v>
      </c>
      <c r="F11">
        <f>'Personnel Tracker'!R12</f>
        <v>-7.1999999999999993</v>
      </c>
      <c r="G11">
        <f>'Personnel Tracker'!S12</f>
        <v>-2.7483870967741932</v>
      </c>
      <c r="H11">
        <f>'Personnel Tracker'!T12</f>
        <v>-2.7483870967741932</v>
      </c>
    </row>
    <row r="12" spans="1:8">
      <c r="A12" t="str">
        <v>ENC</v>
      </c>
      <c r="B12" t="str">
        <v>Tran</v>
      </c>
      <c r="C12" t="str">
        <f t="shared" si="0"/>
        <v>ENC Tran</v>
      </c>
      <c r="D12">
        <f>'Personnel Tracker'!P13</f>
        <v>0</v>
      </c>
      <c r="E12">
        <f>'Personnel Tracker'!Q13</f>
        <v>-1.550464169381101</v>
      </c>
      <c r="F12">
        <f>'Personnel Tracker'!R13</f>
        <v>10.840375525275391</v>
      </c>
      <c r="G12">
        <f>'Personnel Tracker'!S13</f>
        <v>19.114715803053173</v>
      </c>
      <c r="H12">
        <f>'Personnel Tracker'!T13</f>
        <v>-15.791469825689347</v>
      </c>
    </row>
    <row r="13" spans="1:8">
      <c r="A13" t="str">
        <v>EMC</v>
      </c>
      <c r="B13" t="str">
        <v>Daves</v>
      </c>
      <c r="C13" t="str">
        <f t="shared" si="0"/>
        <v>EMC Daves</v>
      </c>
      <c r="D13">
        <f>'Personnel Tracker'!P14</f>
        <v>10.708737864077662</v>
      </c>
      <c r="E13">
        <f>'Personnel Tracker'!Q14</f>
        <v>-16.841726305303439</v>
      </c>
      <c r="F13">
        <f>'Personnel Tracker'!R14</f>
        <v>1.2483500305744286</v>
      </c>
      <c r="G13">
        <f>'Personnel Tracker'!S14</f>
        <v>-3.99401108053668</v>
      </c>
      <c r="H13">
        <f>'Personnel Tracker'!T14</f>
        <v>-10.756485332033684</v>
      </c>
    </row>
    <row r="14" spans="1:8">
      <c r="A14" t="str">
        <v>GSMC</v>
      </c>
      <c r="B14" t="str">
        <v>Mckeown</v>
      </c>
      <c r="C14" t="str">
        <f t="shared" si="0"/>
        <v>GSMC Mckeown</v>
      </c>
      <c r="D14">
        <f>'Personnel Tracker'!P15</f>
        <v>34.354368932038831</v>
      </c>
      <c r="E14">
        <f>'Personnel Tracker'!Q15</f>
        <v>40.80390476265773</v>
      </c>
      <c r="F14">
        <f>'Personnel Tracker'!R15</f>
        <v>31.645889495482159</v>
      </c>
      <c r="G14">
        <f>'Personnel Tracker'!S15</f>
        <v>-10.07977022674006</v>
      </c>
      <c r="H14">
        <f>'Personnel Tracker'!T15</f>
        <v>-7.3505606459017372</v>
      </c>
    </row>
    <row r="15" spans="1:8">
      <c r="A15" t="str">
        <v>ETC</v>
      </c>
      <c r="B15" t="str">
        <v>Pearson</v>
      </c>
      <c r="C15" t="str">
        <f t="shared" si="0"/>
        <v>ETC Pearson</v>
      </c>
      <c r="D15">
        <f>'Personnel Tracker'!P16</f>
        <v>-14.099514563106798</v>
      </c>
      <c r="E15">
        <f>'Personnel Tracker'!Q16</f>
        <v>-15.649978732487899</v>
      </c>
      <c r="F15">
        <f>'Personnel Tracker'!R16</f>
        <v>9.8385708858327128</v>
      </c>
      <c r="G15">
        <f>'Personnel Tracker'!S16</f>
        <v>-7.4037902252783958</v>
      </c>
      <c r="H15">
        <f>'Personnel Tracker'!T16</f>
        <v>17.690024145979084</v>
      </c>
    </row>
    <row r="16" spans="1:8">
      <c r="A16" t="str">
        <v>LSC</v>
      </c>
      <c r="B16" t="str">
        <v>Smith</v>
      </c>
      <c r="C16" t="str">
        <f t="shared" si="0"/>
        <v>LSC Smith</v>
      </c>
      <c r="D16">
        <f>'Personnel Tracker'!P17</f>
        <v>8.6237864077669926</v>
      </c>
      <c r="E16">
        <f>'Personnel Tracker'!Q17</f>
        <v>0</v>
      </c>
      <c r="F16">
        <f>'Personnel Tracker'!R17</f>
        <v>0</v>
      </c>
      <c r="G16">
        <f>'Personnel Tracker'!S17</f>
        <v>0</v>
      </c>
      <c r="H16">
        <f>'Personnel Tracker'!T17</f>
        <v>0</v>
      </c>
    </row>
    <row r="17" spans="1:8">
      <c r="A17" t="str">
        <v>GMC</v>
      </c>
      <c r="B17" t="str">
        <v>Ogle</v>
      </c>
      <c r="C17" t="str">
        <f t="shared" si="0"/>
        <v>GMC Ogle</v>
      </c>
      <c r="D17">
        <f>'Personnel Tracker'!P18</f>
        <v>0.70873786407766204</v>
      </c>
      <c r="E17">
        <f>'Personnel Tracker'!Q18</f>
        <v>25.874462619777987</v>
      </c>
      <c r="F17">
        <f>'Personnel Tracker'!R18</f>
        <v>-2.2308808916723954</v>
      </c>
      <c r="G17">
        <f>'Personnel Tracker'!S18</f>
        <v>-6.0944225583390583</v>
      </c>
      <c r="H17">
        <f>'Personnel Tracker'!T18</f>
        <v>3.8337217530381871</v>
      </c>
    </row>
    <row r="18" spans="1:8">
      <c r="A18" t="str">
        <v>DCC</v>
      </c>
      <c r="B18" t="str">
        <v>Allen</v>
      </c>
      <c r="C18" t="str">
        <f t="shared" si="0"/>
        <v>DCC Allen</v>
      </c>
      <c r="D18">
        <f>'Personnel Tracker'!P19</f>
        <v>34.708737864077662</v>
      </c>
      <c r="E18">
        <f>'Personnel Tracker'!Q19</f>
        <v>31.158273694696561</v>
      </c>
      <c r="F18">
        <f>'Personnel Tracker'!R19</f>
        <v>14.646823313017173</v>
      </c>
      <c r="G18">
        <f>'Personnel Tracker'!S19</f>
        <v>-1.0788364092050458</v>
      </c>
      <c r="H18">
        <f>'Personnel Tracker'!T19</f>
        <v>-1.0788364092050458</v>
      </c>
    </row>
    <row r="19" spans="1:8">
      <c r="A19" t="str">
        <v>FC1</v>
      </c>
      <c r="B19" t="str">
        <v>Fernandez</v>
      </c>
      <c r="C19" t="str">
        <f t="shared" si="0"/>
        <v>FC1 Fernandez</v>
      </c>
      <c r="D19">
        <f>'Personnel Tracker'!P20</f>
        <v>21.985436893203882</v>
      </c>
      <c r="E19">
        <f>'Personnel Tracker'!Q20</f>
        <v>30.434972723822781</v>
      </c>
      <c r="F19">
        <f>'Personnel Tracker'!R20</f>
        <v>47.27695745664721</v>
      </c>
      <c r="G19">
        <f>'Personnel Tracker'!S20</f>
        <v>23.551297734424992</v>
      </c>
      <c r="H19">
        <f>'Personnel Tracker'!T20</f>
        <v>2.6451121056824718</v>
      </c>
    </row>
    <row r="20" spans="1:8">
      <c r="A20" t="str">
        <v xml:space="preserve">LCDR </v>
      </c>
      <c r="B20" t="str">
        <v>Kim</v>
      </c>
      <c r="C20" t="str">
        <f t="shared" si="0"/>
        <v>LCDR  Kim</v>
      </c>
      <c r="D20">
        <f>'Personnel Tracker'!P21</f>
        <v>5</v>
      </c>
      <c r="E20">
        <f>'Personnel Tracker'!Q21</f>
        <v>12.161290322580644</v>
      </c>
      <c r="F20">
        <f>'Personnel Tracker'!R21</f>
        <v>4.5612903225806463</v>
      </c>
      <c r="G20">
        <f>'Personnel Tracker'!S21</f>
        <v>7.2064516129032263</v>
      </c>
      <c r="H20">
        <f>'Personnel Tracker'!T21</f>
        <v>5.6064516129032267</v>
      </c>
    </row>
    <row r="21" spans="1:8">
      <c r="A21" t="str">
        <v>LT</v>
      </c>
      <c r="B21" t="str">
        <v>Garcia</v>
      </c>
      <c r="C21" t="str">
        <f t="shared" si="0"/>
        <v>LT Garcia</v>
      </c>
      <c r="D21">
        <f>'Personnel Tracker'!P22</f>
        <v>0</v>
      </c>
      <c r="E21">
        <f>'Personnel Tracker'!Q22</f>
        <v>0.95619706840390961</v>
      </c>
      <c r="F21">
        <f>'Personnel Tracker'!R22</f>
        <v>15.001235236342843</v>
      </c>
      <c r="G21">
        <f>'Personnel Tracker'!S22</f>
        <v>14.034638014120631</v>
      </c>
      <c r="H21">
        <f>'Personnel Tracker'!T22</f>
        <v>-3.7217674502123543E-2</v>
      </c>
    </row>
    <row r="22" spans="1:8">
      <c r="A22" t="str">
        <v>LT</v>
      </c>
      <c r="B22" t="str">
        <v>Graham</v>
      </c>
      <c r="C22" t="str">
        <f t="shared" si="0"/>
        <v>LT Graham</v>
      </c>
      <c r="D22">
        <f>'Personnel Tracker'!P23</f>
        <v>2.453883495145631</v>
      </c>
      <c r="E22">
        <f>'Personnel Tracker'!Q23</f>
        <v>-15.336588817557951</v>
      </c>
      <c r="F22">
        <f>'Personnel Tracker'!R23</f>
        <v>-34.344222405344212</v>
      </c>
      <c r="G22">
        <f>'Personnel Tracker'!S23</f>
        <v>-28.413875183121988</v>
      </c>
      <c r="H22">
        <f>'Personnel Tracker'!T23</f>
        <v>-18.922191350786662</v>
      </c>
    </row>
    <row r="23" spans="1:8">
      <c r="A23" t="str">
        <v>LT</v>
      </c>
      <c r="B23" t="str">
        <v>Decker</v>
      </c>
      <c r="C23" t="str">
        <f t="shared" si="0"/>
        <v>LT Decker</v>
      </c>
      <c r="D23">
        <f>'Personnel Tracker'!P24</f>
        <v>0</v>
      </c>
      <c r="E23">
        <f>'Personnel Tracker'!Q24</f>
        <v>-9.5809446254071631</v>
      </c>
      <c r="F23">
        <f>'Personnel Tracker'!R24</f>
        <v>-26.137433175025485</v>
      </c>
      <c r="G23">
        <f>'Personnel Tracker'!S24</f>
        <v>-8.2070859528032614</v>
      </c>
      <c r="H23">
        <f>'Personnel Tracker'!T24</f>
        <v>8.522123628035061</v>
      </c>
    </row>
    <row r="24" spans="1:8">
      <c r="A24" t="str">
        <v>STGC</v>
      </c>
      <c r="B24" t="str">
        <v>Placencia</v>
      </c>
      <c r="C24" t="str">
        <f t="shared" si="0"/>
        <v>STGC Placencia</v>
      </c>
      <c r="D24">
        <f>'Personnel Tracker'!P25</f>
        <v>-13.83009708737864</v>
      </c>
      <c r="E24">
        <f>'Personnel Tracker'!Q25</f>
        <v>-12.485325100407955</v>
      </c>
      <c r="F24">
        <f>'Personnel Tracker'!R25</f>
        <v>-23.492958688194214</v>
      </c>
      <c r="G24">
        <f>'Personnel Tracker'!S25</f>
        <v>-23.148965632638657</v>
      </c>
      <c r="H24">
        <f>'Personnel Tracker'!T25</f>
        <v>-3.4749794050937481</v>
      </c>
    </row>
    <row r="25" spans="1:8">
      <c r="A25" t="str">
        <v>OS1</v>
      </c>
      <c r="B25" t="str">
        <v>Lara</v>
      </c>
      <c r="C25" t="str">
        <f t="shared" si="0"/>
        <v>OS1 Lara</v>
      </c>
      <c r="D25">
        <f>'Personnel Tracker'!P26</f>
        <v>0</v>
      </c>
      <c r="E25">
        <f>'Personnel Tracker'!Q26</f>
        <v>0</v>
      </c>
      <c r="F25">
        <f>'Personnel Tracker'!R26</f>
        <v>0</v>
      </c>
      <c r="G25">
        <f>'Personnel Tracker'!S26</f>
        <v>0.3439930555555577</v>
      </c>
      <c r="H25">
        <f>'Personnel Tracker'!T26</f>
        <v>12.017979283100466</v>
      </c>
    </row>
    <row r="26" spans="1:8">
      <c r="A26" t="str">
        <v>ITC</v>
      </c>
      <c r="B26" t="str">
        <v>Antero</v>
      </c>
      <c r="C26" t="str">
        <f t="shared" si="0"/>
        <v>ITC Antero</v>
      </c>
      <c r="D26">
        <f>'Personnel Tracker'!P27</f>
        <v>-13.645631067961169</v>
      </c>
      <c r="E26">
        <f>'Personnel Tracker'!Q27</f>
        <v>-27.584670155909045</v>
      </c>
      <c r="F26">
        <f>'Personnel Tracker'!R27</f>
        <v>-27.344212140641865</v>
      </c>
      <c r="G26">
        <f>'Personnel Tracker'!S27</f>
        <v>8.3786003593581384</v>
      </c>
      <c r="H26">
        <f>'Personnel Tracker'!T27</f>
        <v>1.5442704192383729</v>
      </c>
    </row>
    <row r="27" spans="1:8">
      <c r="A27" t="str">
        <v>ITCS</v>
      </c>
      <c r="B27" t="str">
        <v>Valencia</v>
      </c>
      <c r="C27" t="str">
        <f t="shared" si="0"/>
        <v>ITCS Valencia</v>
      </c>
      <c r="D27">
        <f>'Personnel Tracker'!P28</f>
        <v>-1.3762135922330074</v>
      </c>
      <c r="E27">
        <f>'Personnel Tracker'!Q28</f>
        <v>-26.926677761614108</v>
      </c>
      <c r="F27">
        <f>'Personnel Tracker'!R28</f>
        <v>18.561871856706503</v>
      </c>
      <c r="G27">
        <f>'Personnel Tracker'!S28</f>
        <v>48.492219078928727</v>
      </c>
      <c r="H27">
        <f>'Personnel Tracker'!T28</f>
        <v>35.586033450186207</v>
      </c>
    </row>
    <row r="28" spans="1:8">
      <c r="A28" t="str">
        <v>IT1</v>
      </c>
      <c r="B28" t="str">
        <v>Lucas</v>
      </c>
      <c r="C28" t="str">
        <f t="shared" si="0"/>
        <v>IT1 Lucas</v>
      </c>
      <c r="D28">
        <f>'Personnel Tracker'!P29</f>
        <v>-11.106796116504853</v>
      </c>
      <c r="E28">
        <f>'Personnel Tracker'!Q29</f>
        <v>1.342739714114046</v>
      </c>
      <c r="F28">
        <f>'Personnel Tracker'!R29</f>
        <v>23.583197729381226</v>
      </c>
      <c r="G28">
        <f>'Personnel Tracker'!S29</f>
        <v>-18.556107826174326</v>
      </c>
      <c r="H28">
        <f>'Personnel Tracker'!T29</f>
        <v>3.3720364852029192</v>
      </c>
    </row>
    <row r="29" spans="1:8">
      <c r="A29" t="str">
        <v xml:space="preserve">LCDR </v>
      </c>
      <c r="B29" t="str">
        <v>DeSormier</v>
      </c>
      <c r="C29" t="str">
        <f t="shared" si="0"/>
        <v>LCDR  DeSormier</v>
      </c>
      <c r="D29">
        <f>'Personnel Tracker'!P30</f>
        <v>-8</v>
      </c>
      <c r="E29">
        <f>'Personnel Tracker'!Q30</f>
        <v>-5.4193548387096797</v>
      </c>
      <c r="F29">
        <f>'Personnel Tracker'!R30</f>
        <v>2.3139784946236546</v>
      </c>
      <c r="G29">
        <f>'Personnel Tracker'!S30</f>
        <v>5.7978494623655905</v>
      </c>
      <c r="H29">
        <f>'Personnel Tracker'!T30</f>
        <v>-19.002150537634407</v>
      </c>
    </row>
    <row r="30" spans="1:8">
      <c r="A30" t="str">
        <v>BMC</v>
      </c>
      <c r="B30" t="str">
        <v>Fuentes</v>
      </c>
      <c r="C30" t="str">
        <f t="shared" si="0"/>
        <v>BMC Fuentes</v>
      </c>
      <c r="D30">
        <f>'Personnel Tracker'!P31</f>
        <v>26.708737864077662</v>
      </c>
      <c r="E30">
        <f>'Personnel Tracker'!Q31</f>
        <v>30.411604313589059</v>
      </c>
      <c r="F30">
        <f>'Personnel Tracker'!R31</f>
        <v>37.900153931909671</v>
      </c>
      <c r="G30">
        <f>'Personnel Tracker'!S31</f>
        <v>0.17449420968745244</v>
      </c>
      <c r="H30">
        <f>'Personnel Tracker'!T31</f>
        <v>-10.731691419055068</v>
      </c>
    </row>
    <row r="31" spans="1:8">
      <c r="A31" t="str">
        <v>LTJG</v>
      </c>
      <c r="B31" t="str">
        <v>Moore</v>
      </c>
      <c r="C31" t="str">
        <f t="shared" si="0"/>
        <v>LTJG Moore</v>
      </c>
      <c r="D31">
        <f>'Personnel Tracker'!P32</f>
        <v>-16.099514563106798</v>
      </c>
      <c r="E31">
        <f>'Personnel Tracker'!Q32</f>
        <v>-13.859506419784321</v>
      </c>
      <c r="F31">
        <f>'Personnel Tracker'!R32</f>
        <v>-2.7167583281812675</v>
      </c>
      <c r="G31">
        <f>'Personnel Tracker'!S32</f>
        <v>-21.131827772625709</v>
      </c>
      <c r="H31">
        <f>'Personnel Tracker'!T32</f>
        <v>-4.1484601079550565</v>
      </c>
    </row>
    <row r="32" spans="1:8">
      <c r="A32" t="str">
        <v>LT</v>
      </c>
      <c r="B32" t="str">
        <v>Parra</v>
      </c>
      <c r="C32" t="str">
        <f t="shared" si="0"/>
        <v>LT Parra</v>
      </c>
      <c r="D32">
        <f>'Personnel Tracker'!P33</f>
        <v>10.708737864077662</v>
      </c>
      <c r="E32">
        <f>'Personnel Tracker'!Q33</f>
        <v>2.2325570823187064</v>
      </c>
      <c r="F32">
        <f>'Personnel Tracker'!R33</f>
        <v>-1.2262215436354964</v>
      </c>
      <c r="G32">
        <f>'Personnel Tracker'!S33</f>
        <v>-2.3307007103021604</v>
      </c>
      <c r="H32">
        <f>'Personnel Tracker'!T33</f>
        <v>18.652666954368492</v>
      </c>
    </row>
    <row r="33" spans="1:8">
      <c r="A33" t="str">
        <v>GMC</v>
      </c>
      <c r="B33" t="str">
        <v>Bartelmey</v>
      </c>
      <c r="C33" t="str">
        <f t="shared" si="0"/>
        <v>GMC Bartelmey</v>
      </c>
      <c r="D33">
        <f>'Personnel Tracker'!P34</f>
        <v>-22.922330097087382</v>
      </c>
      <c r="E33">
        <f>'Personnel Tracker'!Q34</f>
        <v>-3.219463647575985</v>
      </c>
      <c r="F33">
        <f>'Personnel Tracker'!R34</f>
        <v>-25.324807159026367</v>
      </c>
      <c r="G33">
        <f>'Personnel Tracker'!S34</f>
        <v>7.570713674306969</v>
      </c>
      <c r="H33">
        <f>'Personnel Tracker'!T34</f>
        <v>27.355146608438712</v>
      </c>
    </row>
  </sheetData>
  <conditionalFormatting sqref="D2:H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B1F0-70E9-4E56-86E2-A43BAEF7B8E4}">
  <dimension ref="A1:F44"/>
  <sheetViews>
    <sheetView topLeftCell="A14" workbookViewId="0">
      <selection activeCell="A26" sqref="A26"/>
    </sheetView>
  </sheetViews>
  <sheetFormatPr defaultRowHeight="15"/>
  <cols>
    <col min="2" max="2" width="114.7109375" customWidth="1"/>
  </cols>
  <sheetData>
    <row r="1" spans="1:6">
      <c r="A1" s="4289" t="s">
        <v>1490</v>
      </c>
      <c r="B1" s="4289"/>
    </row>
    <row r="2" spans="1:6">
      <c r="A2">
        <v>0</v>
      </c>
      <c r="B2" t="s">
        <v>1491</v>
      </c>
    </row>
    <row r="3" spans="1:6">
      <c r="A3">
        <v>1</v>
      </c>
      <c r="B3" t="s">
        <v>1492</v>
      </c>
    </row>
    <row r="4" spans="1:6">
      <c r="A4">
        <v>2</v>
      </c>
      <c r="B4" t="s">
        <v>1493</v>
      </c>
    </row>
    <row r="5" spans="1:6">
      <c r="A5">
        <v>3</v>
      </c>
      <c r="B5" t="s">
        <v>1494</v>
      </c>
    </row>
    <row r="7" spans="1:6">
      <c r="A7" s="4289" t="s">
        <v>1495</v>
      </c>
      <c r="B7" s="4289"/>
    </row>
    <row r="8" spans="1:6">
      <c r="A8" s="3108">
        <v>0</v>
      </c>
      <c r="B8" s="3110" t="s">
        <v>1496</v>
      </c>
    </row>
    <row r="9" spans="1:6">
      <c r="A9">
        <v>1</v>
      </c>
      <c r="B9" s="3110" t="s">
        <v>1497</v>
      </c>
    </row>
    <row r="10" spans="1:6">
      <c r="A10">
        <v>2</v>
      </c>
      <c r="B10" s="3111" t="s">
        <v>1498</v>
      </c>
    </row>
    <row r="11" spans="1:6">
      <c r="A11">
        <v>3</v>
      </c>
      <c r="B11" s="3111" t="s">
        <v>1499</v>
      </c>
    </row>
    <row r="12" spans="1:6">
      <c r="A12">
        <v>4</v>
      </c>
      <c r="B12" s="3111" t="s">
        <v>1500</v>
      </c>
    </row>
    <row r="13" spans="1:6">
      <c r="A13">
        <v>5</v>
      </c>
      <c r="B13" s="3111" t="s">
        <v>1501</v>
      </c>
    </row>
    <row r="14" spans="1:6">
      <c r="A14">
        <v>6</v>
      </c>
      <c r="B14" s="3110" t="s">
        <v>1502</v>
      </c>
      <c r="F14" s="3109"/>
    </row>
    <row r="15" spans="1:6">
      <c r="A15">
        <v>7</v>
      </c>
      <c r="B15" s="3110" t="s">
        <v>1503</v>
      </c>
    </row>
    <row r="16" spans="1:6">
      <c r="A16">
        <v>8</v>
      </c>
      <c r="B16" s="3110" t="s">
        <v>1504</v>
      </c>
    </row>
    <row r="17" spans="1:2">
      <c r="A17">
        <v>9</v>
      </c>
      <c r="B17" s="3110" t="s">
        <v>1505</v>
      </c>
    </row>
    <row r="19" spans="1:2">
      <c r="A19" t="s">
        <v>1506</v>
      </c>
    </row>
    <row r="20" spans="1:2">
      <c r="A20">
        <v>0.75</v>
      </c>
      <c r="B20" t="s">
        <v>1507</v>
      </c>
    </row>
    <row r="21" spans="1:2">
      <c r="A21">
        <v>1</v>
      </c>
      <c r="B21" t="s">
        <v>1508</v>
      </c>
    </row>
    <row r="22" spans="1:2">
      <c r="A22">
        <v>3</v>
      </c>
      <c r="B22" t="s">
        <v>1509</v>
      </c>
    </row>
    <row r="23" spans="1:2">
      <c r="A23">
        <f>A27+A28</f>
        <v>22</v>
      </c>
      <c r="B23" t="s">
        <v>1510</v>
      </c>
    </row>
    <row r="24" spans="1:2">
      <c r="A24">
        <f>A29+A30</f>
        <v>54</v>
      </c>
      <c r="B24" t="s">
        <v>1511</v>
      </c>
    </row>
    <row r="25" spans="1:2">
      <c r="A25">
        <f>A30+A30</f>
        <v>72</v>
      </c>
      <c r="B25" t="s">
        <v>1512</v>
      </c>
    </row>
    <row r="26" spans="1:2">
      <c r="A26">
        <f>A30+A31</f>
        <v>56</v>
      </c>
      <c r="B26" t="s">
        <v>1513</v>
      </c>
    </row>
    <row r="27" spans="1:2">
      <c r="A27">
        <f>8*A20+4*A21</f>
        <v>10</v>
      </c>
      <c r="B27" t="s">
        <v>1514</v>
      </c>
    </row>
    <row r="28" spans="1:2">
      <c r="A28">
        <f>12*A21</f>
        <v>12</v>
      </c>
      <c r="B28" t="s">
        <v>1515</v>
      </c>
    </row>
    <row r="29" spans="1:2">
      <c r="A29">
        <f>8*A20+4*A22</f>
        <v>18</v>
      </c>
      <c r="B29" t="s">
        <v>1516</v>
      </c>
    </row>
    <row r="30" spans="1:2">
      <c r="A30">
        <f>12*A22</f>
        <v>36</v>
      </c>
      <c r="B30" t="s">
        <v>1517</v>
      </c>
    </row>
    <row r="31" spans="1:2">
      <c r="A31">
        <f>4*A22+8*A21</f>
        <v>20</v>
      </c>
      <c r="B31" t="s">
        <v>1132</v>
      </c>
    </row>
    <row r="32" spans="1:2">
      <c r="A32">
        <f>A27+A29</f>
        <v>28</v>
      </c>
      <c r="B32" t="s">
        <v>1518</v>
      </c>
    </row>
    <row r="33" spans="1:2">
      <c r="A33">
        <v>18</v>
      </c>
      <c r="B33" t="s">
        <v>1519</v>
      </c>
    </row>
    <row r="35" spans="1:2">
      <c r="A35" s="4289" t="s">
        <v>1520</v>
      </c>
      <c r="B35" s="4289"/>
    </row>
    <row r="36" spans="1:2">
      <c r="A36">
        <v>1</v>
      </c>
      <c r="B36" t="s">
        <v>1521</v>
      </c>
    </row>
    <row r="37" spans="1:2">
      <c r="A37">
        <v>2</v>
      </c>
      <c r="B37" t="s">
        <v>1522</v>
      </c>
    </row>
    <row r="38" spans="1:2">
      <c r="A38">
        <v>3</v>
      </c>
      <c r="B38" t="s">
        <v>1523</v>
      </c>
    </row>
    <row r="39" spans="1:2">
      <c r="A39">
        <v>4</v>
      </c>
      <c r="B39" t="s">
        <v>1524</v>
      </c>
    </row>
    <row r="40" spans="1:2">
      <c r="A40">
        <v>5</v>
      </c>
      <c r="B40" t="s">
        <v>1525</v>
      </c>
    </row>
    <row r="41" spans="1:2">
      <c r="A41">
        <v>6</v>
      </c>
      <c r="B41" t="s">
        <v>1526</v>
      </c>
    </row>
    <row r="42" spans="1:2">
      <c r="A42">
        <v>7</v>
      </c>
      <c r="B42" t="s">
        <v>1527</v>
      </c>
    </row>
    <row r="43" spans="1:2">
      <c r="A43">
        <v>8</v>
      </c>
      <c r="B43" t="s">
        <v>1528</v>
      </c>
    </row>
    <row r="44" spans="1:2">
      <c r="A44">
        <v>9</v>
      </c>
      <c r="B44" t="s">
        <v>1529</v>
      </c>
    </row>
  </sheetData>
  <mergeCells count="3">
    <mergeCell ref="A1:B1"/>
    <mergeCell ref="A7:B7"/>
    <mergeCell ref="A35:B3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1EFE-0677-4F42-BFA4-24D03BC4FAE1}">
  <dimension ref="A1:A14"/>
  <sheetViews>
    <sheetView workbookViewId="0">
      <selection activeCell="L27" sqref="L27"/>
    </sheetView>
  </sheetViews>
  <sheetFormatPr defaultRowHeight="15"/>
  <sheetData>
    <row r="1" spans="1:1">
      <c r="A1" t="s">
        <v>1530</v>
      </c>
    </row>
    <row r="2" spans="1:1">
      <c r="A2" t="s">
        <v>1531</v>
      </c>
    </row>
    <row r="3" spans="1:1">
      <c r="A3" t="s">
        <v>1532</v>
      </c>
    </row>
    <row r="4" spans="1:1">
      <c r="A4" t="s">
        <v>1533</v>
      </c>
    </row>
    <row r="5" spans="1:1">
      <c r="A5" t="s">
        <v>1534</v>
      </c>
    </row>
    <row r="6" spans="1:1">
      <c r="A6" t="s">
        <v>1535</v>
      </c>
    </row>
    <row r="7" spans="1:1">
      <c r="A7" t="s">
        <v>1536</v>
      </c>
    </row>
    <row r="8" spans="1:1">
      <c r="A8" t="s">
        <v>1537</v>
      </c>
    </row>
    <row r="9" spans="1:1">
      <c r="A9" t="s">
        <v>1538</v>
      </c>
    </row>
    <row r="12" spans="1:1">
      <c r="A12" t="s">
        <v>1539</v>
      </c>
    </row>
    <row r="14" spans="1:1">
      <c r="A14" t="s">
        <v>1540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6b536f41-446b-4f01-9583-7057944acf92">
      <Terms xmlns="http://schemas.microsoft.com/office/infopath/2007/PartnerControls"/>
    </lcf76f155ced4ddcb4097134ff3c332f>
    <_ip_UnifiedCompliancePolicyProperties xmlns="http://schemas.microsoft.com/sharepoint/v3" xsi:nil="true"/>
    <TaxCatchAll xmlns="0cd231a8-614e-4426-b60c-1d381511d72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8492ED1F9C614B954A51E115C795A3" ma:contentTypeVersion="16" ma:contentTypeDescription="Create a new document." ma:contentTypeScope="" ma:versionID="8b8ceb87635919d9a469f24ff0caecd6">
  <xsd:schema xmlns:xsd="http://www.w3.org/2001/XMLSchema" xmlns:xs="http://www.w3.org/2001/XMLSchema" xmlns:p="http://schemas.microsoft.com/office/2006/metadata/properties" xmlns:ns1="http://schemas.microsoft.com/sharepoint/v3" xmlns:ns2="6b536f41-446b-4f01-9583-7057944acf92" xmlns:ns3="0cd231a8-614e-4426-b60c-1d381511d729" targetNamespace="http://schemas.microsoft.com/office/2006/metadata/properties" ma:root="true" ma:fieldsID="8f367e8638f17c562e66b106e2d66ec2" ns1:_="" ns2:_="" ns3:_="">
    <xsd:import namespace="http://schemas.microsoft.com/sharepoint/v3"/>
    <xsd:import namespace="6b536f41-446b-4f01-9583-7057944acf92"/>
    <xsd:import namespace="0cd231a8-614e-4426-b60c-1d381511d7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536f41-446b-4f01-9583-7057944acf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c871f771-ab78-46b7-810c-7667649bb9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d231a8-614e-4426-b60c-1d381511d72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d70b798-1d45-4b7d-b1cd-135ac0e72814}" ma:internalName="TaxCatchAll" ma:showField="CatchAllData" ma:web="0cd231a8-614e-4426-b60c-1d381511d7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0B1DB8-C3BC-40B5-A143-B9975B20F886}"/>
</file>

<file path=customXml/itemProps2.xml><?xml version="1.0" encoding="utf-8"?>
<ds:datastoreItem xmlns:ds="http://schemas.openxmlformats.org/officeDocument/2006/customXml" ds:itemID="{15CD45A1-1B6F-4F01-8AF3-203E62BFCCD1}"/>
</file>

<file path=customXml/itemProps3.xml><?xml version="1.0" encoding="utf-8"?>
<ds:datastoreItem xmlns:ds="http://schemas.openxmlformats.org/officeDocument/2006/customXml" ds:itemID="{CA48BF00-C810-4ECD-B40B-59AA73572D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Thompson, Jesse D CPO USN IWTC CORRY STATION (USA)</cp:lastModifiedBy>
  <cp:revision/>
  <dcterms:created xsi:type="dcterms:W3CDTF">2022-09-26T05:33:52Z</dcterms:created>
  <dcterms:modified xsi:type="dcterms:W3CDTF">2025-06-10T07:30:15Z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0x010100898492ED1F9C614B954A51E115C795A3</vt:lpwstr>
  </property>
  <property fmtid="{D5CDD505-2E9C-101B-9397-08002B2CF9AE}" pid="3" name="MediaServiceImageTags">
    <vt:lpwstr/>
  </property>
</Properties>
</file>