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minersutep-my.sharepoint.com/personal/bjweir_utep_edu/Documents/Prelim Analysis R/"/>
    </mc:Choice>
  </mc:AlternateContent>
  <xr:revisionPtr revIDLastSave="208" documentId="8_{45B36083-A15D-4A05-9CA9-6C8301471454}" xr6:coauthVersionLast="47" xr6:coauthVersionMax="47" xr10:uidLastSave="{D822434D-5210-4862-9154-21BC44AC2054}"/>
  <bookViews>
    <workbookView xWindow="-120" yWindow="-120" windowWidth="29040" windowHeight="15720" activeTab="6" xr2:uid="{044223E8-6124-4ECC-80C4-495E87C8146E}"/>
  </bookViews>
  <sheets>
    <sheet name="all together" sheetId="10" r:id="rId1"/>
    <sheet name="Baseline" sheetId="1" r:id="rId2"/>
    <sheet name="Copper Exposed" sheetId="3" r:id="rId3"/>
    <sheet name="Exposure controls" sheetId="5" r:id="rId4"/>
    <sheet name="Comparison" sheetId="6" r:id="rId5"/>
    <sheet name="Stats storm" sheetId="7" r:id="rId6"/>
    <sheet name="Stats N Temp" sheetId="8" r:id="rId7"/>
    <sheet name="Questions" sheetId="9" r:id="rId8"/>
  </sheets>
  <definedNames>
    <definedName name="_xlchart.v1.0" hidden="1">'all together'!$A$1</definedName>
    <definedName name="_xlchart.v1.1" hidden="1">'all together'!$A$2:$A$37</definedName>
    <definedName name="_xlchart.v1.2" hidden="1">'all together'!$B$1</definedName>
    <definedName name="_xlchart.v1.3" hidden="1">'all together'!$B$2:$B$37</definedName>
    <definedName name="_xlchart.v1.4" hidden="1">'all together'!$C$1</definedName>
    <definedName name="_xlchart.v1.5" hidden="1">'all together'!$C$2:$C$37</definedName>
    <definedName name="_xlchart.v1.6" hidden="1">'all together'!$D$1</definedName>
    <definedName name="_xlchart.v1.7" hidden="1">'all together'!$D$2:$D$37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0" l="1"/>
  <c r="C13" i="10"/>
  <c r="C12" i="10"/>
  <c r="C11" i="10"/>
  <c r="C10" i="10"/>
  <c r="C9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7" i="8"/>
  <c r="B6" i="8"/>
  <c r="B5" i="8"/>
  <c r="B4" i="8"/>
  <c r="B3" i="8"/>
  <c r="B2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B16" i="7" l="1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C7" i="5"/>
  <c r="C6" i="5"/>
  <c r="C5" i="5"/>
  <c r="C4" i="5"/>
  <c r="C3" i="5"/>
  <c r="C2" i="5"/>
  <c r="C14" i="3"/>
  <c r="C13" i="3"/>
  <c r="C12" i="3"/>
  <c r="C11" i="3"/>
  <c r="C10" i="3"/>
  <c r="C9" i="3"/>
  <c r="C8" i="3"/>
  <c r="C7" i="3"/>
  <c r="C6" i="3"/>
  <c r="C5" i="3"/>
  <c r="C4" i="3"/>
  <c r="C3" i="3"/>
  <c r="C2" i="3"/>
  <c r="J8" i="3"/>
  <c r="J7" i="3"/>
  <c r="J6" i="3"/>
  <c r="J5" i="3"/>
  <c r="J4" i="3"/>
  <c r="J3" i="3"/>
  <c r="J2" i="3"/>
  <c r="J1" i="3"/>
  <c r="H9" i="5"/>
  <c r="H8" i="5"/>
  <c r="H7" i="5"/>
  <c r="H6" i="5"/>
  <c r="H5" i="5"/>
  <c r="H4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I8" i="1"/>
  <c r="I7" i="1"/>
  <c r="I2" i="1"/>
  <c r="I6" i="1"/>
  <c r="I5" i="1"/>
  <c r="I1" i="1"/>
  <c r="H3" i="5" l="1"/>
  <c r="H2" i="5"/>
  <c r="I4" i="1"/>
  <c r="I3" i="1"/>
</calcChain>
</file>

<file path=xl/sharedStrings.xml><?xml version="1.0" encoding="utf-8"?>
<sst xmlns="http://schemas.openxmlformats.org/spreadsheetml/2006/main" count="147" uniqueCount="51">
  <si>
    <r>
      <t xml:space="preserve">E. brachionus </t>
    </r>
    <r>
      <rPr>
        <sz val="11"/>
        <color theme="1"/>
        <rFont val="Aptos Narrow"/>
        <family val="2"/>
        <scheme val="minor"/>
      </rPr>
      <t>(storm)</t>
    </r>
  </si>
  <si>
    <r>
      <t xml:space="preserve">E. chihuahuaensis </t>
    </r>
    <r>
      <rPr>
        <sz val="11"/>
        <color theme="1"/>
        <rFont val="Aptos Narrow"/>
        <family val="2"/>
        <scheme val="minor"/>
      </rPr>
      <t>(RBC2)</t>
    </r>
  </si>
  <si>
    <t>E. brachionus (Peccary)</t>
  </si>
  <si>
    <t>E. chihuahuaensis (Ntemp)</t>
  </si>
  <si>
    <t>E. brachionus (Storm) - Average</t>
  </si>
  <si>
    <t>E. brachionus (Storm) - Standard Deviation</t>
  </si>
  <si>
    <t>E. brachionus (Peccary) - Average</t>
  </si>
  <si>
    <t>E. brachionus (Peccary) - Standard Deviation</t>
  </si>
  <si>
    <t>E. chihuahuaensis (RBC2) - Average</t>
  </si>
  <si>
    <t>E. chihuahuaensis (RBC2) - Standard Deviations</t>
  </si>
  <si>
    <t>E. chihuahuaensis (N. Temp) - Average</t>
  </si>
  <si>
    <t>E. chihuahuaensis (N. Temp) - Standard Deviations</t>
  </si>
  <si>
    <t>Ebra_Storm</t>
  </si>
  <si>
    <t>Ebra_Pecc</t>
  </si>
  <si>
    <t>Echi_Ntemp</t>
  </si>
  <si>
    <t>Echi_RBC2</t>
  </si>
  <si>
    <t>Ebra_storm_control</t>
  </si>
  <si>
    <t>Ebra_storm_Cu</t>
  </si>
  <si>
    <t>storm_exposed</t>
  </si>
  <si>
    <t>storm_control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</si>
  <si>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</si>
  <si>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</si>
  <si>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</si>
  <si>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</si>
  <si>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</si>
  <si>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</si>
  <si>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</si>
  <si>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</si>
  <si>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</si>
  <si>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</si>
  <si>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</si>
  <si>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</si>
  <si>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</si>
  <si>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</si>
  <si>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</si>
  <si>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</si>
  <si>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</si>
  <si>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</si>
  <si>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</si>
  <si>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</si>
  <si>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</si>
  <si>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</si>
  <si>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</si>
  <si>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Yes signifigant based on value, reject null hypothesis based on data</t>
  </si>
  <si>
    <t>There is signigant evidence to support that the respiration rate of E Brac changes when exposed to Cu</t>
  </si>
  <si>
    <t>n_temp_exposed</t>
  </si>
  <si>
    <t>n_temp_control</t>
  </si>
  <si>
    <t>1. Can you explain exactly how the resp baseline was taken. I understand that it is not a part of the expiremental data but I am intereste to know how it was collected and if there is any value in some sort of summary or comparisson to table values?</t>
  </si>
  <si>
    <t>2. I have three charts of data that ned to be decided on for reference. What do we want to report ours in (picomol/min, motabalism nl O2/hour, include female size without foot?, include other features)</t>
  </si>
  <si>
    <t>Notes: E Brac storm &amp; E Chi RBC no outliers</t>
  </si>
  <si>
    <t>E brac Pecc &amp; E Brac N Temp have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</si>
</sst>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Respirometry Expirement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Respirometry Expirement Analysis</a:t>
          </a:r>
        </a:p>
      </cx:txPr>
    </cx:title>
    <cx:plotArea>
      <cx:plotAreaRegion>
        <cx:series layoutId="boxWhisker" uniqueId="{A696FFD9-A1BE-4232-A85A-0AF9FC443551}">
          <cx:tx>
            <cx:txData>
              <cx:f>_xlchart.v1.0</cx:f>
              <cx:v>storm_exposed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7E569C5-C767-4CCE-B791-65405F44389A}">
          <cx:tx>
            <cx:txData>
              <cx:f>_xlchart.v1.2</cx:f>
              <cx:v>storm_control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C1459F6-015F-447C-8168-DC12FDE5D66C}">
          <cx:tx>
            <cx:txData>
              <cx:f>_xlchart.v1.4</cx:f>
              <cx:v>n_temp_exposed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7BEF314-6E25-4B64-ACFF-0F8C20AA1CD3}">
          <cx:tx>
            <cx:txData>
              <cx:f>_xlchart.v1.6</cx:f>
              <cx:v>n_temp_control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O2 cinsumpution per organism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O2 cinsumpution per organism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4</xdr:row>
      <xdr:rowOff>109537</xdr:rowOff>
    </xdr:from>
    <xdr:to>
      <xdr:col>17</xdr:col>
      <xdr:colOff>352425</xdr:colOff>
      <xdr:row>18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B6A3B28-0B77-2FE5-352A-08C2EC2BC4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34325" y="871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357C-C29A-4B67-8481-909F2E13EC31}">
  <dimension ref="A1:D37"/>
  <sheetViews>
    <sheetView workbookViewId="0">
      <selection activeCell="D10" sqref="D8:D10"/>
    </sheetView>
  </sheetViews>
  <sheetFormatPr defaultRowHeight="15" x14ac:dyDescent="0.25"/>
  <cols>
    <col min="1" max="1" width="13.28515625" customWidth="1"/>
    <col min="2" max="2" width="13.42578125" bestFit="1" customWidth="1"/>
    <col min="3" max="3" width="19.7109375" customWidth="1"/>
    <col min="4" max="4" width="17" customWidth="1"/>
  </cols>
  <sheetData>
    <row r="1" spans="1:4" x14ac:dyDescent="0.25">
      <c r="A1" t="s">
        <v>18</v>
      </c>
      <c r="B1" t="s">
        <v>19</v>
      </c>
      <c r="C1" t="s">
        <v>45</v>
      </c>
      <c r="D1" t="s">
        <v>46</v>
      </c>
    </row>
    <row r="2" spans="1:4" x14ac:dyDescent="0.25">
      <c r="A2">
        <v>0.749</v>
      </c>
      <c r="B2">
        <f>17.83/30</f>
        <v>0.59433333333333327</v>
      </c>
      <c r="C2">
        <f>57.22/30</f>
        <v>1.9073333333333333</v>
      </c>
      <c r="D2">
        <f>49.15/35</f>
        <v>1.4042857142857141</v>
      </c>
    </row>
    <row r="3" spans="1:4" x14ac:dyDescent="0.25">
      <c r="A3">
        <v>0.75800000000000001</v>
      </c>
      <c r="B3">
        <f>19.08/30</f>
        <v>0.6359999999999999</v>
      </c>
      <c r="C3">
        <f>49.85/30</f>
        <v>1.6616666666666666</v>
      </c>
      <c r="D3">
        <f>37.48/35</f>
        <v>1.0708571428571427</v>
      </c>
    </row>
    <row r="4" spans="1:4" x14ac:dyDescent="0.25">
      <c r="A4">
        <v>0.56299999999999994</v>
      </c>
      <c r="B4">
        <f>20.38/30</f>
        <v>0.67933333333333334</v>
      </c>
      <c r="C4">
        <f>61.17/30</f>
        <v>2.0390000000000001</v>
      </c>
      <c r="D4">
        <f>52.58/35</f>
        <v>1.5022857142857142</v>
      </c>
    </row>
    <row r="5" spans="1:4" x14ac:dyDescent="0.25">
      <c r="A5">
        <v>0.83299999999999996</v>
      </c>
      <c r="B5">
        <f>20.5/30</f>
        <v>0.68333333333333335</v>
      </c>
      <c r="C5">
        <f>55.57/30</f>
        <v>1.8523333333333334</v>
      </c>
      <c r="D5">
        <f>41.34/35</f>
        <v>1.1811428571428573</v>
      </c>
    </row>
    <row r="6" spans="1:4" x14ac:dyDescent="0.25">
      <c r="A6">
        <v>0.57299999999999995</v>
      </c>
      <c r="B6">
        <f>14.69/30</f>
        <v>0.48966666666666664</v>
      </c>
      <c r="C6">
        <f>55.22/30</f>
        <v>1.8406666666666667</v>
      </c>
      <c r="D6">
        <f>26.87/35</f>
        <v>0.76771428571428579</v>
      </c>
    </row>
    <row r="7" spans="1:4" x14ac:dyDescent="0.25">
      <c r="A7">
        <v>0.98099999999999998</v>
      </c>
      <c r="B7">
        <f>16.14/30</f>
        <v>0.53800000000000003</v>
      </c>
      <c r="C7">
        <f>60.17/30</f>
        <v>2.0056666666666669</v>
      </c>
      <c r="D7">
        <f>40.96/16</f>
        <v>2.56</v>
      </c>
    </row>
    <row r="8" spans="1:4" x14ac:dyDescent="0.25">
      <c r="A8">
        <v>0.82</v>
      </c>
      <c r="B8">
        <f>21.79/30</f>
        <v>0.72633333333333328</v>
      </c>
      <c r="C8">
        <f>92.19/30</f>
        <v>3.073</v>
      </c>
      <c r="D8" s="5">
        <v>0.74285714300000005</v>
      </c>
    </row>
    <row r="9" spans="1:4" x14ac:dyDescent="0.25">
      <c r="A9">
        <v>0.29899999999999999</v>
      </c>
      <c r="B9">
        <f>21.21/30</f>
        <v>0.70700000000000007</v>
      </c>
      <c r="C9">
        <f>64.68/30</f>
        <v>2.1560000000000001</v>
      </c>
      <c r="D9" s="5">
        <v>0.90914285699999997</v>
      </c>
    </row>
    <row r="10" spans="1:4" x14ac:dyDescent="0.25">
      <c r="A10">
        <v>0.38800000000000001</v>
      </c>
      <c r="B10">
        <f>28.1/30</f>
        <v>0.93666666666666676</v>
      </c>
      <c r="C10">
        <f>89.66/30</f>
        <v>2.9886666666666666</v>
      </c>
      <c r="D10">
        <v>1.0105714290000001</v>
      </c>
    </row>
    <row r="11" spans="1:4" x14ac:dyDescent="0.25">
      <c r="A11">
        <v>0.19500000000000001</v>
      </c>
      <c r="B11">
        <f>22.51/30</f>
        <v>0.75033333333333341</v>
      </c>
      <c r="C11">
        <f>66.12/30</f>
        <v>2.2040000000000002</v>
      </c>
    </row>
    <row r="12" spans="1:4" x14ac:dyDescent="0.25">
      <c r="A12">
        <v>0.26</v>
      </c>
      <c r="B12">
        <f>10.25/30</f>
        <v>0.34166666666666667</v>
      </c>
      <c r="C12">
        <f>87.19/30</f>
        <v>2.9063333333333334</v>
      </c>
    </row>
    <row r="13" spans="1:4" x14ac:dyDescent="0.25">
      <c r="A13">
        <v>0.23899999999999999</v>
      </c>
      <c r="B13">
        <f>25.67/30</f>
        <v>0.85566666666666669</v>
      </c>
      <c r="C13">
        <f>102.29/30</f>
        <v>3.4096666666666668</v>
      </c>
    </row>
    <row r="14" spans="1:4" x14ac:dyDescent="0.25">
      <c r="A14">
        <v>0.36499999999999999</v>
      </c>
      <c r="B14">
        <f>17.45/30</f>
        <v>0.58166666666666667</v>
      </c>
      <c r="C14">
        <f>39.99/30</f>
        <v>1.333</v>
      </c>
    </row>
    <row r="15" spans="1:4" x14ac:dyDescent="0.25">
      <c r="A15">
        <v>0.48599999999999999</v>
      </c>
      <c r="B15">
        <f>16.13/30</f>
        <v>0.53766666666666663</v>
      </c>
    </row>
    <row r="16" spans="1:4" x14ac:dyDescent="0.25">
      <c r="A16">
        <v>0.64400000000000002</v>
      </c>
      <c r="B16">
        <f>33.77/30</f>
        <v>1.1256666666666668</v>
      </c>
    </row>
    <row r="17" spans="1:1" x14ac:dyDescent="0.25">
      <c r="A17">
        <v>0.27700000000000002</v>
      </c>
    </row>
    <row r="18" spans="1:1" x14ac:dyDescent="0.25">
      <c r="A18">
        <v>0.42599999999999999</v>
      </c>
    </row>
    <row r="19" spans="1:1" x14ac:dyDescent="0.25">
      <c r="A19">
        <v>0.39500000000000002</v>
      </c>
    </row>
    <row r="20" spans="1:1" x14ac:dyDescent="0.25">
      <c r="A20">
        <v>0.28699999999999998</v>
      </c>
    </row>
    <row r="21" spans="1:1" x14ac:dyDescent="0.25">
      <c r="A21">
        <v>0.49099999999999999</v>
      </c>
    </row>
    <row r="22" spans="1:1" x14ac:dyDescent="0.25">
      <c r="A22">
        <v>0.45700000000000002</v>
      </c>
    </row>
    <row r="23" spans="1:1" x14ac:dyDescent="0.25">
      <c r="A23">
        <v>0.33300000000000002</v>
      </c>
    </row>
    <row r="24" spans="1:1" x14ac:dyDescent="0.25">
      <c r="A24">
        <v>0.66400000000000003</v>
      </c>
    </row>
    <row r="25" spans="1:1" x14ac:dyDescent="0.25">
      <c r="A25">
        <v>0.42099999999999999</v>
      </c>
    </row>
    <row r="26" spans="1:1" x14ac:dyDescent="0.25">
      <c r="A26">
        <v>0.73399999999999999</v>
      </c>
    </row>
    <row r="27" spans="1:1" x14ac:dyDescent="0.25">
      <c r="A27">
        <v>0.498</v>
      </c>
    </row>
    <row r="28" spans="1:1" x14ac:dyDescent="0.25">
      <c r="A28">
        <v>0.54900000000000004</v>
      </c>
    </row>
    <row r="29" spans="1:1" x14ac:dyDescent="0.25">
      <c r="A29">
        <v>0.72399999999999998</v>
      </c>
    </row>
    <row r="30" spans="1:1" x14ac:dyDescent="0.25">
      <c r="A30">
        <v>0.60199999999999998</v>
      </c>
    </row>
    <row r="31" spans="1:1" x14ac:dyDescent="0.25">
      <c r="A31">
        <v>0.68799999999999994</v>
      </c>
    </row>
    <row r="32" spans="1:1" x14ac:dyDescent="0.25">
      <c r="A32">
        <v>0.59299999999999997</v>
      </c>
    </row>
    <row r="33" spans="1:1" x14ac:dyDescent="0.25">
      <c r="A33">
        <v>0.47699999999999998</v>
      </c>
    </row>
    <row r="34" spans="1:1" x14ac:dyDescent="0.25">
      <c r="A34">
        <v>0.66100000000000003</v>
      </c>
    </row>
    <row r="35" spans="1:1" x14ac:dyDescent="0.25">
      <c r="A35">
        <v>0.52500000000000002</v>
      </c>
    </row>
    <row r="36" spans="1:1" x14ac:dyDescent="0.25">
      <c r="A36">
        <v>0.80300000000000005</v>
      </c>
    </row>
    <row r="37" spans="1:1" x14ac:dyDescent="0.25">
      <c r="A37">
        <v>0.629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D9F1-5ED8-4009-AD7D-F71B295925E7}">
  <dimension ref="A1:I50"/>
  <sheetViews>
    <sheetView zoomScale="88" workbookViewId="0">
      <selection activeCell="B1" sqref="B1:B1048576"/>
    </sheetView>
  </sheetViews>
  <sheetFormatPr defaultRowHeight="15" x14ac:dyDescent="0.25"/>
  <cols>
    <col min="1" max="1" width="18.85546875" bestFit="1" customWidth="1"/>
    <col min="2" max="2" width="22.42578125" bestFit="1" customWidth="1"/>
    <col min="3" max="3" width="20.7109375" bestFit="1" customWidth="1"/>
    <col min="4" max="4" width="23.42578125" bestFit="1" customWidth="1"/>
    <col min="8" max="8" width="4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I1">
        <f>AVERAGE(A:A)</f>
        <v>2.2583333333333337</v>
      </c>
    </row>
    <row r="2" spans="1:9" x14ac:dyDescent="0.25">
      <c r="A2">
        <v>1.78</v>
      </c>
      <c r="B2">
        <v>2.88</v>
      </c>
      <c r="C2">
        <f>117.96/30</f>
        <v>3.9319999999999999</v>
      </c>
      <c r="D2">
        <v>1.95</v>
      </c>
      <c r="H2" t="s">
        <v>5</v>
      </c>
      <c r="I2">
        <f>_xlfn.STDEV.S(A:A)</f>
        <v>1.0117430423481235</v>
      </c>
    </row>
    <row r="3" spans="1:9" x14ac:dyDescent="0.25">
      <c r="A3">
        <v>1.44</v>
      </c>
      <c r="B3">
        <v>1.88</v>
      </c>
      <c r="C3">
        <f>73.41/30</f>
        <v>2.4470000000000001</v>
      </c>
      <c r="D3">
        <v>2.87</v>
      </c>
      <c r="H3" t="s">
        <v>6</v>
      </c>
      <c r="I3">
        <f>AVERAGE(C:C)</f>
        <v>3.3686544444444446</v>
      </c>
    </row>
    <row r="4" spans="1:9" x14ac:dyDescent="0.25">
      <c r="A4">
        <v>1.38</v>
      </c>
      <c r="B4">
        <v>1.08</v>
      </c>
      <c r="C4">
        <f>82.62/30</f>
        <v>2.754</v>
      </c>
      <c r="D4">
        <v>1.49</v>
      </c>
      <c r="H4" t="s">
        <v>7</v>
      </c>
      <c r="I4">
        <f>_xlfn.STDEV.S(C:C)</f>
        <v>2.4595706623519011</v>
      </c>
    </row>
    <row r="5" spans="1:9" x14ac:dyDescent="0.25">
      <c r="A5">
        <v>2</v>
      </c>
      <c r="B5">
        <v>2.69</v>
      </c>
      <c r="C5">
        <f>201.85/30</f>
        <v>6.7283333333333335</v>
      </c>
      <c r="D5">
        <v>3.26</v>
      </c>
      <c r="H5" t="s">
        <v>8</v>
      </c>
      <c r="I5">
        <f>AVERAGE(B:B)</f>
        <v>2.6595918367346938</v>
      </c>
    </row>
    <row r="6" spans="1:9" x14ac:dyDescent="0.25">
      <c r="A6">
        <v>2.4900000000000002</v>
      </c>
      <c r="B6">
        <v>1.53</v>
      </c>
      <c r="C6">
        <f>253.18/30</f>
        <v>8.4393333333333338</v>
      </c>
      <c r="D6">
        <v>2.93</v>
      </c>
      <c r="H6" t="s">
        <v>9</v>
      </c>
      <c r="I6">
        <f>_xlfn.STDEV.S(B:B)</f>
        <v>0.97189025268561391</v>
      </c>
    </row>
    <row r="7" spans="1:9" x14ac:dyDescent="0.25">
      <c r="A7">
        <v>3.08</v>
      </c>
      <c r="B7">
        <v>1.71</v>
      </c>
      <c r="C7">
        <f>126.84/30</f>
        <v>4.2279999999999998</v>
      </c>
      <c r="D7">
        <v>1.71</v>
      </c>
      <c r="H7" t="s">
        <v>10</v>
      </c>
      <c r="I7">
        <f>AVERAGE(D:D)</f>
        <v>2.8756666666666666</v>
      </c>
    </row>
    <row r="8" spans="1:9" x14ac:dyDescent="0.25">
      <c r="A8">
        <v>3.35</v>
      </c>
      <c r="B8">
        <v>3.27</v>
      </c>
      <c r="C8">
        <f>36.68/30</f>
        <v>1.2226666666666666</v>
      </c>
      <c r="D8">
        <v>6.42</v>
      </c>
      <c r="H8" t="s">
        <v>11</v>
      </c>
      <c r="I8">
        <f>_xlfn.STDEV.S(D:D)</f>
        <v>1.1593359672922565</v>
      </c>
    </row>
    <row r="9" spans="1:9" x14ac:dyDescent="0.25">
      <c r="A9">
        <v>0.73</v>
      </c>
      <c r="B9">
        <v>2.17</v>
      </c>
      <c r="C9">
        <f>112.331/30</f>
        <v>3.7443666666666666</v>
      </c>
      <c r="D9">
        <v>2.33</v>
      </c>
    </row>
    <row r="10" spans="1:9" x14ac:dyDescent="0.25">
      <c r="A10">
        <v>3.61</v>
      </c>
      <c r="B10">
        <v>1.73</v>
      </c>
      <c r="C10">
        <f>234.06/30</f>
        <v>7.8020000000000005</v>
      </c>
      <c r="D10">
        <v>2.21</v>
      </c>
    </row>
    <row r="11" spans="1:9" x14ac:dyDescent="0.25">
      <c r="A11">
        <v>3.9</v>
      </c>
      <c r="B11">
        <v>0.98</v>
      </c>
      <c r="C11">
        <f>229.56/30</f>
        <v>7.6520000000000001</v>
      </c>
      <c r="D11">
        <v>2.99</v>
      </c>
    </row>
    <row r="12" spans="1:9" x14ac:dyDescent="0.25">
      <c r="A12">
        <v>3.04</v>
      </c>
      <c r="B12">
        <v>1.28</v>
      </c>
      <c r="C12">
        <f>289.39/30</f>
        <v>9.6463333333333328</v>
      </c>
      <c r="D12">
        <v>3.17</v>
      </c>
      <c r="H12" s="4" t="s">
        <v>49</v>
      </c>
    </row>
    <row r="13" spans="1:9" x14ac:dyDescent="0.25">
      <c r="A13">
        <v>3.42</v>
      </c>
      <c r="B13">
        <v>1.86</v>
      </c>
      <c r="C13">
        <f>153.66/30</f>
        <v>5.1219999999999999</v>
      </c>
      <c r="D13">
        <v>3.41</v>
      </c>
      <c r="H13" s="4" t="s">
        <v>50</v>
      </c>
    </row>
    <row r="14" spans="1:9" x14ac:dyDescent="0.25">
      <c r="A14">
        <v>1.1100000000000001</v>
      </c>
      <c r="B14">
        <v>2.2999999999999998</v>
      </c>
      <c r="C14">
        <f>88.21/30</f>
        <v>2.9403333333333332</v>
      </c>
      <c r="D14">
        <v>2.65</v>
      </c>
    </row>
    <row r="15" spans="1:9" x14ac:dyDescent="0.25">
      <c r="A15">
        <v>3.22</v>
      </c>
      <c r="B15">
        <v>2.62</v>
      </c>
      <c r="C15">
        <f>61.56/30</f>
        <v>2.052</v>
      </c>
      <c r="D15">
        <v>5.1100000000000003</v>
      </c>
    </row>
    <row r="16" spans="1:9" x14ac:dyDescent="0.25">
      <c r="A16">
        <v>1.31</v>
      </c>
      <c r="B16">
        <v>3.11</v>
      </c>
      <c r="C16">
        <f>122.25/30</f>
        <v>4.0750000000000002</v>
      </c>
      <c r="D16">
        <v>3.69</v>
      </c>
    </row>
    <row r="17" spans="1:4" x14ac:dyDescent="0.25">
      <c r="A17">
        <v>1.52</v>
      </c>
      <c r="B17">
        <v>3.37</v>
      </c>
      <c r="C17">
        <f>114.06/30</f>
        <v>3.802</v>
      </c>
      <c r="D17">
        <v>1.9</v>
      </c>
    </row>
    <row r="18" spans="1:4" x14ac:dyDescent="0.25">
      <c r="A18">
        <v>2.52</v>
      </c>
      <c r="B18">
        <v>3.76</v>
      </c>
      <c r="C18">
        <f>41.49/30</f>
        <v>1.383</v>
      </c>
      <c r="D18">
        <v>2.04</v>
      </c>
    </row>
    <row r="19" spans="1:4" x14ac:dyDescent="0.25">
      <c r="A19">
        <v>1.99</v>
      </c>
      <c r="B19">
        <v>2.83</v>
      </c>
      <c r="C19">
        <f>55.1/30</f>
        <v>1.8366666666666667</v>
      </c>
      <c r="D19">
        <v>1.38</v>
      </c>
    </row>
    <row r="20" spans="1:4" x14ac:dyDescent="0.25">
      <c r="A20">
        <v>2.63</v>
      </c>
      <c r="B20">
        <v>2.58</v>
      </c>
      <c r="C20">
        <f>74.52/30</f>
        <v>2.484</v>
      </c>
      <c r="D20">
        <v>1.99</v>
      </c>
    </row>
    <row r="21" spans="1:4" x14ac:dyDescent="0.25">
      <c r="A21">
        <v>1.31</v>
      </c>
      <c r="B21">
        <v>2.0299999999999998</v>
      </c>
      <c r="C21">
        <f>50.94/30</f>
        <v>1.698</v>
      </c>
      <c r="D21">
        <v>2.72</v>
      </c>
    </row>
    <row r="22" spans="1:4" x14ac:dyDescent="0.25">
      <c r="A22">
        <v>1.2</v>
      </c>
      <c r="B22">
        <v>1.95</v>
      </c>
      <c r="C22">
        <f>70.73/30</f>
        <v>2.3576666666666668</v>
      </c>
      <c r="D22">
        <v>3.13</v>
      </c>
    </row>
    <row r="23" spans="1:4" x14ac:dyDescent="0.25">
      <c r="A23">
        <v>2.4500000000000002</v>
      </c>
      <c r="B23">
        <v>1.86</v>
      </c>
      <c r="C23">
        <f>75.65/30</f>
        <v>2.5216666666666669</v>
      </c>
      <c r="D23">
        <v>3.68</v>
      </c>
    </row>
    <row r="24" spans="1:4" x14ac:dyDescent="0.25">
      <c r="A24">
        <v>1.68</v>
      </c>
      <c r="B24">
        <v>4.68</v>
      </c>
      <c r="C24">
        <f>89.19/30</f>
        <v>2.9729999999999999</v>
      </c>
      <c r="D24">
        <v>1.63</v>
      </c>
    </row>
    <row r="25" spans="1:4" x14ac:dyDescent="0.25">
      <c r="A25">
        <v>2.38</v>
      </c>
      <c r="B25">
        <v>3.19</v>
      </c>
      <c r="C25">
        <f>101.14/30</f>
        <v>3.3713333333333333</v>
      </c>
      <c r="D25">
        <v>2.4700000000000002</v>
      </c>
    </row>
    <row r="26" spans="1:4" x14ac:dyDescent="0.25">
      <c r="A26">
        <v>1.39</v>
      </c>
      <c r="B26">
        <v>2.33</v>
      </c>
      <c r="C26">
        <f>66.01/30</f>
        <v>2.2003333333333335</v>
      </c>
      <c r="D26">
        <v>3.44</v>
      </c>
    </row>
    <row r="27" spans="1:4" x14ac:dyDescent="0.25">
      <c r="A27">
        <v>1.28</v>
      </c>
      <c r="B27">
        <v>1.91</v>
      </c>
      <c r="C27">
        <f>26.76/50</f>
        <v>0.53520000000000001</v>
      </c>
      <c r="D27">
        <v>5.43</v>
      </c>
    </row>
    <row r="28" spans="1:4" x14ac:dyDescent="0.25">
      <c r="A28">
        <v>1.72</v>
      </c>
      <c r="B28">
        <v>1.48</v>
      </c>
      <c r="C28">
        <f>25.37/50</f>
        <v>0.50740000000000007</v>
      </c>
      <c r="D28">
        <v>3.32</v>
      </c>
    </row>
    <row r="29" spans="1:4" x14ac:dyDescent="0.25">
      <c r="A29">
        <v>1.67</v>
      </c>
      <c r="B29">
        <v>2.0499999999999998</v>
      </c>
      <c r="C29">
        <f>35.23/50</f>
        <v>0.70459999999999989</v>
      </c>
      <c r="D29">
        <v>2.4500000000000002</v>
      </c>
    </row>
    <row r="30" spans="1:4" x14ac:dyDescent="0.25">
      <c r="A30">
        <v>1.3</v>
      </c>
      <c r="B30">
        <v>2.35</v>
      </c>
      <c r="C30">
        <f>62.4/50</f>
        <v>1.248</v>
      </c>
      <c r="D30">
        <v>2.54</v>
      </c>
    </row>
    <row r="31" spans="1:4" x14ac:dyDescent="0.25">
      <c r="A31">
        <v>1.25</v>
      </c>
      <c r="B31">
        <v>2.27</v>
      </c>
      <c r="C31">
        <f>32.57/50</f>
        <v>0.65139999999999998</v>
      </c>
      <c r="D31">
        <v>1.96</v>
      </c>
    </row>
    <row r="32" spans="1:4" x14ac:dyDescent="0.25">
      <c r="A32">
        <v>1.27</v>
      </c>
      <c r="B32">
        <v>3.48</v>
      </c>
    </row>
    <row r="33" spans="1:2" x14ac:dyDescent="0.25">
      <c r="A33">
        <v>1.62</v>
      </c>
      <c r="B33">
        <v>2.96</v>
      </c>
    </row>
    <row r="34" spans="1:2" x14ac:dyDescent="0.25">
      <c r="A34">
        <v>1.3</v>
      </c>
      <c r="B34">
        <v>2.84</v>
      </c>
    </row>
    <row r="35" spans="1:2" x14ac:dyDescent="0.25">
      <c r="A35">
        <v>1.91</v>
      </c>
      <c r="B35">
        <v>3.06</v>
      </c>
    </row>
    <row r="36" spans="1:2" x14ac:dyDescent="0.25">
      <c r="A36">
        <v>1.21</v>
      </c>
      <c r="B36">
        <v>2.17</v>
      </c>
    </row>
    <row r="37" spans="1:2" x14ac:dyDescent="0.25">
      <c r="A37">
        <v>3.35</v>
      </c>
      <c r="B37">
        <v>3.82</v>
      </c>
    </row>
    <row r="38" spans="1:2" x14ac:dyDescent="0.25">
      <c r="A38">
        <v>3.61</v>
      </c>
      <c r="B38">
        <v>2.67</v>
      </c>
    </row>
    <row r="39" spans="1:2" x14ac:dyDescent="0.25">
      <c r="A39">
        <v>3.9</v>
      </c>
      <c r="B39">
        <v>3.84</v>
      </c>
    </row>
    <row r="40" spans="1:2" x14ac:dyDescent="0.25">
      <c r="A40">
        <v>3.04</v>
      </c>
      <c r="B40">
        <v>4.07</v>
      </c>
    </row>
    <row r="41" spans="1:2" x14ac:dyDescent="0.25">
      <c r="A41">
        <v>3.42</v>
      </c>
      <c r="B41">
        <v>2.68</v>
      </c>
    </row>
    <row r="42" spans="1:2" x14ac:dyDescent="0.25">
      <c r="A42">
        <v>3.22</v>
      </c>
      <c r="B42">
        <v>1.48</v>
      </c>
    </row>
    <row r="43" spans="1:2" x14ac:dyDescent="0.25">
      <c r="A43">
        <v>4.8499999999999996</v>
      </c>
      <c r="B43">
        <v>1.6</v>
      </c>
    </row>
    <row r="44" spans="1:2" x14ac:dyDescent="0.25">
      <c r="B44">
        <v>2.54</v>
      </c>
    </row>
    <row r="45" spans="1:2" x14ac:dyDescent="0.25">
      <c r="B45">
        <v>2.61</v>
      </c>
    </row>
    <row r="46" spans="1:2" x14ac:dyDescent="0.25">
      <c r="B46">
        <v>4.24</v>
      </c>
    </row>
    <row r="47" spans="1:2" x14ac:dyDescent="0.25">
      <c r="B47">
        <v>5.0999999999999996</v>
      </c>
    </row>
    <row r="48" spans="1:2" x14ac:dyDescent="0.25">
      <c r="B48">
        <v>4.5999999999999996</v>
      </c>
    </row>
    <row r="49" spans="2:2" x14ac:dyDescent="0.25">
      <c r="B49">
        <v>2.83</v>
      </c>
    </row>
    <row r="50" spans="2:2" x14ac:dyDescent="0.25">
      <c r="B50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51F8-3C4B-4388-8118-1838A8E77AB1}">
  <dimension ref="A1:J37"/>
  <sheetViews>
    <sheetView workbookViewId="0">
      <selection activeCell="C1" sqref="C1:C1048576"/>
    </sheetView>
  </sheetViews>
  <sheetFormatPr defaultRowHeight="15" x14ac:dyDescent="0.25"/>
  <cols>
    <col min="1" max="1" width="13.28515625" customWidth="1"/>
    <col min="2" max="2" width="9.5703125" bestFit="1" customWidth="1"/>
    <col min="3" max="3" width="10.85546875" bestFit="1" customWidth="1"/>
    <col min="4" max="4" width="9.85546875" bestFit="1" customWidth="1"/>
    <col min="9" max="9" width="41.7109375" bestFit="1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I1" t="s">
        <v>4</v>
      </c>
      <c r="J1">
        <f>AVERAGE(A:A)</f>
        <v>0.53852777777777794</v>
      </c>
    </row>
    <row r="2" spans="1:10" x14ac:dyDescent="0.25">
      <c r="A2">
        <v>0.749</v>
      </c>
      <c r="C2">
        <f>57.22/30</f>
        <v>1.9073333333333333</v>
      </c>
      <c r="I2" t="s">
        <v>5</v>
      </c>
      <c r="J2">
        <f>_xlfn.STDEV.S(A:A)</f>
        <v>0.19359286971980413</v>
      </c>
    </row>
    <row r="3" spans="1:10" x14ac:dyDescent="0.25">
      <c r="A3">
        <v>0.75800000000000001</v>
      </c>
      <c r="C3">
        <f>49.85/30</f>
        <v>1.6616666666666666</v>
      </c>
      <c r="I3" t="s">
        <v>6</v>
      </c>
      <c r="J3" t="e">
        <f>AVERAGE(B:B)</f>
        <v>#DIV/0!</v>
      </c>
    </row>
    <row r="4" spans="1:10" x14ac:dyDescent="0.25">
      <c r="A4">
        <v>0.56299999999999994</v>
      </c>
      <c r="C4">
        <f>61.17/30</f>
        <v>2.0390000000000001</v>
      </c>
      <c r="I4" t="s">
        <v>7</v>
      </c>
      <c r="J4" t="e">
        <f>_xlfn.STDEV.S(B:B)</f>
        <v>#DIV/0!</v>
      </c>
    </row>
    <row r="5" spans="1:10" x14ac:dyDescent="0.25">
      <c r="A5">
        <v>0.83299999999999996</v>
      </c>
      <c r="C5">
        <f>55.57/30</f>
        <v>1.8523333333333334</v>
      </c>
      <c r="I5" t="s">
        <v>8</v>
      </c>
      <c r="J5" t="e">
        <f>AVERAGE(D:D)</f>
        <v>#DIV/0!</v>
      </c>
    </row>
    <row r="6" spans="1:10" x14ac:dyDescent="0.25">
      <c r="A6">
        <v>0.57299999999999995</v>
      </c>
      <c r="C6">
        <f>55.22/30</f>
        <v>1.8406666666666667</v>
      </c>
      <c r="I6" t="s">
        <v>9</v>
      </c>
      <c r="J6" t="e">
        <f>_xlfn.STDEV.S(D:D)</f>
        <v>#DIV/0!</v>
      </c>
    </row>
    <row r="7" spans="1:10" x14ac:dyDescent="0.25">
      <c r="A7">
        <v>0.98099999999999998</v>
      </c>
      <c r="C7">
        <f>60.17/30</f>
        <v>2.0056666666666669</v>
      </c>
      <c r="I7" t="s">
        <v>10</v>
      </c>
      <c r="J7">
        <f>AVERAGE(C:C)</f>
        <v>2.2597948717948717</v>
      </c>
    </row>
    <row r="8" spans="1:10" x14ac:dyDescent="0.25">
      <c r="A8">
        <v>0.82</v>
      </c>
      <c r="C8">
        <f>92.19/30</f>
        <v>3.073</v>
      </c>
      <c r="I8" t="s">
        <v>11</v>
      </c>
      <c r="J8">
        <f>_xlfn.STDEV.S(C:C)</f>
        <v>0.62866394983596985</v>
      </c>
    </row>
    <row r="9" spans="1:10" x14ac:dyDescent="0.25">
      <c r="A9">
        <v>0.29899999999999999</v>
      </c>
      <c r="C9">
        <f>64.68/30</f>
        <v>2.1560000000000001</v>
      </c>
    </row>
    <row r="10" spans="1:10" x14ac:dyDescent="0.25">
      <c r="A10">
        <v>0.38800000000000001</v>
      </c>
      <c r="C10">
        <f>89.66/30</f>
        <v>2.9886666666666666</v>
      </c>
    </row>
    <row r="11" spans="1:10" x14ac:dyDescent="0.25">
      <c r="A11">
        <v>0.19500000000000001</v>
      </c>
      <c r="C11">
        <f>66.12/30</f>
        <v>2.2040000000000002</v>
      </c>
    </row>
    <row r="12" spans="1:10" x14ac:dyDescent="0.25">
      <c r="A12">
        <v>0.26</v>
      </c>
      <c r="C12">
        <f>87.19/30</f>
        <v>2.9063333333333334</v>
      </c>
    </row>
    <row r="13" spans="1:10" x14ac:dyDescent="0.25">
      <c r="A13">
        <v>0.23899999999999999</v>
      </c>
      <c r="C13">
        <f>102.29/30</f>
        <v>3.4096666666666668</v>
      </c>
    </row>
    <row r="14" spans="1:10" x14ac:dyDescent="0.25">
      <c r="A14">
        <v>0.36499999999999999</v>
      </c>
      <c r="C14">
        <f>39.99/30</f>
        <v>1.333</v>
      </c>
    </row>
    <row r="15" spans="1:10" x14ac:dyDescent="0.25">
      <c r="A15">
        <v>0.48599999999999999</v>
      </c>
    </row>
    <row r="16" spans="1:10" x14ac:dyDescent="0.25">
      <c r="A16">
        <v>0.64400000000000002</v>
      </c>
    </row>
    <row r="17" spans="1:1" x14ac:dyDescent="0.25">
      <c r="A17">
        <v>0.27700000000000002</v>
      </c>
    </row>
    <row r="18" spans="1:1" x14ac:dyDescent="0.25">
      <c r="A18">
        <v>0.42599999999999999</v>
      </c>
    </row>
    <row r="19" spans="1:1" x14ac:dyDescent="0.25">
      <c r="A19">
        <v>0.39500000000000002</v>
      </c>
    </row>
    <row r="20" spans="1:1" x14ac:dyDescent="0.25">
      <c r="A20">
        <v>0.28699999999999998</v>
      </c>
    </row>
    <row r="21" spans="1:1" x14ac:dyDescent="0.25">
      <c r="A21">
        <v>0.49099999999999999</v>
      </c>
    </row>
    <row r="22" spans="1:1" x14ac:dyDescent="0.25">
      <c r="A22">
        <v>0.45700000000000002</v>
      </c>
    </row>
    <row r="23" spans="1:1" x14ac:dyDescent="0.25">
      <c r="A23">
        <v>0.33300000000000002</v>
      </c>
    </row>
    <row r="24" spans="1:1" x14ac:dyDescent="0.25">
      <c r="A24">
        <v>0.66400000000000003</v>
      </c>
    </row>
    <row r="25" spans="1:1" x14ac:dyDescent="0.25">
      <c r="A25">
        <v>0.42099999999999999</v>
      </c>
    </row>
    <row r="26" spans="1:1" x14ac:dyDescent="0.25">
      <c r="A26">
        <v>0.73399999999999999</v>
      </c>
    </row>
    <row r="27" spans="1:1" x14ac:dyDescent="0.25">
      <c r="A27">
        <v>0.498</v>
      </c>
    </row>
    <row r="28" spans="1:1" x14ac:dyDescent="0.25">
      <c r="A28">
        <v>0.54900000000000004</v>
      </c>
    </row>
    <row r="29" spans="1:1" x14ac:dyDescent="0.25">
      <c r="A29">
        <v>0.72399999999999998</v>
      </c>
    </row>
    <row r="30" spans="1:1" x14ac:dyDescent="0.25">
      <c r="A30">
        <v>0.60199999999999998</v>
      </c>
    </row>
    <row r="31" spans="1:1" x14ac:dyDescent="0.25">
      <c r="A31">
        <v>0.68799999999999994</v>
      </c>
    </row>
    <row r="32" spans="1:1" x14ac:dyDescent="0.25">
      <c r="A32">
        <v>0.59299999999999997</v>
      </c>
    </row>
    <row r="33" spans="1:1" x14ac:dyDescent="0.25">
      <c r="A33">
        <v>0.47699999999999998</v>
      </c>
    </row>
    <row r="34" spans="1:1" x14ac:dyDescent="0.25">
      <c r="A34">
        <v>0.66100000000000003</v>
      </c>
    </row>
    <row r="35" spans="1:1" x14ac:dyDescent="0.25">
      <c r="A35">
        <v>0.52500000000000002</v>
      </c>
    </row>
    <row r="36" spans="1:1" x14ac:dyDescent="0.25">
      <c r="A36">
        <v>0.80300000000000005</v>
      </c>
    </row>
    <row r="37" spans="1:1" x14ac:dyDescent="0.25">
      <c r="A37">
        <v>0.629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2F80-4471-43A2-86AB-9A6EB66C4B90}">
  <dimension ref="A1:H16"/>
  <sheetViews>
    <sheetView workbookViewId="0">
      <selection activeCell="C8" sqref="C8:C10"/>
    </sheetView>
  </sheetViews>
  <sheetFormatPr defaultRowHeight="15" x14ac:dyDescent="0.25"/>
  <cols>
    <col min="1" max="1" width="9.5703125" customWidth="1"/>
    <col min="2" max="3" width="10.28515625" bestFit="1" customWidth="1"/>
    <col min="4" max="4" width="9.28515625" bestFit="1" customWidth="1"/>
    <col min="7" max="7" width="41.7109375" bestFit="1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</row>
    <row r="2" spans="1:8" x14ac:dyDescent="0.25">
      <c r="A2">
        <f>17.83/30</f>
        <v>0.59433333333333327</v>
      </c>
      <c r="C2">
        <f>49.15/35</f>
        <v>1.4042857142857141</v>
      </c>
      <c r="G2" t="s">
        <v>4</v>
      </c>
      <c r="H2">
        <f>AVERAGE(A:A)</f>
        <v>0.67888888888888888</v>
      </c>
    </row>
    <row r="3" spans="1:8" x14ac:dyDescent="0.25">
      <c r="A3">
        <f>19.08/30</f>
        <v>0.6359999999999999</v>
      </c>
      <c r="C3">
        <f>37.48/35</f>
        <v>1.0708571428571427</v>
      </c>
      <c r="G3" t="s">
        <v>5</v>
      </c>
      <c r="H3">
        <f>_xlfn.STDEV.S(A:A)</f>
        <v>0.19146692145271965</v>
      </c>
    </row>
    <row r="4" spans="1:8" x14ac:dyDescent="0.25">
      <c r="A4">
        <f>20.38/30</f>
        <v>0.67933333333333334</v>
      </c>
      <c r="C4">
        <f>52.58/35</f>
        <v>1.5022857142857142</v>
      </c>
      <c r="G4" t="s">
        <v>6</v>
      </c>
      <c r="H4" t="e">
        <f>AVERAGE(B:B)</f>
        <v>#DIV/0!</v>
      </c>
    </row>
    <row r="5" spans="1:8" x14ac:dyDescent="0.25">
      <c r="A5">
        <f>20.5/30</f>
        <v>0.68333333333333335</v>
      </c>
      <c r="C5">
        <f>41.34/35</f>
        <v>1.1811428571428573</v>
      </c>
      <c r="G5" t="s">
        <v>7</v>
      </c>
      <c r="H5" t="e">
        <f>_xlfn.STDEV.S(B:B)</f>
        <v>#DIV/0!</v>
      </c>
    </row>
    <row r="6" spans="1:8" x14ac:dyDescent="0.25">
      <c r="A6">
        <f>14.69/30</f>
        <v>0.48966666666666664</v>
      </c>
      <c r="C6">
        <f>26.87/35</f>
        <v>0.76771428571428579</v>
      </c>
      <c r="G6" t="s">
        <v>8</v>
      </c>
      <c r="H6" t="e">
        <f>AVERAGE(D:D)</f>
        <v>#DIV/0!</v>
      </c>
    </row>
    <row r="7" spans="1:8" x14ac:dyDescent="0.25">
      <c r="A7">
        <f>16.14/30</f>
        <v>0.53800000000000003</v>
      </c>
      <c r="C7">
        <f>40.96/16</f>
        <v>2.56</v>
      </c>
      <c r="G7" t="s">
        <v>9</v>
      </c>
      <c r="H7" t="e">
        <f>_xlfn.STDEV.S(D:D)</f>
        <v>#DIV/0!</v>
      </c>
    </row>
    <row r="8" spans="1:8" x14ac:dyDescent="0.25">
      <c r="A8">
        <f>21.79/30</f>
        <v>0.72633333333333328</v>
      </c>
      <c r="C8" s="5">
        <v>0.74285714300000005</v>
      </c>
      <c r="G8" t="s">
        <v>10</v>
      </c>
      <c r="H8">
        <f>AVERAGE(C:C)</f>
        <v>1.238761904809524</v>
      </c>
    </row>
    <row r="9" spans="1:8" x14ac:dyDescent="0.25">
      <c r="A9">
        <f>21.21/30</f>
        <v>0.70700000000000007</v>
      </c>
      <c r="C9" s="5">
        <v>0.90914285699999997</v>
      </c>
      <c r="G9" t="s">
        <v>11</v>
      </c>
      <c r="H9">
        <f>_xlfn.STDEV.S(C:C)</f>
        <v>0.55930224384460658</v>
      </c>
    </row>
    <row r="10" spans="1:8" x14ac:dyDescent="0.25">
      <c r="A10">
        <f>28.1/30</f>
        <v>0.93666666666666676</v>
      </c>
      <c r="C10">
        <v>1.0105714290000001</v>
      </c>
    </row>
    <row r="11" spans="1:8" x14ac:dyDescent="0.25">
      <c r="A11">
        <f>22.51/30</f>
        <v>0.75033333333333341</v>
      </c>
    </row>
    <row r="12" spans="1:8" x14ac:dyDescent="0.25">
      <c r="A12">
        <f>10.25/30</f>
        <v>0.34166666666666667</v>
      </c>
    </row>
    <row r="13" spans="1:8" x14ac:dyDescent="0.25">
      <c r="A13">
        <f>25.67/30</f>
        <v>0.85566666666666669</v>
      </c>
    </row>
    <row r="14" spans="1:8" x14ac:dyDescent="0.25">
      <c r="A14">
        <f>17.45/30</f>
        <v>0.58166666666666667</v>
      </c>
    </row>
    <row r="15" spans="1:8" x14ac:dyDescent="0.25">
      <c r="A15">
        <f>16.13/30</f>
        <v>0.53766666666666663</v>
      </c>
    </row>
    <row r="16" spans="1:8" x14ac:dyDescent="0.25">
      <c r="A16">
        <f>33.77/30</f>
        <v>1.1256666666666668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A4EB-2C30-4980-87CC-EF8233BEB0D3}">
  <dimension ref="A1:B1"/>
  <sheetViews>
    <sheetView workbookViewId="0">
      <selection activeCell="B1" sqref="B1"/>
    </sheetView>
  </sheetViews>
  <sheetFormatPr defaultRowHeight="15" x14ac:dyDescent="0.25"/>
  <cols>
    <col min="1" max="1" width="16.7109375" bestFit="1" customWidth="1"/>
    <col min="2" max="2" width="13.28515625" bestFit="1" customWidth="1"/>
  </cols>
  <sheetData>
    <row r="1" spans="1:2" x14ac:dyDescent="0.25">
      <c r="A1" t="s">
        <v>16</v>
      </c>
      <c r="B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A614-A497-4907-9EA7-C55F032308B7}">
  <dimension ref="A1:K37"/>
  <sheetViews>
    <sheetView workbookViewId="0">
      <selection activeCell="G3" sqref="G3"/>
    </sheetView>
  </sheetViews>
  <sheetFormatPr defaultRowHeight="15" x14ac:dyDescent="0.25"/>
  <cols>
    <col min="1" max="1" width="13.28515625" customWidth="1"/>
    <col min="2" max="2" width="13.42578125" bestFit="1" customWidth="1"/>
    <col min="4" max="4" width="18" bestFit="1" customWidth="1"/>
    <col min="5" max="5" width="12.7109375" bestFit="1" customWidth="1"/>
    <col min="6" max="6" width="18" bestFit="1" customWidth="1"/>
    <col min="7" max="7" width="12" bestFit="1" customWidth="1"/>
    <col min="9" max="11" width="28" customWidth="1"/>
  </cols>
  <sheetData>
    <row r="1" spans="1:11" x14ac:dyDescent="0.25">
      <c r="A1" t="s">
        <v>18</v>
      </c>
      <c r="B1" t="s">
        <v>19</v>
      </c>
      <c r="D1" s="3" t="s">
        <v>18</v>
      </c>
      <c r="E1" s="3"/>
      <c r="F1" s="3" t="s">
        <v>19</v>
      </c>
      <c r="G1" s="3"/>
      <c r="I1" t="s">
        <v>33</v>
      </c>
    </row>
    <row r="2" spans="1:11" ht="15.75" thickBot="1" x14ac:dyDescent="0.3">
      <c r="A2">
        <v>0.749</v>
      </c>
      <c r="B2">
        <f>17.83/30</f>
        <v>0.59433333333333327</v>
      </c>
    </row>
    <row r="3" spans="1:11" x14ac:dyDescent="0.25">
      <c r="A3">
        <v>0.75800000000000001</v>
      </c>
      <c r="B3">
        <f>19.08/30</f>
        <v>0.6359999999999999</v>
      </c>
      <c r="D3" t="s">
        <v>20</v>
      </c>
      <c r="E3">
        <v>0.53852777777777794</v>
      </c>
      <c r="F3" t="s">
        <v>20</v>
      </c>
      <c r="G3">
        <v>0.67888888888888888</v>
      </c>
      <c r="I3" s="3"/>
      <c r="J3" s="3" t="s">
        <v>18</v>
      </c>
      <c r="K3" s="3" t="s">
        <v>19</v>
      </c>
    </row>
    <row r="4" spans="1:11" x14ac:dyDescent="0.25">
      <c r="A4">
        <v>0.56299999999999994</v>
      </c>
      <c r="B4">
        <f>20.38/30</f>
        <v>0.67933333333333334</v>
      </c>
      <c r="D4" t="s">
        <v>21</v>
      </c>
      <c r="E4">
        <v>3.2265478286634022E-2</v>
      </c>
      <c r="F4" t="s">
        <v>21</v>
      </c>
      <c r="G4">
        <v>4.9436546542399117E-2</v>
      </c>
      <c r="I4" t="s">
        <v>20</v>
      </c>
      <c r="J4">
        <v>0.53852777777777794</v>
      </c>
      <c r="K4">
        <v>0.67888888888888888</v>
      </c>
    </row>
    <row r="5" spans="1:11" x14ac:dyDescent="0.25">
      <c r="A5">
        <v>0.83299999999999996</v>
      </c>
      <c r="B5">
        <f>20.5/30</f>
        <v>0.68333333333333335</v>
      </c>
      <c r="D5" t="s">
        <v>22</v>
      </c>
      <c r="E5">
        <v>0.53700000000000003</v>
      </c>
      <c r="F5" t="s">
        <v>22</v>
      </c>
      <c r="G5">
        <v>0.67933333333333334</v>
      </c>
      <c r="I5" t="s">
        <v>34</v>
      </c>
      <c r="J5">
        <v>3.747819920634906E-2</v>
      </c>
      <c r="K5">
        <v>3.6659582010581913E-2</v>
      </c>
    </row>
    <row r="6" spans="1:11" x14ac:dyDescent="0.25">
      <c r="A6">
        <v>0.57299999999999995</v>
      </c>
      <c r="B6">
        <f>14.69/30</f>
        <v>0.48966666666666664</v>
      </c>
      <c r="D6" t="s">
        <v>23</v>
      </c>
      <c r="E6" t="e">
        <v>#N/A</v>
      </c>
      <c r="F6" t="s">
        <v>23</v>
      </c>
      <c r="G6" t="e">
        <v>#N/A</v>
      </c>
      <c r="I6" t="s">
        <v>35</v>
      </c>
      <c r="J6">
        <v>36</v>
      </c>
      <c r="K6">
        <v>15</v>
      </c>
    </row>
    <row r="7" spans="1:11" x14ac:dyDescent="0.25">
      <c r="A7">
        <v>0.98099999999999998</v>
      </c>
      <c r="B7">
        <f>16.14/30</f>
        <v>0.53800000000000003</v>
      </c>
      <c r="D7" t="s">
        <v>24</v>
      </c>
      <c r="E7">
        <v>0.19359286971980413</v>
      </c>
      <c r="F7" t="s">
        <v>24</v>
      </c>
      <c r="G7">
        <v>0.19146692145271965</v>
      </c>
      <c r="I7" t="s">
        <v>36</v>
      </c>
      <c r="J7">
        <v>0</v>
      </c>
    </row>
    <row r="8" spans="1:11" x14ac:dyDescent="0.25">
      <c r="A8">
        <v>0.82</v>
      </c>
      <c r="B8">
        <f>21.79/30</f>
        <v>0.72633333333333328</v>
      </c>
      <c r="D8" t="s">
        <v>25</v>
      </c>
      <c r="E8">
        <v>3.747819920634906E-2</v>
      </c>
      <c r="F8" t="s">
        <v>25</v>
      </c>
      <c r="G8">
        <v>3.6659582010581913E-2</v>
      </c>
      <c r="I8" t="s">
        <v>37</v>
      </c>
      <c r="J8">
        <v>27</v>
      </c>
    </row>
    <row r="9" spans="1:11" x14ac:dyDescent="0.25">
      <c r="A9">
        <v>0.29899999999999999</v>
      </c>
      <c r="B9">
        <f>21.21/30</f>
        <v>0.70700000000000007</v>
      </c>
      <c r="D9" t="s">
        <v>26</v>
      </c>
      <c r="E9">
        <v>-0.6394995661946612</v>
      </c>
      <c r="F9" t="s">
        <v>26</v>
      </c>
      <c r="G9">
        <v>1.171009157944952</v>
      </c>
      <c r="I9" t="s">
        <v>38</v>
      </c>
      <c r="J9">
        <v>-2.3776248772774409</v>
      </c>
    </row>
    <row r="10" spans="1:11" x14ac:dyDescent="0.25">
      <c r="A10">
        <v>0.38800000000000001</v>
      </c>
      <c r="B10">
        <f>28.1/30</f>
        <v>0.93666666666666676</v>
      </c>
      <c r="D10" t="s">
        <v>27</v>
      </c>
      <c r="E10">
        <v>0.14702945405419518</v>
      </c>
      <c r="F10" t="s">
        <v>27</v>
      </c>
      <c r="G10">
        <v>0.70439328723591188</v>
      </c>
      <c r="I10" t="s">
        <v>39</v>
      </c>
      <c r="J10">
        <v>1.2383333453956572E-2</v>
      </c>
    </row>
    <row r="11" spans="1:11" x14ac:dyDescent="0.25">
      <c r="A11">
        <v>0.19500000000000001</v>
      </c>
      <c r="B11">
        <f>22.51/30</f>
        <v>0.75033333333333341</v>
      </c>
      <c r="D11" t="s">
        <v>28</v>
      </c>
      <c r="E11">
        <v>0.78600000000000003</v>
      </c>
      <c r="F11" t="s">
        <v>28</v>
      </c>
      <c r="G11">
        <v>0.78400000000000014</v>
      </c>
      <c r="I11" t="s">
        <v>40</v>
      </c>
      <c r="J11">
        <v>1.7032884457221271</v>
      </c>
    </row>
    <row r="12" spans="1:11" x14ac:dyDescent="0.25">
      <c r="A12">
        <v>0.26</v>
      </c>
      <c r="B12">
        <f>10.25/30</f>
        <v>0.34166666666666667</v>
      </c>
      <c r="D12" t="s">
        <v>29</v>
      </c>
      <c r="E12">
        <v>0.19500000000000001</v>
      </c>
      <c r="F12" t="s">
        <v>29</v>
      </c>
      <c r="G12">
        <v>0.34166666666666667</v>
      </c>
      <c r="I12" t="s">
        <v>41</v>
      </c>
      <c r="J12">
        <v>2.4766666907913144E-2</v>
      </c>
    </row>
    <row r="13" spans="1:11" ht="15.75" thickBot="1" x14ac:dyDescent="0.3">
      <c r="A13">
        <v>0.23899999999999999</v>
      </c>
      <c r="B13">
        <f>25.67/30</f>
        <v>0.85566666666666669</v>
      </c>
      <c r="D13" t="s">
        <v>30</v>
      </c>
      <c r="E13">
        <v>0.98099999999999998</v>
      </c>
      <c r="F13" t="s">
        <v>30</v>
      </c>
      <c r="G13">
        <v>1.1256666666666668</v>
      </c>
      <c r="I13" s="2" t="s">
        <v>42</v>
      </c>
      <c r="J13" s="2">
        <v>2.0518305164802859</v>
      </c>
      <c r="K13" s="2"/>
    </row>
    <row r="14" spans="1:11" x14ac:dyDescent="0.25">
      <c r="A14">
        <v>0.36499999999999999</v>
      </c>
      <c r="B14">
        <f>17.45/30</f>
        <v>0.58166666666666667</v>
      </c>
      <c r="D14" t="s">
        <v>31</v>
      </c>
      <c r="E14">
        <v>19.387000000000004</v>
      </c>
      <c r="F14" t="s">
        <v>31</v>
      </c>
      <c r="G14">
        <v>10.183333333333334</v>
      </c>
    </row>
    <row r="15" spans="1:11" ht="15.75" thickBot="1" x14ac:dyDescent="0.3">
      <c r="A15">
        <v>0.48599999999999999</v>
      </c>
      <c r="B15">
        <f>16.13/30</f>
        <v>0.53766666666666663</v>
      </c>
      <c r="D15" s="2" t="s">
        <v>32</v>
      </c>
      <c r="E15" s="2">
        <v>36</v>
      </c>
      <c r="F15" s="2" t="s">
        <v>32</v>
      </c>
      <c r="G15" s="2">
        <v>15</v>
      </c>
    </row>
    <row r="16" spans="1:11" x14ac:dyDescent="0.25">
      <c r="A16">
        <v>0.64400000000000002</v>
      </c>
      <c r="B16">
        <f>33.77/30</f>
        <v>1.1256666666666668</v>
      </c>
    </row>
    <row r="17" spans="1:9" x14ac:dyDescent="0.25">
      <c r="A17">
        <v>0.27700000000000002</v>
      </c>
    </row>
    <row r="18" spans="1:9" x14ac:dyDescent="0.25">
      <c r="A18">
        <v>0.42599999999999999</v>
      </c>
    </row>
    <row r="19" spans="1:9" x14ac:dyDescent="0.25">
      <c r="A19">
        <v>0.39500000000000002</v>
      </c>
    </row>
    <row r="20" spans="1:9" x14ac:dyDescent="0.25">
      <c r="A20">
        <v>0.28699999999999998</v>
      </c>
      <c r="I20" t="s">
        <v>43</v>
      </c>
    </row>
    <row r="21" spans="1:9" x14ac:dyDescent="0.25">
      <c r="A21">
        <v>0.49099999999999999</v>
      </c>
      <c r="I21" t="s">
        <v>44</v>
      </c>
    </row>
    <row r="22" spans="1:9" x14ac:dyDescent="0.25">
      <c r="A22">
        <v>0.45700000000000002</v>
      </c>
    </row>
    <row r="23" spans="1:9" x14ac:dyDescent="0.25">
      <c r="A23">
        <v>0.33300000000000002</v>
      </c>
    </row>
    <row r="24" spans="1:9" x14ac:dyDescent="0.25">
      <c r="A24">
        <v>0.66400000000000003</v>
      </c>
    </row>
    <row r="25" spans="1:9" x14ac:dyDescent="0.25">
      <c r="A25">
        <v>0.42099999999999999</v>
      </c>
    </row>
    <row r="26" spans="1:9" x14ac:dyDescent="0.25">
      <c r="A26">
        <v>0.73399999999999999</v>
      </c>
    </row>
    <row r="27" spans="1:9" x14ac:dyDescent="0.25">
      <c r="A27">
        <v>0.498</v>
      </c>
    </row>
    <row r="28" spans="1:9" x14ac:dyDescent="0.25">
      <c r="A28">
        <v>0.54900000000000004</v>
      </c>
    </row>
    <row r="29" spans="1:9" x14ac:dyDescent="0.25">
      <c r="A29">
        <v>0.72399999999999998</v>
      </c>
    </row>
    <row r="30" spans="1:9" x14ac:dyDescent="0.25">
      <c r="A30">
        <v>0.60199999999999998</v>
      </c>
    </row>
    <row r="31" spans="1:9" x14ac:dyDescent="0.25">
      <c r="A31">
        <v>0.68799999999999994</v>
      </c>
    </row>
    <row r="32" spans="1:9" x14ac:dyDescent="0.25">
      <c r="A32">
        <v>0.59299999999999997</v>
      </c>
    </row>
    <row r="33" spans="1:1" x14ac:dyDescent="0.25">
      <c r="A33">
        <v>0.47699999999999998</v>
      </c>
    </row>
    <row r="34" spans="1:1" x14ac:dyDescent="0.25">
      <c r="A34">
        <v>0.66100000000000003</v>
      </c>
    </row>
    <row r="35" spans="1:1" x14ac:dyDescent="0.25">
      <c r="A35">
        <v>0.52500000000000002</v>
      </c>
    </row>
    <row r="36" spans="1:1" x14ac:dyDescent="0.25">
      <c r="A36">
        <v>0.80300000000000005</v>
      </c>
    </row>
    <row r="37" spans="1:1" x14ac:dyDescent="0.25">
      <c r="A37">
        <v>0.629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ECF2-00E3-49F6-A346-C96E5DC69C73}">
  <dimension ref="A1:K28"/>
  <sheetViews>
    <sheetView tabSelected="1" workbookViewId="0">
      <selection activeCell="I29" sqref="I29"/>
    </sheetView>
  </sheetViews>
  <sheetFormatPr defaultRowHeight="15" x14ac:dyDescent="0.25"/>
  <cols>
    <col min="1" max="1" width="19.7109375" customWidth="1"/>
    <col min="2" max="2" width="17" customWidth="1"/>
    <col min="4" max="7" width="20.140625" customWidth="1"/>
    <col min="9" max="9" width="23.140625" customWidth="1"/>
    <col min="10" max="11" width="18.85546875" customWidth="1"/>
  </cols>
  <sheetData>
    <row r="1" spans="1:11" x14ac:dyDescent="0.25">
      <c r="A1" t="s">
        <v>45</v>
      </c>
      <c r="B1" t="s">
        <v>46</v>
      </c>
      <c r="D1" s="3" t="s">
        <v>45</v>
      </c>
      <c r="E1" s="3"/>
      <c r="F1" s="3" t="s">
        <v>46</v>
      </c>
      <c r="G1" s="3"/>
      <c r="I1" t="s">
        <v>33</v>
      </c>
    </row>
    <row r="2" spans="1:11" ht="15.75" thickBot="1" x14ac:dyDescent="0.3">
      <c r="A2">
        <f>57.22/30</f>
        <v>1.9073333333333333</v>
      </c>
      <c r="B2">
        <f>49.15/35</f>
        <v>1.4042857142857141</v>
      </c>
    </row>
    <row r="3" spans="1:11" x14ac:dyDescent="0.25">
      <c r="A3">
        <f>49.85/30</f>
        <v>1.6616666666666666</v>
      </c>
      <c r="B3">
        <f>37.48/35</f>
        <v>1.0708571428571427</v>
      </c>
      <c r="D3" t="s">
        <v>20</v>
      </c>
      <c r="E3">
        <v>2.2597948717948717</v>
      </c>
      <c r="F3" t="s">
        <v>20</v>
      </c>
      <c r="G3">
        <v>1.4143809523809523</v>
      </c>
      <c r="I3" s="3"/>
      <c r="J3" s="3" t="s">
        <v>45</v>
      </c>
      <c r="K3" s="3" t="s">
        <v>46</v>
      </c>
    </row>
    <row r="4" spans="1:11" x14ac:dyDescent="0.25">
      <c r="A4">
        <f>61.17/30</f>
        <v>2.0390000000000001</v>
      </c>
      <c r="B4">
        <f>52.58/35</f>
        <v>1.5022857142857142</v>
      </c>
      <c r="D4" t="s">
        <v>21</v>
      </c>
      <c r="E4">
        <v>0.17436000816687006</v>
      </c>
      <c r="F4" t="s">
        <v>21</v>
      </c>
      <c r="G4">
        <v>0.25237924887115998</v>
      </c>
      <c r="I4" t="s">
        <v>20</v>
      </c>
      <c r="J4">
        <v>2.2597948717948717</v>
      </c>
      <c r="K4">
        <v>1.4143809523809523</v>
      </c>
    </row>
    <row r="5" spans="1:11" x14ac:dyDescent="0.25">
      <c r="A5">
        <f>55.57/30</f>
        <v>1.8523333333333334</v>
      </c>
      <c r="B5">
        <f>41.34/35</f>
        <v>1.1811428571428573</v>
      </c>
      <c r="D5" t="s">
        <v>22</v>
      </c>
      <c r="E5">
        <v>2.0390000000000001</v>
      </c>
      <c r="F5" t="s">
        <v>22</v>
      </c>
      <c r="G5">
        <v>1.2927142857142857</v>
      </c>
      <c r="I5" t="s">
        <v>34</v>
      </c>
      <c r="J5">
        <v>0.39521836182336284</v>
      </c>
      <c r="K5">
        <v>0.38217171156462548</v>
      </c>
    </row>
    <row r="6" spans="1:11" x14ac:dyDescent="0.25">
      <c r="A6">
        <f>55.22/30</f>
        <v>1.8406666666666667</v>
      </c>
      <c r="B6">
        <f>26.87/35</f>
        <v>0.76771428571428579</v>
      </c>
      <c r="D6" t="s">
        <v>23</v>
      </c>
      <c r="E6" t="e">
        <v>#N/A</v>
      </c>
      <c r="F6" t="s">
        <v>23</v>
      </c>
      <c r="G6" t="e">
        <v>#N/A</v>
      </c>
      <c r="I6" t="s">
        <v>35</v>
      </c>
      <c r="J6">
        <v>13</v>
      </c>
      <c r="K6">
        <v>6</v>
      </c>
    </row>
    <row r="7" spans="1:11" x14ac:dyDescent="0.25">
      <c r="A7">
        <f>60.17/30</f>
        <v>2.0056666666666669</v>
      </c>
      <c r="B7">
        <f>40.96/16</f>
        <v>2.56</v>
      </c>
      <c r="D7" t="s">
        <v>24</v>
      </c>
      <c r="E7">
        <v>0.62866394983596985</v>
      </c>
      <c r="F7" t="s">
        <v>24</v>
      </c>
      <c r="G7">
        <v>0.61820038140122935</v>
      </c>
      <c r="I7" t="s">
        <v>36</v>
      </c>
      <c r="J7">
        <v>0</v>
      </c>
    </row>
    <row r="8" spans="1:11" x14ac:dyDescent="0.25">
      <c r="A8">
        <f>92.19/30</f>
        <v>3.073</v>
      </c>
      <c r="B8" s="5">
        <v>0.74285714300000005</v>
      </c>
      <c r="D8" t="s">
        <v>25</v>
      </c>
      <c r="E8">
        <v>0.39521836182336284</v>
      </c>
      <c r="F8" t="s">
        <v>25</v>
      </c>
      <c r="G8">
        <v>0.38217171156462548</v>
      </c>
      <c r="I8" t="s">
        <v>37</v>
      </c>
      <c r="J8">
        <v>10</v>
      </c>
    </row>
    <row r="9" spans="1:11" x14ac:dyDescent="0.25">
      <c r="A9">
        <f>64.68/30</f>
        <v>2.1560000000000001</v>
      </c>
      <c r="B9" s="5">
        <v>0.90914285699999997</v>
      </c>
      <c r="D9" t="s">
        <v>26</v>
      </c>
      <c r="E9">
        <v>-0.75934288946267925</v>
      </c>
      <c r="F9" t="s">
        <v>26</v>
      </c>
      <c r="G9">
        <v>2.9247977736913118</v>
      </c>
      <c r="I9" t="s">
        <v>38</v>
      </c>
      <c r="J9">
        <v>2.7560189722714119</v>
      </c>
    </row>
    <row r="10" spans="1:11" x14ac:dyDescent="0.25">
      <c r="A10">
        <f>89.66/30</f>
        <v>2.9886666666666666</v>
      </c>
      <c r="B10">
        <v>1.0105714290000001</v>
      </c>
      <c r="D10" t="s">
        <v>27</v>
      </c>
      <c r="E10">
        <v>0.59141516849829168</v>
      </c>
      <c r="F10" t="s">
        <v>27</v>
      </c>
      <c r="G10">
        <v>1.4991059318835016</v>
      </c>
      <c r="I10" t="s">
        <v>39</v>
      </c>
      <c r="J10">
        <v>1.0133898195111591E-2</v>
      </c>
    </row>
    <row r="11" spans="1:11" x14ac:dyDescent="0.25">
      <c r="A11">
        <f>66.12/30</f>
        <v>2.2040000000000002</v>
      </c>
      <c r="D11" t="s">
        <v>28</v>
      </c>
      <c r="E11">
        <v>2.0766666666666671</v>
      </c>
      <c r="F11" t="s">
        <v>28</v>
      </c>
      <c r="G11">
        <v>1.7922857142857143</v>
      </c>
      <c r="I11" t="s">
        <v>40</v>
      </c>
      <c r="J11">
        <v>1.812461122811676</v>
      </c>
    </row>
    <row r="12" spans="1:11" x14ac:dyDescent="0.25">
      <c r="A12">
        <f>87.19/30</f>
        <v>2.9063333333333334</v>
      </c>
      <c r="D12" t="s">
        <v>29</v>
      </c>
      <c r="E12">
        <v>1.333</v>
      </c>
      <c r="F12" t="s">
        <v>29</v>
      </c>
      <c r="G12">
        <v>0.76771428571428579</v>
      </c>
      <c r="I12" t="s">
        <v>41</v>
      </c>
      <c r="J12">
        <v>2.0267796390223181E-2</v>
      </c>
    </row>
    <row r="13" spans="1:11" ht="15.75" thickBot="1" x14ac:dyDescent="0.3">
      <c r="A13">
        <f>102.29/30</f>
        <v>3.4096666666666668</v>
      </c>
      <c r="D13" t="s">
        <v>30</v>
      </c>
      <c r="E13">
        <v>3.4096666666666668</v>
      </c>
      <c r="F13" t="s">
        <v>30</v>
      </c>
      <c r="G13">
        <v>2.56</v>
      </c>
      <c r="I13" s="2" t="s">
        <v>42</v>
      </c>
      <c r="J13" s="2">
        <v>2.2281388519862744</v>
      </c>
      <c r="K13" s="2"/>
    </row>
    <row r="14" spans="1:11" x14ac:dyDescent="0.25">
      <c r="A14">
        <f>39.99/30</f>
        <v>1.333</v>
      </c>
      <c r="D14" t="s">
        <v>31</v>
      </c>
      <c r="E14">
        <v>29.377333333333333</v>
      </c>
      <c r="F14" t="s">
        <v>31</v>
      </c>
      <c r="G14">
        <v>8.4862857142857138</v>
      </c>
    </row>
    <row r="15" spans="1:11" ht="15.75" thickBot="1" x14ac:dyDescent="0.3">
      <c r="D15" s="2" t="s">
        <v>32</v>
      </c>
      <c r="E15" s="2">
        <v>13</v>
      </c>
      <c r="F15" s="2" t="s">
        <v>32</v>
      </c>
      <c r="G15" s="2">
        <v>6</v>
      </c>
    </row>
    <row r="16" spans="1:11" x14ac:dyDescent="0.25">
      <c r="I16" t="s">
        <v>33</v>
      </c>
    </row>
    <row r="17" spans="9:11" ht="15.75" thickBot="1" x14ac:dyDescent="0.3"/>
    <row r="18" spans="9:11" x14ac:dyDescent="0.25">
      <c r="I18" s="8"/>
      <c r="J18" s="8" t="s">
        <v>45</v>
      </c>
      <c r="K18" s="8" t="s">
        <v>46</v>
      </c>
    </row>
    <row r="19" spans="9:11" x14ac:dyDescent="0.25">
      <c r="I19" s="6" t="s">
        <v>20</v>
      </c>
      <c r="J19" s="6">
        <v>2.2597948717948717</v>
      </c>
      <c r="K19" s="6">
        <v>1.238761904809524</v>
      </c>
    </row>
    <row r="20" spans="9:11" x14ac:dyDescent="0.25">
      <c r="I20" s="6" t="s">
        <v>34</v>
      </c>
      <c r="J20" s="6">
        <v>0.39521836182336284</v>
      </c>
      <c r="K20" s="6">
        <v>0.31281899996961182</v>
      </c>
    </row>
    <row r="21" spans="9:11" x14ac:dyDescent="0.25">
      <c r="I21" s="6" t="s">
        <v>35</v>
      </c>
      <c r="J21" s="6">
        <v>13</v>
      </c>
      <c r="K21" s="6">
        <v>9</v>
      </c>
    </row>
    <row r="22" spans="9:11" x14ac:dyDescent="0.25">
      <c r="I22" s="6" t="s">
        <v>36</v>
      </c>
      <c r="J22" s="6">
        <v>0</v>
      </c>
      <c r="K22" s="6"/>
    </row>
    <row r="23" spans="9:11" x14ac:dyDescent="0.25">
      <c r="I23" s="6" t="s">
        <v>37</v>
      </c>
      <c r="J23" s="6">
        <v>19</v>
      </c>
      <c r="K23" s="6"/>
    </row>
    <row r="24" spans="9:11" x14ac:dyDescent="0.25">
      <c r="I24" s="6" t="s">
        <v>38</v>
      </c>
      <c r="J24" s="6">
        <v>3.9999291226242106</v>
      </c>
      <c r="K24" s="6"/>
    </row>
    <row r="25" spans="9:11" x14ac:dyDescent="0.25">
      <c r="I25" s="6" t="s">
        <v>39</v>
      </c>
      <c r="J25" s="6">
        <v>3.8315819788421106E-4</v>
      </c>
      <c r="K25" s="6"/>
    </row>
    <row r="26" spans="9:11" x14ac:dyDescent="0.25">
      <c r="I26" s="6" t="s">
        <v>40</v>
      </c>
      <c r="J26" s="6">
        <v>1.7291328115213698</v>
      </c>
      <c r="K26" s="6"/>
    </row>
    <row r="27" spans="9:11" x14ac:dyDescent="0.25">
      <c r="I27" s="6" t="s">
        <v>41</v>
      </c>
      <c r="J27" s="6">
        <v>7.6631639576842212E-4</v>
      </c>
      <c r="K27" s="6"/>
    </row>
    <row r="28" spans="9:11" ht="15.75" thickBot="1" x14ac:dyDescent="0.3">
      <c r="I28" s="7" t="s">
        <v>42</v>
      </c>
      <c r="J28" s="7">
        <v>2.0930240544083096</v>
      </c>
      <c r="K28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AD25-CA4C-434A-9AB9-A1394F901CFE}">
  <dimension ref="A1:A3"/>
  <sheetViews>
    <sheetView workbookViewId="0">
      <selection activeCell="J3" sqref="J3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766e96-c387-40c6-a51f-0fc4f1901fe0">
      <Terms xmlns="http://schemas.microsoft.com/office/infopath/2007/PartnerControls"/>
    </lcf76f155ced4ddcb4097134ff3c332f>
    <TaxCatchAll xmlns="66e50b0e-3271-4ca6-97ac-bdab23fe23e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F1067B87A1740AF5CDE021C870EF1" ma:contentTypeVersion="20" ma:contentTypeDescription="Create a new document." ma:contentTypeScope="" ma:versionID="3121bb7555b31f8a7efed8b94ec84c6d">
  <xsd:schema xmlns:xsd="http://www.w3.org/2001/XMLSchema" xmlns:xs="http://www.w3.org/2001/XMLSchema" xmlns:p="http://schemas.microsoft.com/office/2006/metadata/properties" xmlns:ns2="7d766e96-c387-40c6-a51f-0fc4f1901fe0" xmlns:ns3="66e50b0e-3271-4ca6-97ac-bdab23fe23e1" targetNamespace="http://schemas.microsoft.com/office/2006/metadata/properties" ma:root="true" ma:fieldsID="08322feb4dea9e9090aea96922d094af" ns2:_="" ns3:_="">
    <xsd:import namespace="7d766e96-c387-40c6-a51f-0fc4f1901fe0"/>
    <xsd:import namespace="66e50b0e-3271-4ca6-97ac-bdab23fe23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66e96-c387-40c6-a51f-0fc4f1901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33a83bf-3dc4-4ddf-aecd-47f0779e4f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50b0e-3271-4ca6-97ac-bdab23fe23e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52585f7-66e3-474c-a5ee-f06ca7370a24}" ma:internalName="TaxCatchAll" ma:showField="CatchAllData" ma:web="66e50b0e-3271-4ca6-97ac-bdab23fe23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632C8-7149-400B-9C75-A2B1D464A5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657D36-834D-4345-A79A-18A0724589A2}">
  <ds:schemaRefs>
    <ds:schemaRef ds:uri="http://schemas.microsoft.com/office/2006/metadata/properties"/>
    <ds:schemaRef ds:uri="http://schemas.microsoft.com/office/infopath/2007/PartnerControls"/>
    <ds:schemaRef ds:uri="7d766e96-c387-40c6-a51f-0fc4f1901fe0"/>
    <ds:schemaRef ds:uri="66e50b0e-3271-4ca6-97ac-bdab23fe23e1"/>
  </ds:schemaRefs>
</ds:datastoreItem>
</file>

<file path=customXml/itemProps3.xml><?xml version="1.0" encoding="utf-8"?>
<ds:datastoreItem xmlns:ds="http://schemas.openxmlformats.org/officeDocument/2006/customXml" ds:itemID="{F3954BE3-94FA-46F3-AD7F-BB675C0FB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766e96-c387-40c6-a51f-0fc4f1901fe0"/>
    <ds:schemaRef ds:uri="66e50b0e-3271-4ca6-97ac-bdab23fe23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together</vt:lpstr>
      <vt:lpstr>Baseline</vt:lpstr>
      <vt:lpstr>Copper Exposed</vt:lpstr>
      <vt:lpstr>Exposure controls</vt:lpstr>
      <vt:lpstr>Comparison</vt:lpstr>
      <vt:lpstr>Stats storm</vt:lpstr>
      <vt:lpstr>Stats N Temp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Robbins, Aaron J</dc:creator>
  <cp:keywords/>
  <dc:description/>
  <cp:lastModifiedBy>Weir, Brian J</cp:lastModifiedBy>
  <cp:revision/>
  <dcterms:created xsi:type="dcterms:W3CDTF">2024-03-25T16:33:12Z</dcterms:created>
  <dcterms:modified xsi:type="dcterms:W3CDTF">2025-07-29T18:07:20Z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2024-03-25T16:33:20Z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d6395fa8-5c91-44c1-b696-864129f971b0</vt:lpwstr>
  </property>
  <property fmtid="{D5CDD505-2E9C-101B-9397-08002B2CF9AE}" pid="8" name="MSIP_Label_b73649dc-6fee-4eb8-a128-734c3c842ea8_ContentBits">
    <vt:lpwstr>0</vt:lpwstr>
  </property>
  <property fmtid="{D5CDD505-2E9C-101B-9397-08002B2CF9AE}" pid="9" name="ContentTypeId">
    <vt:lpwstr>0x0101006CAF1067B87A1740AF5CDE021C870EF1</vt:lpwstr>
  </property>
  <property fmtid="{D5CDD505-2E9C-101B-9397-08002B2CF9AE}" pid="10" name="MediaServiceImageTags">
    <vt:lpwstr/>
  </property>
</Properties>
</file>