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7a7d1947b0df08c9/Desktop/"/>
    </mc:Choice>
  </mc:AlternateContent>
  <xr:revisionPtr revIDLastSave="172" documentId="8_{49EDF040-1465-4DBA-AF0E-8DB0DB747A93}" xr6:coauthVersionLast="47" xr6:coauthVersionMax="47" xr10:uidLastSave="{5303639B-EB77-4FD5-A146-BD25C9620A40}"/>
  <bookViews>
    <workbookView xWindow="-108" yWindow="-108" windowWidth="23256" windowHeight="12456" activeTab="1" xr2:uid="{00000000-000D-0000-FFFF-FFFF00000000}"/>
  </bookViews>
  <sheets>
    <sheet name="2-Year Loan" sheetId="7" r:id="rId1"/>
    <sheet name="4-Year Loan" sheetId="10" r:id="rId2"/>
    <sheet name="How Did I Do" sheetId="12" r:id="rId3"/>
    <sheet name="Your Own Loan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10" l="1"/>
  <c r="E63" i="10"/>
  <c r="D63" i="10"/>
  <c r="C63" i="10"/>
  <c r="F62" i="10"/>
  <c r="E62" i="10"/>
  <c r="D62" i="10"/>
  <c r="C62" i="10"/>
  <c r="F61" i="10"/>
  <c r="E61" i="10"/>
  <c r="D61" i="10"/>
  <c r="C61" i="10"/>
  <c r="F60" i="10"/>
  <c r="E60" i="10"/>
  <c r="D60" i="10"/>
  <c r="C60" i="10"/>
  <c r="F59" i="10"/>
  <c r="E59" i="10"/>
  <c r="D59" i="10"/>
  <c r="C59" i="10"/>
  <c r="F58" i="10"/>
  <c r="E58" i="10"/>
  <c r="D58" i="10"/>
  <c r="C58" i="10"/>
  <c r="F57" i="10"/>
  <c r="E57" i="10"/>
  <c r="D57" i="10"/>
  <c r="C57" i="10"/>
  <c r="F56" i="10"/>
  <c r="E56" i="10"/>
  <c r="D56" i="10"/>
  <c r="C56" i="10"/>
  <c r="F55" i="10"/>
  <c r="E55" i="10"/>
  <c r="D55" i="10"/>
  <c r="C55" i="10"/>
  <c r="F54" i="10"/>
  <c r="E54" i="10"/>
  <c r="D54" i="10"/>
  <c r="C54" i="10"/>
  <c r="F53" i="10"/>
  <c r="E53" i="10"/>
  <c r="D53" i="10"/>
  <c r="C53" i="10"/>
  <c r="F52" i="10"/>
  <c r="E52" i="10"/>
  <c r="D52" i="10"/>
  <c r="C52" i="10"/>
  <c r="F51" i="10"/>
  <c r="E51" i="10"/>
  <c r="D51" i="10"/>
  <c r="C51" i="10"/>
  <c r="F50" i="10"/>
  <c r="E50" i="10"/>
  <c r="D50" i="10"/>
  <c r="C50" i="10"/>
  <c r="F49" i="10"/>
  <c r="E49" i="10"/>
  <c r="D49" i="10"/>
  <c r="C49" i="10"/>
  <c r="F48" i="10"/>
  <c r="E48" i="10"/>
  <c r="D48" i="10"/>
  <c r="C48" i="10"/>
  <c r="F47" i="10"/>
  <c r="E47" i="10"/>
  <c r="D47" i="10"/>
  <c r="C47" i="10"/>
  <c r="F46" i="10"/>
  <c r="E46" i="10"/>
  <c r="D46" i="10"/>
  <c r="C46" i="10"/>
  <c r="F45" i="10"/>
  <c r="E45" i="10"/>
  <c r="D45" i="10"/>
  <c r="C45" i="10"/>
  <c r="F44" i="10"/>
  <c r="E44" i="10"/>
  <c r="D44" i="10"/>
  <c r="C44" i="10"/>
  <c r="F43" i="10"/>
  <c r="E43" i="10"/>
  <c r="D43" i="10"/>
  <c r="C43" i="10"/>
  <c r="F42" i="10"/>
  <c r="E42" i="10"/>
  <c r="D42" i="10"/>
  <c r="C42" i="10"/>
  <c r="F41" i="10"/>
  <c r="E41" i="10"/>
  <c r="D41" i="10"/>
  <c r="C41" i="10"/>
  <c r="F40" i="10"/>
  <c r="E40" i="10"/>
  <c r="D40" i="10"/>
  <c r="C40" i="10"/>
  <c r="F39" i="10"/>
  <c r="E39" i="10"/>
  <c r="D39" i="10"/>
  <c r="C39" i="10"/>
  <c r="F38" i="10"/>
  <c r="E38" i="10"/>
  <c r="D38" i="10"/>
  <c r="C38" i="10"/>
  <c r="F37" i="10"/>
  <c r="E37" i="10"/>
  <c r="D37" i="10"/>
  <c r="C37" i="10"/>
  <c r="F36" i="10"/>
  <c r="E36" i="10"/>
  <c r="D36" i="10"/>
  <c r="C36" i="10"/>
  <c r="F35" i="10"/>
  <c r="E35" i="10"/>
  <c r="D35" i="10"/>
  <c r="C35" i="10"/>
  <c r="F34" i="10"/>
  <c r="E34" i="10"/>
  <c r="D34" i="10"/>
  <c r="C34" i="10"/>
  <c r="F33" i="10"/>
  <c r="E33" i="10"/>
  <c r="D33" i="10"/>
  <c r="C33" i="10"/>
  <c r="F32" i="10"/>
  <c r="E32" i="10"/>
  <c r="D32" i="10"/>
  <c r="C32" i="10"/>
  <c r="F31" i="10"/>
  <c r="E31" i="10"/>
  <c r="D31" i="10"/>
  <c r="C31" i="10"/>
  <c r="F39" i="7"/>
  <c r="E39" i="7"/>
  <c r="D39" i="7"/>
  <c r="C39" i="7"/>
  <c r="F38" i="7"/>
  <c r="E38" i="7"/>
  <c r="D38" i="7"/>
  <c r="C38" i="7"/>
  <c r="F37" i="7"/>
  <c r="E37" i="7"/>
  <c r="D37" i="7"/>
  <c r="C37" i="7"/>
  <c r="F36" i="7"/>
  <c r="E36" i="7"/>
  <c r="D36" i="7"/>
  <c r="C36" i="7"/>
  <c r="F35" i="7"/>
  <c r="E35" i="7"/>
  <c r="D35" i="7"/>
  <c r="C35" i="7"/>
  <c r="F34" i="7"/>
  <c r="E34" i="7"/>
  <c r="D34" i="7"/>
  <c r="C34" i="7"/>
  <c r="F33" i="7"/>
  <c r="E33" i="7"/>
  <c r="D33" i="7"/>
  <c r="C33" i="7"/>
  <c r="F32" i="7"/>
  <c r="E32" i="7"/>
  <c r="D32" i="7"/>
  <c r="C32" i="7"/>
  <c r="F31" i="7"/>
  <c r="E31" i="7"/>
  <c r="D31" i="7"/>
  <c r="C31" i="7"/>
  <c r="F30" i="10"/>
  <c r="J50" i="12" s="1"/>
  <c r="E30" i="10"/>
  <c r="H50" i="12" s="1"/>
  <c r="D30" i="10"/>
  <c r="F50" i="12" s="1"/>
  <c r="C30" i="10"/>
  <c r="D50" i="12" s="1"/>
  <c r="F29" i="10"/>
  <c r="E29" i="10"/>
  <c r="H49" i="12" s="1"/>
  <c r="D29" i="10"/>
  <c r="F49" i="12" s="1"/>
  <c r="C29" i="10"/>
  <c r="D49" i="12" s="1"/>
  <c r="F28" i="10"/>
  <c r="J48" i="12" s="1"/>
  <c r="E28" i="10"/>
  <c r="H48" i="12" s="1"/>
  <c r="D28" i="10"/>
  <c r="F48" i="12" s="1"/>
  <c r="C28" i="10"/>
  <c r="D48" i="12" s="1"/>
  <c r="F27" i="10"/>
  <c r="J47" i="12" s="1"/>
  <c r="E27" i="10"/>
  <c r="H47" i="12" s="1"/>
  <c r="D27" i="10"/>
  <c r="F47" i="12" s="1"/>
  <c r="C27" i="10"/>
  <c r="D47" i="12" s="1"/>
  <c r="F26" i="10"/>
  <c r="J46" i="12" s="1"/>
  <c r="E26" i="10"/>
  <c r="H46" i="12" s="1"/>
  <c r="D26" i="10"/>
  <c r="F46" i="12" s="1"/>
  <c r="C26" i="10"/>
  <c r="D46" i="12" s="1"/>
  <c r="F25" i="10"/>
  <c r="J45" i="12" s="1"/>
  <c r="E25" i="10"/>
  <c r="H45" i="12" s="1"/>
  <c r="D25" i="10"/>
  <c r="F45" i="12" s="1"/>
  <c r="C25" i="10"/>
  <c r="D45" i="12" s="1"/>
  <c r="F24" i="10"/>
  <c r="J44" i="12" s="1"/>
  <c r="E24" i="10"/>
  <c r="D24" i="10"/>
  <c r="F44" i="12" s="1"/>
  <c r="C24" i="10"/>
  <c r="D44" i="12" s="1"/>
  <c r="F23" i="10"/>
  <c r="E23" i="10"/>
  <c r="H43" i="12" s="1"/>
  <c r="D23" i="10"/>
  <c r="F43" i="12" s="1"/>
  <c r="C23" i="10"/>
  <c r="D43" i="12" s="1"/>
  <c r="F22" i="10"/>
  <c r="J42" i="12" s="1"/>
  <c r="E22" i="10"/>
  <c r="H42" i="12" s="1"/>
  <c r="D22" i="10"/>
  <c r="F42" i="12" s="1"/>
  <c r="C22" i="10"/>
  <c r="F21" i="10"/>
  <c r="E21" i="10"/>
  <c r="D21" i="10"/>
  <c r="F41" i="12" s="1"/>
  <c r="C21" i="10"/>
  <c r="D41" i="12" s="1"/>
  <c r="F20" i="10"/>
  <c r="J40" i="12" s="1"/>
  <c r="E20" i="10"/>
  <c r="D20" i="10"/>
  <c r="C20" i="10"/>
  <c r="F19" i="10"/>
  <c r="J39" i="12" s="1"/>
  <c r="E19" i="10"/>
  <c r="H39" i="12" s="1"/>
  <c r="D19" i="10"/>
  <c r="F39" i="12" s="1"/>
  <c r="C19" i="10"/>
  <c r="F18" i="10"/>
  <c r="J38" i="12" s="1"/>
  <c r="E18" i="10"/>
  <c r="H38" i="12" s="1"/>
  <c r="D18" i="10"/>
  <c r="F38" i="12" s="1"/>
  <c r="C18" i="10"/>
  <c r="D38" i="12" s="1"/>
  <c r="F17" i="10"/>
  <c r="J37" i="12" s="1"/>
  <c r="E17" i="10"/>
  <c r="H37" i="12" s="1"/>
  <c r="D17" i="10"/>
  <c r="F37" i="12" s="1"/>
  <c r="C17" i="10"/>
  <c r="F16" i="10"/>
  <c r="J36" i="12" s="1"/>
  <c r="E16" i="10"/>
  <c r="H36" i="12" s="1"/>
  <c r="D16" i="10"/>
  <c r="F36" i="12" s="1"/>
  <c r="C16" i="10"/>
  <c r="F30" i="7"/>
  <c r="J25" i="12" s="1"/>
  <c r="E30" i="7"/>
  <c r="H25" i="12" s="1"/>
  <c r="D30" i="7"/>
  <c r="C30" i="7"/>
  <c r="D25" i="12" s="1"/>
  <c r="F29" i="7"/>
  <c r="J24" i="12" s="1"/>
  <c r="E29" i="7"/>
  <c r="H24" i="12" s="1"/>
  <c r="D29" i="7"/>
  <c r="F24" i="12" s="1"/>
  <c r="C29" i="7"/>
  <c r="F28" i="7"/>
  <c r="J23" i="12" s="1"/>
  <c r="E28" i="7"/>
  <c r="H23" i="12" s="1"/>
  <c r="D28" i="7"/>
  <c r="F23" i="12" s="1"/>
  <c r="C28" i="7"/>
  <c r="D23" i="12" s="1"/>
  <c r="F27" i="7"/>
  <c r="J22" i="12" s="1"/>
  <c r="E27" i="7"/>
  <c r="H22" i="12" s="1"/>
  <c r="D27" i="7"/>
  <c r="F22" i="12" s="1"/>
  <c r="C27" i="7"/>
  <c r="D22" i="12" s="1"/>
  <c r="F26" i="7"/>
  <c r="E26" i="7"/>
  <c r="H21" i="12" s="1"/>
  <c r="D26" i="7"/>
  <c r="F21" i="12" s="1"/>
  <c r="C26" i="7"/>
  <c r="F25" i="7"/>
  <c r="J20" i="12" s="1"/>
  <c r="E25" i="7"/>
  <c r="H20" i="12" s="1"/>
  <c r="D25" i="7"/>
  <c r="F20" i="12" s="1"/>
  <c r="C25" i="7"/>
  <c r="F24" i="7"/>
  <c r="J19" i="12" s="1"/>
  <c r="E24" i="7"/>
  <c r="H19" i="12" s="1"/>
  <c r="D24" i="7"/>
  <c r="F19" i="12" s="1"/>
  <c r="C24" i="7"/>
  <c r="D19" i="12" s="1"/>
  <c r="F23" i="7"/>
  <c r="J18" i="12" s="1"/>
  <c r="E23" i="7"/>
  <c r="H18" i="12" s="1"/>
  <c r="D23" i="7"/>
  <c r="F18" i="12" s="1"/>
  <c r="C23" i="7"/>
  <c r="D18" i="12" s="1"/>
  <c r="F22" i="7"/>
  <c r="E22" i="7"/>
  <c r="D22" i="7"/>
  <c r="F17" i="12" s="1"/>
  <c r="C22" i="7"/>
  <c r="D17" i="12" s="1"/>
  <c r="F21" i="7"/>
  <c r="J16" i="12" s="1"/>
  <c r="E21" i="7"/>
  <c r="H16" i="12" s="1"/>
  <c r="D21" i="7"/>
  <c r="C21" i="7"/>
  <c r="F20" i="7"/>
  <c r="J15" i="12" s="1"/>
  <c r="E20" i="7"/>
  <c r="H15" i="12" s="1"/>
  <c r="D20" i="7"/>
  <c r="F15" i="12" s="1"/>
  <c r="C20" i="7"/>
  <c r="D15" i="12" s="1"/>
  <c r="F19" i="7"/>
  <c r="J14" i="12" s="1"/>
  <c r="E19" i="7"/>
  <c r="H14" i="12" s="1"/>
  <c r="D19" i="7"/>
  <c r="F14" i="12" s="1"/>
  <c r="C19" i="7"/>
  <c r="F18" i="7"/>
  <c r="J13" i="12" s="1"/>
  <c r="E18" i="7"/>
  <c r="H13" i="12" s="1"/>
  <c r="D18" i="7"/>
  <c r="F13" i="12" s="1"/>
  <c r="C18" i="7"/>
  <c r="F17" i="7"/>
  <c r="E17" i="7"/>
  <c r="D17" i="7"/>
  <c r="F12" i="12" s="1"/>
  <c r="C17" i="7"/>
  <c r="D12" i="12" s="1"/>
  <c r="F16" i="7"/>
  <c r="J11" i="12" s="1"/>
  <c r="E16" i="7"/>
  <c r="D16" i="7"/>
  <c r="F11" i="12" s="1"/>
  <c r="C16" i="7"/>
  <c r="C12" i="10"/>
  <c r="B35" i="12" s="1"/>
  <c r="C11" i="10"/>
  <c r="B34" i="12" s="1"/>
  <c r="C10" i="10"/>
  <c r="B33" i="12" s="1"/>
  <c r="C12" i="7"/>
  <c r="C11" i="7"/>
  <c r="B9" i="12" s="1"/>
  <c r="C10" i="7"/>
  <c r="B8" i="12" s="1"/>
  <c r="B32" i="12"/>
  <c r="B31" i="12"/>
  <c r="B30" i="12"/>
  <c r="B29" i="12"/>
  <c r="B28" i="12"/>
  <c r="B7" i="12"/>
  <c r="B6" i="12"/>
  <c r="B5" i="12"/>
  <c r="B4" i="12"/>
  <c r="B3" i="12"/>
  <c r="J21" i="12"/>
  <c r="J17" i="12"/>
  <c r="J49" i="12"/>
  <c r="J43" i="12"/>
  <c r="J41" i="12"/>
  <c r="H44" i="12"/>
  <c r="H41" i="12"/>
  <c r="H40" i="12"/>
  <c r="F40" i="12"/>
  <c r="D36" i="12"/>
  <c r="D42" i="12"/>
  <c r="D40" i="12"/>
  <c r="D39" i="12"/>
  <c r="D37" i="12"/>
  <c r="D11" i="12"/>
  <c r="J12" i="12"/>
  <c r="H17" i="12"/>
  <c r="H12" i="12"/>
  <c r="H11" i="12"/>
  <c r="F25" i="12"/>
  <c r="F16" i="12"/>
  <c r="D24" i="12"/>
  <c r="D21" i="12"/>
  <c r="D20" i="12"/>
  <c r="D16" i="12"/>
  <c r="D14" i="12"/>
  <c r="D13" i="12"/>
  <c r="B10" i="12"/>
</calcChain>
</file>

<file path=xl/sharedStrings.xml><?xml version="1.0" encoding="utf-8"?>
<sst xmlns="http://schemas.openxmlformats.org/spreadsheetml/2006/main" count="194" uniqueCount="160">
  <si>
    <t>Month</t>
  </si>
  <si>
    <t>2-Year Loan</t>
  </si>
  <si>
    <t>4-Year Loan</t>
  </si>
  <si>
    <t>Loan Information</t>
  </si>
  <si>
    <t>Loan Amount</t>
  </si>
  <si>
    <t>Loan Fees</t>
  </si>
  <si>
    <t>Total Loan Amount</t>
  </si>
  <si>
    <t>APR</t>
  </si>
  <si>
    <t>Loan Term (months)</t>
  </si>
  <si>
    <t>Monthly Payment</t>
  </si>
  <si>
    <t>Total Payments</t>
  </si>
  <si>
    <t>Total Interest</t>
  </si>
  <si>
    <t>Amortization Schedule</t>
  </si>
  <si>
    <t>Beginning Balance</t>
  </si>
  <si>
    <t>To Interest</t>
  </si>
  <si>
    <t>To Principal</t>
  </si>
  <si>
    <t>Ending Balance</t>
  </si>
  <si>
    <t>Your Own Loan</t>
  </si>
  <si>
    <t>Optional: Use this to keep track of one of your own loans.</t>
  </si>
  <si>
    <t xml:space="preserve">2-Year, C5 </t>
  </si>
  <si>
    <t>2-Year, C6</t>
  </si>
  <si>
    <t>2-Year, C7</t>
  </si>
  <si>
    <t>2-Year, C8</t>
  </si>
  <si>
    <t>2-Year, C9</t>
  </si>
  <si>
    <t>2-Year, C10</t>
  </si>
  <si>
    <t>2-Year, C11</t>
  </si>
  <si>
    <t>2-Year, C12</t>
  </si>
  <si>
    <t>2-Year, C16</t>
  </si>
  <si>
    <t>2-Year, D16</t>
  </si>
  <si>
    <t>2-Year, E16</t>
  </si>
  <si>
    <t>2-Year, F16</t>
  </si>
  <si>
    <t>2-Year, C17</t>
  </si>
  <si>
    <t>2-Year, C18</t>
  </si>
  <si>
    <t>2-Year, C19</t>
  </si>
  <si>
    <t>2-Year, C20</t>
  </si>
  <si>
    <t>2-Year, C21</t>
  </si>
  <si>
    <t>2-Year, C22</t>
  </si>
  <si>
    <t>2-Year, C23</t>
  </si>
  <si>
    <t>2-Year, C24</t>
  </si>
  <si>
    <t>2-Year, C25</t>
  </si>
  <si>
    <t>2-Year, C26</t>
  </si>
  <si>
    <t>2-Year, C27</t>
  </si>
  <si>
    <t>2-Year, C28</t>
  </si>
  <si>
    <t>2-Year, C29</t>
  </si>
  <si>
    <t>2-Year, C30</t>
  </si>
  <si>
    <t>This should continue until the 2 years are over and you see a 0 balance</t>
  </si>
  <si>
    <t>2-Year, D17</t>
  </si>
  <si>
    <t>2-Year, D18</t>
  </si>
  <si>
    <t>2-Year, D19</t>
  </si>
  <si>
    <t>2-Year, D20</t>
  </si>
  <si>
    <t>2-Year, D21</t>
  </si>
  <si>
    <t>2-Year, D22</t>
  </si>
  <si>
    <t>2-Year, D23</t>
  </si>
  <si>
    <t>2-Year, D24</t>
  </si>
  <si>
    <t>2-Year, D25</t>
  </si>
  <si>
    <t>2-Year, D26</t>
  </si>
  <si>
    <t>2-Year, D27</t>
  </si>
  <si>
    <t>2-Year, D28</t>
  </si>
  <si>
    <t>2-Year, D29</t>
  </si>
  <si>
    <t>2-Year, D30</t>
  </si>
  <si>
    <t>2-Year, E17</t>
  </si>
  <si>
    <t>2-Year, E18</t>
  </si>
  <si>
    <t>2-Year, E19</t>
  </si>
  <si>
    <t>2-Year, E20</t>
  </si>
  <si>
    <t>2-Year, E21</t>
  </si>
  <si>
    <t>2-Year, E22</t>
  </si>
  <si>
    <t>2-Year, E23</t>
  </si>
  <si>
    <t>2-Year, E24</t>
  </si>
  <si>
    <t>2-Year, E25</t>
  </si>
  <si>
    <t>2-Year, E26</t>
  </si>
  <si>
    <t>2-Year, E27</t>
  </si>
  <si>
    <t>2-Year, E28</t>
  </si>
  <si>
    <t>2-Year, E29</t>
  </si>
  <si>
    <t>2-Year, E30</t>
  </si>
  <si>
    <t>2-Year, F17</t>
  </si>
  <si>
    <t>2-Year, F18</t>
  </si>
  <si>
    <t>2-Year, F19</t>
  </si>
  <si>
    <t>2-Year, F20</t>
  </si>
  <si>
    <t>2-Year, F21</t>
  </si>
  <si>
    <t>2-Year, F22</t>
  </si>
  <si>
    <t>2-Year, F23</t>
  </si>
  <si>
    <t>2-Year, F24</t>
  </si>
  <si>
    <t>2-Year, F25</t>
  </si>
  <si>
    <t>2-Year, F26</t>
  </si>
  <si>
    <t>2-Year, F27</t>
  </si>
  <si>
    <t>2-Year, F28</t>
  </si>
  <si>
    <t>2-Year, F29</t>
  </si>
  <si>
    <t>2-Year, F30</t>
  </si>
  <si>
    <t>This should continue until the 2 years are over.</t>
  </si>
  <si>
    <t xml:space="preserve">4-Year, C5 </t>
  </si>
  <si>
    <t>4-Year, C6</t>
  </si>
  <si>
    <t>4-Year, C7</t>
  </si>
  <si>
    <t>4-Year, C8</t>
  </si>
  <si>
    <t>4-Year, C9</t>
  </si>
  <si>
    <t>4-Year, C10</t>
  </si>
  <si>
    <t>4-Year, C11</t>
  </si>
  <si>
    <t>4-Year, C12</t>
  </si>
  <si>
    <t>4-Year, C16</t>
  </si>
  <si>
    <t>4-Year, D16</t>
  </si>
  <si>
    <t>4-Year, E16</t>
  </si>
  <si>
    <t>4-Year, F16</t>
  </si>
  <si>
    <t>4-Year, C17</t>
  </si>
  <si>
    <t>4-Year, D17</t>
  </si>
  <si>
    <t>4-Year, E17</t>
  </si>
  <si>
    <t>4-Year, F17</t>
  </si>
  <si>
    <t>4-Year, C18</t>
  </si>
  <si>
    <t>4-Year, D18</t>
  </si>
  <si>
    <t>4-Year, E18</t>
  </si>
  <si>
    <t>4-Year, F18</t>
  </si>
  <si>
    <t>4-Year, C19</t>
  </si>
  <si>
    <t>4-Year, D19</t>
  </si>
  <si>
    <t>4-Year, E19</t>
  </si>
  <si>
    <t>4-Year, F19</t>
  </si>
  <si>
    <t>4-Year, C20</t>
  </si>
  <si>
    <t>4-Year, D20</t>
  </si>
  <si>
    <t>4-Year, E20</t>
  </si>
  <si>
    <t>4-Year, F20</t>
  </si>
  <si>
    <t>4-Year, C21</t>
  </si>
  <si>
    <t>4-Year, D21</t>
  </si>
  <si>
    <t>4-Year, E21</t>
  </si>
  <si>
    <t>4-Year, F21</t>
  </si>
  <si>
    <t>4-Year, C22</t>
  </si>
  <si>
    <t>4-Year, D22</t>
  </si>
  <si>
    <t>4-Year, E22</t>
  </si>
  <si>
    <t>4-Year, F22</t>
  </si>
  <si>
    <t>4-Year, C23</t>
  </si>
  <si>
    <t>4-Year, D23</t>
  </si>
  <si>
    <t>4-Year, E23</t>
  </si>
  <si>
    <t>4-Year, F23</t>
  </si>
  <si>
    <t>4-Year, C24</t>
  </si>
  <si>
    <t>4-Year, D24</t>
  </si>
  <si>
    <t>4-Year, E24</t>
  </si>
  <si>
    <t>4-Year, F24</t>
  </si>
  <si>
    <t>4-Year, C25</t>
  </si>
  <si>
    <t>4-Year, D25</t>
  </si>
  <si>
    <t>4-Year, E25</t>
  </si>
  <si>
    <t>4-Year, F25</t>
  </si>
  <si>
    <t>4-Year, C26</t>
  </si>
  <si>
    <t>4-Year, D26</t>
  </si>
  <si>
    <t>4-Year, E26</t>
  </si>
  <si>
    <t>4-Year, F26</t>
  </si>
  <si>
    <t>4-Year, C27</t>
  </si>
  <si>
    <t>4-Year, D27</t>
  </si>
  <si>
    <t>4-Year, E27</t>
  </si>
  <si>
    <t>4-Year, F27</t>
  </si>
  <si>
    <t>4-Year, C28</t>
  </si>
  <si>
    <t>4-Year, D28</t>
  </si>
  <si>
    <t>4-Year, E28</t>
  </si>
  <si>
    <t>4-Year, F28</t>
  </si>
  <si>
    <t>4-Year, C29</t>
  </si>
  <si>
    <t>4-Year, D29</t>
  </si>
  <si>
    <t>4-Year, E29</t>
  </si>
  <si>
    <t>4-Year, F29</t>
  </si>
  <si>
    <t>4-Year, C30</t>
  </si>
  <si>
    <t>4-Year, D30</t>
  </si>
  <si>
    <t>4-Year, E30</t>
  </si>
  <si>
    <t>4-Year, F30</t>
  </si>
  <si>
    <t>This should continue until the 4 years are over.</t>
  </si>
  <si>
    <t>This should continue until the 4 years are over and you see a 0 balance</t>
  </si>
  <si>
    <t>2025 Block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</si>
</sst>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  <numFmt numFmtId="165" formatCode="_([$GHS]\ * #,##0.00_);_([$GHS]\ * \(#,##0.00\);_([$GHS]\ * &quot;-&quot;??_);_(@_)"/>
  </numFmts>
  <fonts count="6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FF0"/>
        <bgColor indexed="64"/>
      </patternFill>
    </fill>
    <fill>
      <patternFill patternType="solid">
        <fgColor rgb="FF00FD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0" xfId="1" applyNumberFormat="1" applyFont="1" applyBorder="1"/>
    <xf numFmtId="0" fontId="0" fillId="0" borderId="1" xfId="0" applyBorder="1" applyAlignment="1">
      <alignment wrapText="1"/>
    </xf>
    <xf numFmtId="9" fontId="0" fillId="0" borderId="1" xfId="2" applyFont="1" applyFill="1" applyBorder="1" applyAlignment="1">
      <alignment horizontal="center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1" fontId="0" fillId="0" borderId="1" xfId="0" applyNumberFormat="1" applyBorder="1" applyAlignment="1">
      <alignment horizontal="center"/>
    </xf>
    <xf numFmtId="0" fontId="4" fillId="0" borderId="0" xfId="0" applyFont="1"/>
    <xf numFmtId="43" fontId="0" fillId="0" borderId="1" xfId="1" applyNumberFormat="1" applyFont="1" applyFill="1" applyBorder="1"/>
    <xf numFmtId="165" fontId="0" fillId="2" borderId="1" xfId="1" applyNumberFormat="1" applyFont="1" applyFill="1" applyBorder="1"/>
    <xf numFmtId="9" fontId="0" fillId="2" borderId="1" xfId="2" applyFont="1" applyFill="1" applyBorder="1" applyAlignment="1">
      <alignment horizontal="center"/>
    </xf>
    <xf numFmtId="165" fontId="0" fillId="3" borderId="1" xfId="1" applyNumberFormat="1" applyFont="1" applyFill="1" applyBorder="1"/>
    <xf numFmtId="1" fontId="0" fillId="3" borderId="1" xfId="0" applyNumberFormat="1" applyFill="1" applyBorder="1" applyAlignment="1">
      <alignment horizontal="center"/>
    </xf>
    <xf numFmtId="165" fontId="0" fillId="4" borderId="1" xfId="1" applyNumberFormat="1" applyFont="1" applyFill="1" applyBorder="1"/>
    <xf numFmtId="165" fontId="0" fillId="4" borderId="1" xfId="0" applyNumberFormat="1" applyFill="1" applyBorder="1"/>
    <xf numFmtId="0" fontId="0" fillId="0" borderId="3" xfId="0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wrapText="1"/>
    </xf>
    <xf numFmtId="0" fontId="3" fillId="0" borderId="2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5" borderId="0" xfId="0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DFF0"/>
      <color rgb="FFFFBF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72"/>
  <sheetViews>
    <sheetView topLeftCell="A22" zoomScaleNormal="100" workbookViewId="0">
      <selection activeCell="D42" sqref="D42"/>
    </sheetView>
  </sheetViews>
  <sheetFormatPr defaultColWidth="11" defaultRowHeight="15.6" x14ac:dyDescent="0.3"/>
  <cols>
    <col min="1" max="1" width="3.19921875" customWidth="1"/>
    <col min="2" max="2" width="17.5" customWidth="1"/>
    <col min="3" max="5" width="16.796875" customWidth="1"/>
    <col min="6" max="6" width="16.796875" style="3" customWidth="1"/>
    <col min="7" max="7" width="10.796875" style="4" customWidth="1"/>
    <col min="8" max="8" width="10.796875" style="1" customWidth="1"/>
    <col min="9" max="9" width="10.796875" style="1"/>
    <col min="10" max="11" width="10.796875" style="1" customWidth="1"/>
  </cols>
  <sheetData>
    <row r="2" spans="2:11" ht="23.4" x14ac:dyDescent="0.45">
      <c r="B2" s="5" t="s">
        <v>1</v>
      </c>
    </row>
    <row r="3" spans="2:11" ht="16.05" customHeight="1" x14ac:dyDescent="0.3">
      <c r="F3" s="1"/>
    </row>
    <row r="4" spans="2:11" ht="16.05" customHeight="1" x14ac:dyDescent="0.35">
      <c r="B4" s="23" t="s">
        <v>3</v>
      </c>
      <c r="C4" s="23"/>
      <c r="F4"/>
      <c r="G4"/>
      <c r="H4"/>
      <c r="I4"/>
      <c r="J4"/>
      <c r="K4"/>
    </row>
    <row r="5" spans="2:11" ht="16.05" customHeight="1" x14ac:dyDescent="0.3">
      <c r="B5" s="7" t="s">
        <v>4</v>
      </c>
      <c r="C5" s="14">
        <v>1800</v>
      </c>
      <c r="F5"/>
      <c r="G5"/>
      <c r="H5"/>
      <c r="I5"/>
      <c r="J5"/>
      <c r="K5"/>
    </row>
    <row r="6" spans="2:11" ht="16.05" customHeight="1" x14ac:dyDescent="0.3">
      <c r="B6" s="7" t="s">
        <v>5</v>
      </c>
      <c r="C6" s="14">
        <v>50</v>
      </c>
      <c r="F6"/>
      <c r="G6"/>
      <c r="H6"/>
      <c r="I6"/>
      <c r="J6"/>
      <c r="K6"/>
    </row>
    <row r="7" spans="2:11" ht="16.05" customHeight="1" x14ac:dyDescent="0.3">
      <c r="B7" s="7" t="s">
        <v>6</v>
      </c>
      <c r="C7" s="16">
        <v>1850</v>
      </c>
      <c r="F7"/>
      <c r="G7"/>
      <c r="H7"/>
      <c r="I7"/>
      <c r="J7"/>
      <c r="K7"/>
    </row>
    <row r="8" spans="2:11" ht="16.05" customHeight="1" x14ac:dyDescent="0.3">
      <c r="B8" s="7" t="s">
        <v>7</v>
      </c>
      <c r="C8" s="15">
        <v>0.23</v>
      </c>
      <c r="F8"/>
      <c r="G8" s="6"/>
      <c r="H8"/>
      <c r="I8"/>
      <c r="J8"/>
      <c r="K8"/>
    </row>
    <row r="9" spans="2:11" ht="16.05" customHeight="1" x14ac:dyDescent="0.3">
      <c r="B9" s="7" t="s">
        <v>8</v>
      </c>
      <c r="C9" s="17">
        <v>24</v>
      </c>
      <c r="F9"/>
      <c r="G9" s="6"/>
      <c r="H9"/>
      <c r="I9"/>
      <c r="J9"/>
      <c r="K9"/>
    </row>
    <row r="10" spans="2:11" ht="16.05" customHeight="1" x14ac:dyDescent="0.3">
      <c r="B10" s="7" t="s">
        <v>9</v>
      </c>
      <c r="C10" s="16">
        <f>PMT(23%/12,24,-1850)</f>
        <v>96.890616155240494</v>
      </c>
      <c r="F10"/>
      <c r="G10" s="6"/>
      <c r="H10"/>
      <c r="I10"/>
      <c r="J10"/>
      <c r="K10"/>
    </row>
    <row r="11" spans="2:11" ht="16.05" customHeight="1" x14ac:dyDescent="0.3">
      <c r="B11" s="7" t="s">
        <v>10</v>
      </c>
      <c r="C11" s="16">
        <f>C10*C9</f>
        <v>2325.374787725772</v>
      </c>
      <c r="H11"/>
      <c r="I11"/>
      <c r="J11"/>
      <c r="K11"/>
    </row>
    <row r="12" spans="2:11" ht="16.05" customHeight="1" x14ac:dyDescent="0.3">
      <c r="B12" s="7" t="s">
        <v>11</v>
      </c>
      <c r="C12" s="16">
        <f>C11-C7</f>
        <v>475.37478772577197</v>
      </c>
      <c r="F12"/>
      <c r="G12"/>
      <c r="H12"/>
      <c r="I12"/>
      <c r="J12"/>
      <c r="K12"/>
    </row>
    <row r="13" spans="2:11" ht="16.05" customHeight="1" x14ac:dyDescent="0.3">
      <c r="C13" s="6"/>
      <c r="F13"/>
      <c r="G13"/>
      <c r="H13"/>
      <c r="I13"/>
      <c r="J13"/>
      <c r="K13"/>
    </row>
    <row r="14" spans="2:11" ht="16.05" customHeight="1" x14ac:dyDescent="0.35">
      <c r="B14" s="24" t="s">
        <v>12</v>
      </c>
      <c r="C14" s="24"/>
      <c r="D14" s="9"/>
      <c r="E14" s="10"/>
      <c r="F14"/>
      <c r="G14"/>
      <c r="H14"/>
      <c r="I14"/>
      <c r="J14"/>
      <c r="K14"/>
    </row>
    <row r="15" spans="2:11" ht="16.05" customHeight="1" x14ac:dyDescent="0.3">
      <c r="B15" s="2" t="s">
        <v>0</v>
      </c>
      <c r="C15" s="2" t="s">
        <v>13</v>
      </c>
      <c r="D15" s="2" t="s">
        <v>14</v>
      </c>
      <c r="E15" s="2" t="s">
        <v>15</v>
      </c>
      <c r="F15" s="2" t="s">
        <v>16</v>
      </c>
      <c r="G15"/>
      <c r="H15"/>
      <c r="I15"/>
      <c r="J15"/>
      <c r="K15"/>
    </row>
    <row r="16" spans="2:11" ht="16.05" customHeight="1" x14ac:dyDescent="0.3">
      <c r="B16" s="2">
        <v>1</v>
      </c>
      <c r="C16" s="18">
        <f>C7</f>
        <v>1850</v>
      </c>
      <c r="D16" s="18">
        <f>C16*C8/12</f>
        <v>35.458333333333336</v>
      </c>
      <c r="E16" s="18">
        <f>C10-D16</f>
        <v>61.432282821907158</v>
      </c>
      <c r="F16" s="18">
        <f t="shared" ref="F16:F30" si="0">C16-E16</f>
        <v>1788.5677171780928</v>
      </c>
      <c r="G16"/>
      <c r="H16"/>
      <c r="I16"/>
      <c r="J16"/>
      <c r="K16"/>
    </row>
    <row r="17" spans="2:11" ht="16.05" customHeight="1" x14ac:dyDescent="0.3">
      <c r="B17" s="2">
        <v>2</v>
      </c>
      <c r="C17" s="19">
        <f t="shared" ref="C17:C30" si="1">F16</f>
        <v>1788.5677171780928</v>
      </c>
      <c r="D17" s="18">
        <f>C17*C8/12</f>
        <v>34.280881245913449</v>
      </c>
      <c r="E17" s="18">
        <f>C10-D17</f>
        <v>62.609734909327045</v>
      </c>
      <c r="F17" s="18">
        <f t="shared" si="0"/>
        <v>1725.9579822687658</v>
      </c>
      <c r="G17"/>
      <c r="H17"/>
      <c r="I17"/>
      <c r="J17"/>
      <c r="K17"/>
    </row>
    <row r="18" spans="2:11" ht="16.05" customHeight="1" x14ac:dyDescent="0.3">
      <c r="B18" s="20">
        <v>3</v>
      </c>
      <c r="C18" s="19">
        <f t="shared" si="1"/>
        <v>1725.9579822687658</v>
      </c>
      <c r="D18" s="18">
        <f>C18*C8/12</f>
        <v>33.080861326818017</v>
      </c>
      <c r="E18" s="18">
        <f>C10-D18</f>
        <v>63.809754828422477</v>
      </c>
      <c r="F18" s="18">
        <f t="shared" si="0"/>
        <v>1662.1482274403434</v>
      </c>
      <c r="G18"/>
      <c r="H18"/>
      <c r="I18"/>
      <c r="J18"/>
      <c r="K18"/>
    </row>
    <row r="19" spans="2:11" ht="16.05" customHeight="1" x14ac:dyDescent="0.3">
      <c r="B19" s="2">
        <v>4</v>
      </c>
      <c r="C19" s="19">
        <f t="shared" si="1"/>
        <v>1662.1482274403434</v>
      </c>
      <c r="D19" s="18">
        <f>C19*C8/12</f>
        <v>31.857841025939916</v>
      </c>
      <c r="E19" s="18">
        <f>C10-D19</f>
        <v>65.032775129300575</v>
      </c>
      <c r="F19" s="18">
        <f t="shared" si="0"/>
        <v>1597.1154523110429</v>
      </c>
      <c r="G19"/>
      <c r="H19"/>
      <c r="I19"/>
      <c r="J19"/>
      <c r="K19"/>
    </row>
    <row r="20" spans="2:11" ht="16.05" customHeight="1" x14ac:dyDescent="0.3">
      <c r="B20" s="2">
        <v>5</v>
      </c>
      <c r="C20" s="19">
        <f t="shared" si="1"/>
        <v>1597.1154523110429</v>
      </c>
      <c r="D20" s="18">
        <f>C20*C8/12</f>
        <v>30.611379502628324</v>
      </c>
      <c r="E20" s="18">
        <f>C10-D20</f>
        <v>66.27923665261217</v>
      </c>
      <c r="F20" s="18">
        <f t="shared" si="0"/>
        <v>1530.8362156584308</v>
      </c>
      <c r="G20"/>
      <c r="H20"/>
      <c r="I20"/>
      <c r="J20"/>
      <c r="K20"/>
    </row>
    <row r="21" spans="2:11" ht="16.05" customHeight="1" x14ac:dyDescent="0.3">
      <c r="B21" s="2">
        <v>6</v>
      </c>
      <c r="C21" s="21">
        <f t="shared" si="1"/>
        <v>1530.8362156584308</v>
      </c>
      <c r="D21" s="21">
        <f>C21*C8/12</f>
        <v>29.341027466786588</v>
      </c>
      <c r="E21" s="21">
        <f>C10-D21</f>
        <v>67.549588688453909</v>
      </c>
      <c r="F21" s="21">
        <f t="shared" si="0"/>
        <v>1463.2866269699769</v>
      </c>
      <c r="G21"/>
      <c r="H21"/>
      <c r="I21"/>
      <c r="J21"/>
      <c r="K21"/>
    </row>
    <row r="22" spans="2:11" x14ac:dyDescent="0.3">
      <c r="B22" s="2">
        <v>7</v>
      </c>
      <c r="C22" s="21">
        <f t="shared" si="1"/>
        <v>1463.2866269699769</v>
      </c>
      <c r="D22" s="21">
        <f>C22*C8/12</f>
        <v>28.046327016924554</v>
      </c>
      <c r="E22" s="21">
        <f>C10-D22</f>
        <v>68.844289138315943</v>
      </c>
      <c r="F22" s="21">
        <f t="shared" si="0"/>
        <v>1394.442337831661</v>
      </c>
      <c r="G22"/>
      <c r="H22"/>
      <c r="I22"/>
      <c r="J22"/>
      <c r="K22"/>
    </row>
    <row r="23" spans="2:11" x14ac:dyDescent="0.3">
      <c r="B23" s="20">
        <v>8</v>
      </c>
      <c r="C23" s="21">
        <f t="shared" si="1"/>
        <v>1394.442337831661</v>
      </c>
      <c r="D23" s="21">
        <f>C23*C8/12</f>
        <v>26.726811475106839</v>
      </c>
      <c r="E23" s="21">
        <f>C10-D23</f>
        <v>70.163804680133651</v>
      </c>
      <c r="F23" s="21">
        <f t="shared" si="0"/>
        <v>1324.2785331515274</v>
      </c>
      <c r="G23"/>
      <c r="H23"/>
      <c r="I23"/>
      <c r="J23"/>
      <c r="K23"/>
    </row>
    <row r="24" spans="2:11" x14ac:dyDescent="0.3">
      <c r="B24" s="2">
        <v>9</v>
      </c>
      <c r="C24" s="21">
        <f t="shared" si="1"/>
        <v>1324.2785331515274</v>
      </c>
      <c r="D24" s="21">
        <f>C24*C8/12</f>
        <v>25.382005218737607</v>
      </c>
      <c r="E24" s="21">
        <f>C10-D24</f>
        <v>71.50861093650289</v>
      </c>
      <c r="F24" s="21">
        <f t="shared" si="0"/>
        <v>1252.7699222150245</v>
      </c>
      <c r="G24"/>
      <c r="H24"/>
      <c r="I24"/>
      <c r="J24"/>
      <c r="K24"/>
    </row>
    <row r="25" spans="2:11" x14ac:dyDescent="0.3">
      <c r="B25" s="2">
        <v>10</v>
      </c>
      <c r="C25" s="21">
        <f t="shared" si="1"/>
        <v>1252.7699222150245</v>
      </c>
      <c r="D25" s="21">
        <f>C25*C8/12</f>
        <v>24.011423509121304</v>
      </c>
      <c r="E25" s="21">
        <f>C10-D25</f>
        <v>72.879192646119193</v>
      </c>
      <c r="F25" s="21">
        <f t="shared" si="0"/>
        <v>1179.8907295689053</v>
      </c>
      <c r="G25"/>
      <c r="H25"/>
      <c r="I25"/>
      <c r="J25"/>
      <c r="K25"/>
    </row>
    <row r="26" spans="2:11" x14ac:dyDescent="0.3">
      <c r="B26" s="2">
        <v>11</v>
      </c>
      <c r="C26" s="21">
        <f t="shared" si="1"/>
        <v>1179.8907295689053</v>
      </c>
      <c r="D26" s="21">
        <f>C26*C8/12</f>
        <v>22.614572316737352</v>
      </c>
      <c r="E26" s="21">
        <f>C10-D26</f>
        <v>74.276043838503142</v>
      </c>
      <c r="F26" s="21">
        <f t="shared" si="0"/>
        <v>1105.614685730402</v>
      </c>
      <c r="G26"/>
      <c r="H26"/>
      <c r="I26"/>
      <c r="J26"/>
      <c r="K26"/>
    </row>
    <row r="27" spans="2:11" x14ac:dyDescent="0.3">
      <c r="B27" s="2">
        <v>12</v>
      </c>
      <c r="C27" s="21">
        <f t="shared" si="1"/>
        <v>1105.614685730402</v>
      </c>
      <c r="D27" s="21">
        <f>C27*C8/12</f>
        <v>21.19094814316604</v>
      </c>
      <c r="E27" s="21">
        <f>C10-D27</f>
        <v>75.699668012074454</v>
      </c>
      <c r="F27" s="21">
        <f t="shared" si="0"/>
        <v>1029.9150177183276</v>
      </c>
      <c r="G27"/>
      <c r="H27"/>
      <c r="I27"/>
      <c r="J27"/>
      <c r="K27"/>
    </row>
    <row r="28" spans="2:11" x14ac:dyDescent="0.3">
      <c r="B28" s="20">
        <v>13</v>
      </c>
      <c r="C28" s="21">
        <f t="shared" si="1"/>
        <v>1029.9150177183276</v>
      </c>
      <c r="D28" s="21">
        <f>C28*C8/12</f>
        <v>19.740037839601282</v>
      </c>
      <c r="E28" s="21">
        <f>C10-D28</f>
        <v>77.150578315639208</v>
      </c>
      <c r="F28" s="21">
        <f t="shared" si="0"/>
        <v>952.76443940268837</v>
      </c>
      <c r="G28"/>
      <c r="H28"/>
      <c r="I28"/>
      <c r="J28"/>
      <c r="K28"/>
    </row>
    <row r="29" spans="2:11" x14ac:dyDescent="0.3">
      <c r="B29" s="2">
        <v>14</v>
      </c>
      <c r="C29" s="21">
        <f t="shared" si="1"/>
        <v>952.76443940268837</v>
      </c>
      <c r="D29" s="21">
        <f>C29*C8/12</f>
        <v>18.261318421884862</v>
      </c>
      <c r="E29" s="21">
        <f>C10-D29</f>
        <v>78.629297733355628</v>
      </c>
      <c r="F29" s="21">
        <f t="shared" si="0"/>
        <v>874.13514166933271</v>
      </c>
      <c r="G29"/>
      <c r="H29"/>
      <c r="I29"/>
      <c r="J29"/>
      <c r="K29"/>
    </row>
    <row r="30" spans="2:11" x14ac:dyDescent="0.3">
      <c r="B30" s="2">
        <v>15</v>
      </c>
      <c r="C30" s="21">
        <f t="shared" si="1"/>
        <v>874.13514166933271</v>
      </c>
      <c r="D30" s="21">
        <f>C30*C8/12</f>
        <v>16.754256881995545</v>
      </c>
      <c r="E30" s="21">
        <f>C10-D30</f>
        <v>80.136359273244949</v>
      </c>
      <c r="F30" s="21">
        <f t="shared" si="0"/>
        <v>793.99878239608779</v>
      </c>
      <c r="G30"/>
      <c r="H30"/>
      <c r="I30"/>
      <c r="J30"/>
      <c r="K30"/>
    </row>
    <row r="31" spans="2:11" x14ac:dyDescent="0.3">
      <c r="B31" s="20">
        <v>16</v>
      </c>
      <c r="C31" s="21">
        <f>F30</f>
        <v>793.99878239608779</v>
      </c>
      <c r="D31" s="10">
        <f>C31*C8/12</f>
        <v>15.218309995925017</v>
      </c>
      <c r="E31" s="10">
        <f>C10-D31</f>
        <v>81.672306159315482</v>
      </c>
      <c r="F31" s="10">
        <f>C31-E31</f>
        <v>712.32647623677235</v>
      </c>
      <c r="G31"/>
      <c r="H31"/>
      <c r="I31"/>
      <c r="J31"/>
      <c r="K31"/>
    </row>
    <row r="32" spans="2:11" x14ac:dyDescent="0.3">
      <c r="B32" s="2">
        <v>17</v>
      </c>
      <c r="C32" s="21">
        <f>F31</f>
        <v>712.32647623677235</v>
      </c>
      <c r="D32" s="10">
        <f>C32*23%/12</f>
        <v>13.65292412787147</v>
      </c>
      <c r="E32" s="10">
        <f>C10-D32</f>
        <v>83.237692027369022</v>
      </c>
      <c r="F32" s="10">
        <f>C32-E32</f>
        <v>629.08878420940334</v>
      </c>
      <c r="G32"/>
      <c r="H32"/>
      <c r="I32"/>
      <c r="J32"/>
      <c r="K32"/>
    </row>
    <row r="33" spans="2:11" x14ac:dyDescent="0.3">
      <c r="B33" s="2">
        <v>18</v>
      </c>
      <c r="C33" s="21">
        <f>F32</f>
        <v>629.08878420940334</v>
      </c>
      <c r="D33" s="10">
        <f>C33*23%/12</f>
        <v>12.05753503068023</v>
      </c>
      <c r="E33" s="10">
        <f>C10-D33</f>
        <v>84.833081124560266</v>
      </c>
      <c r="F33" s="10">
        <f>C33-E33</f>
        <v>544.25570308484305</v>
      </c>
      <c r="G33"/>
      <c r="H33"/>
      <c r="I33"/>
      <c r="J33"/>
      <c r="K33"/>
    </row>
    <row r="34" spans="2:11" x14ac:dyDescent="0.3">
      <c r="B34" s="20">
        <v>19</v>
      </c>
      <c r="C34" s="21">
        <f>F33</f>
        <v>544.25570308484305</v>
      </c>
      <c r="D34" s="10">
        <f>C34*C8/12</f>
        <v>10.431567642459493</v>
      </c>
      <c r="E34" s="10">
        <f>C10-D34</f>
        <v>86.459048512780996</v>
      </c>
      <c r="F34" s="10">
        <f>C34-E34</f>
        <v>457.79665457206204</v>
      </c>
    </row>
    <row r="35" spans="2:11" x14ac:dyDescent="0.3">
      <c r="B35" s="2">
        <v>20</v>
      </c>
      <c r="C35" s="21">
        <f>F34</f>
        <v>457.79665457206204</v>
      </c>
      <c r="D35" s="10">
        <f>C35*C8/12</f>
        <v>8.7744358792978563</v>
      </c>
      <c r="E35" s="10">
        <f>C10-D35</f>
        <v>88.116180275942639</v>
      </c>
      <c r="F35" s="10">
        <f>C35-E35</f>
        <v>369.68047429611943</v>
      </c>
    </row>
    <row r="36" spans="2:11" x14ac:dyDescent="0.3">
      <c r="B36" s="2">
        <v>21</v>
      </c>
      <c r="C36" s="21">
        <f>F35</f>
        <v>369.68047429611943</v>
      </c>
      <c r="D36" s="10">
        <f>C36*C8/12</f>
        <v>7.0855424240089562</v>
      </c>
      <c r="E36" s="10">
        <f>C10-D36</f>
        <v>89.805073731231545</v>
      </c>
      <c r="F36" s="10">
        <f>C36-E36</f>
        <v>279.87540056488785</v>
      </c>
    </row>
    <row r="37" spans="2:11" x14ac:dyDescent="0.3">
      <c r="B37" s="20">
        <v>22</v>
      </c>
      <c r="C37" s="21">
        <f>F36</f>
        <v>279.87540056488785</v>
      </c>
      <c r="D37" s="10">
        <f>C37*C8/12</f>
        <v>5.3642785108270177</v>
      </c>
      <c r="E37" s="10">
        <f>C10-D37</f>
        <v>91.526337644413474</v>
      </c>
      <c r="F37" s="10">
        <f>C37-E37</f>
        <v>188.34906292047438</v>
      </c>
    </row>
    <row r="38" spans="2:11" x14ac:dyDescent="0.3">
      <c r="B38" s="2">
        <v>23</v>
      </c>
      <c r="C38" s="21">
        <f>F37</f>
        <v>188.34906292047438</v>
      </c>
      <c r="D38" s="10">
        <f>C38*C8/12</f>
        <v>3.6100237059757592</v>
      </c>
      <c r="E38" s="10">
        <f>C10-D38</f>
        <v>93.280592449264731</v>
      </c>
      <c r="F38" s="10">
        <f>C38-E38</f>
        <v>95.06847047120965</v>
      </c>
    </row>
    <row r="39" spans="2:11" x14ac:dyDescent="0.3">
      <c r="B39" s="2">
        <v>24</v>
      </c>
      <c r="C39" s="21">
        <f>F38</f>
        <v>95.06847047120965</v>
      </c>
      <c r="D39" s="10">
        <f>C39*C8/12</f>
        <v>1.8221456840315184</v>
      </c>
      <c r="E39" s="10">
        <f>C10-D39</f>
        <v>95.068470471208968</v>
      </c>
      <c r="F39" s="10">
        <f>C39-E39</f>
        <v>6.8212102632969618E-13</v>
      </c>
    </row>
    <row r="40" spans="2:11" x14ac:dyDescent="0.3">
      <c r="F40" s="1"/>
    </row>
    <row r="41" spans="2:11" x14ac:dyDescent="0.3">
      <c r="F41" s="1"/>
    </row>
    <row r="42" spans="2:11" x14ac:dyDescent="0.3">
      <c r="F42" s="1"/>
    </row>
    <row r="43" spans="2:11" x14ac:dyDescent="0.3">
      <c r="F43" s="1"/>
    </row>
    <row r="44" spans="2:11" x14ac:dyDescent="0.3">
      <c r="F44" s="1"/>
    </row>
    <row r="45" spans="2:11" x14ac:dyDescent="0.3">
      <c r="F45" s="1"/>
    </row>
    <row r="46" spans="2:11" x14ac:dyDescent="0.3">
      <c r="F46" s="1"/>
    </row>
    <row r="47" spans="2:11" x14ac:dyDescent="0.3">
      <c r="F47" s="1"/>
    </row>
    <row r="48" spans="2:11" x14ac:dyDescent="0.3">
      <c r="F48" s="1"/>
    </row>
    <row r="49" spans="6:6" x14ac:dyDescent="0.3">
      <c r="F49" s="1"/>
    </row>
    <row r="50" spans="6:6" x14ac:dyDescent="0.3">
      <c r="F50" s="1"/>
    </row>
    <row r="51" spans="6:6" x14ac:dyDescent="0.3">
      <c r="F51" s="1"/>
    </row>
    <row r="52" spans="6:6" x14ac:dyDescent="0.3">
      <c r="F52" s="1"/>
    </row>
    <row r="53" spans="6:6" x14ac:dyDescent="0.3">
      <c r="F53" s="1"/>
    </row>
    <row r="54" spans="6:6" x14ac:dyDescent="0.3">
      <c r="F54" s="1"/>
    </row>
    <row r="55" spans="6:6" x14ac:dyDescent="0.3">
      <c r="F55" s="1"/>
    </row>
    <row r="56" spans="6:6" x14ac:dyDescent="0.3">
      <c r="F56" s="1"/>
    </row>
    <row r="57" spans="6:6" x14ac:dyDescent="0.3">
      <c r="F57" s="1"/>
    </row>
    <row r="58" spans="6:6" x14ac:dyDescent="0.3">
      <c r="F58" s="1"/>
    </row>
    <row r="59" spans="6:6" x14ac:dyDescent="0.3">
      <c r="F59" s="1"/>
    </row>
    <row r="60" spans="6:6" x14ac:dyDescent="0.3">
      <c r="F60" s="1"/>
    </row>
    <row r="61" spans="6:6" x14ac:dyDescent="0.3">
      <c r="F61" s="1"/>
    </row>
    <row r="62" spans="6:6" x14ac:dyDescent="0.3">
      <c r="F62" s="1"/>
    </row>
    <row r="63" spans="6:6" x14ac:dyDescent="0.3">
      <c r="F63" s="1"/>
    </row>
    <row r="64" spans="6:6" x14ac:dyDescent="0.3">
      <c r="F64" s="1"/>
    </row>
    <row r="65" spans="6:6" x14ac:dyDescent="0.3">
      <c r="F65" s="1"/>
    </row>
    <row r="66" spans="6:6" x14ac:dyDescent="0.3">
      <c r="F66" s="1"/>
    </row>
    <row r="67" spans="6:6" x14ac:dyDescent="0.3">
      <c r="F67" s="1"/>
    </row>
    <row r="68" spans="6:6" x14ac:dyDescent="0.3">
      <c r="F68" s="1"/>
    </row>
    <row r="69" spans="6:6" x14ac:dyDescent="0.3">
      <c r="F69" s="1"/>
    </row>
    <row r="70" spans="6:6" x14ac:dyDescent="0.3">
      <c r="F70" s="1"/>
    </row>
    <row r="71" spans="6:6" x14ac:dyDescent="0.3">
      <c r="F71" s="1"/>
    </row>
    <row r="72" spans="6:6" x14ac:dyDescent="0.3">
      <c r="F72" s="1"/>
    </row>
  </sheetData>
  <mergeCells count="2">
    <mergeCell ref="B4:C4"/>
    <mergeCell ref="B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72"/>
  <sheetViews>
    <sheetView tabSelected="1" topLeftCell="A43" zoomScaleNormal="100" workbookViewId="0">
      <selection activeCell="G61" sqref="G61"/>
    </sheetView>
  </sheetViews>
  <sheetFormatPr defaultColWidth="11" defaultRowHeight="15.6" x14ac:dyDescent="0.3"/>
  <cols>
    <col min="1" max="1" width="3.19921875" customWidth="1"/>
    <col min="2" max="2" width="17.5" customWidth="1"/>
    <col min="3" max="5" width="16.796875" customWidth="1"/>
    <col min="6" max="6" width="16.796875" style="3" customWidth="1"/>
    <col min="7" max="7" width="10.796875" style="4" customWidth="1"/>
    <col min="8" max="8" width="10.796875" style="1" customWidth="1"/>
    <col min="9" max="9" width="10.796875" style="1"/>
    <col min="10" max="11" width="10.796875" style="1" customWidth="1"/>
  </cols>
  <sheetData>
    <row r="2" spans="2:11" ht="23.4" x14ac:dyDescent="0.45">
      <c r="B2" s="5" t="s">
        <v>2</v>
      </c>
    </row>
    <row r="3" spans="2:11" ht="16.05" customHeight="1" x14ac:dyDescent="0.3">
      <c r="F3" s="1"/>
    </row>
    <row r="4" spans="2:11" ht="16.05" customHeight="1" x14ac:dyDescent="0.35">
      <c r="B4" s="23" t="s">
        <v>3</v>
      </c>
      <c r="C4" s="23"/>
      <c r="F4"/>
      <c r="G4"/>
      <c r="H4"/>
      <c r="I4"/>
      <c r="J4"/>
      <c r="K4"/>
    </row>
    <row r="5" spans="2:11" ht="16.05" customHeight="1" x14ac:dyDescent="0.3">
      <c r="B5" s="7" t="s">
        <v>4</v>
      </c>
      <c r="C5" s="14">
        <v>1800</v>
      </c>
      <c r="F5"/>
      <c r="G5"/>
      <c r="H5"/>
      <c r="I5"/>
      <c r="J5"/>
      <c r="K5"/>
    </row>
    <row r="6" spans="2:11" ht="16.05" customHeight="1" x14ac:dyDescent="0.3">
      <c r="B6" s="7" t="s">
        <v>5</v>
      </c>
      <c r="C6" s="14">
        <v>80</v>
      </c>
      <c r="F6"/>
      <c r="G6"/>
      <c r="H6"/>
      <c r="I6"/>
      <c r="J6"/>
      <c r="K6"/>
    </row>
    <row r="7" spans="2:11" ht="16.05" customHeight="1" x14ac:dyDescent="0.3">
      <c r="B7" s="7" t="s">
        <v>6</v>
      </c>
      <c r="C7" s="16">
        <v>1880</v>
      </c>
      <c r="F7"/>
      <c r="G7"/>
      <c r="H7"/>
      <c r="I7"/>
      <c r="J7"/>
      <c r="K7"/>
    </row>
    <row r="8" spans="2:11" ht="16.05" customHeight="1" x14ac:dyDescent="0.3">
      <c r="B8" s="7" t="s">
        <v>7</v>
      </c>
      <c r="C8" s="15">
        <v>0.31</v>
      </c>
      <c r="F8"/>
      <c r="G8" s="6"/>
      <c r="H8"/>
      <c r="I8"/>
      <c r="J8"/>
      <c r="K8"/>
    </row>
    <row r="9" spans="2:11" ht="16.05" customHeight="1" x14ac:dyDescent="0.3">
      <c r="B9" s="7" t="s">
        <v>8</v>
      </c>
      <c r="C9" s="17">
        <v>48</v>
      </c>
      <c r="F9"/>
      <c r="G9" s="6"/>
      <c r="H9"/>
      <c r="I9"/>
      <c r="J9"/>
      <c r="K9"/>
    </row>
    <row r="10" spans="2:11" ht="16.05" customHeight="1" x14ac:dyDescent="0.3">
      <c r="B10" s="7" t="s">
        <v>9</v>
      </c>
      <c r="C10" s="16">
        <f>PMT(C8/12,C9,-1880)</f>
        <v>68.789066009896644</v>
      </c>
      <c r="F10"/>
      <c r="G10" s="6"/>
      <c r="H10"/>
      <c r="I10"/>
      <c r="J10"/>
      <c r="K10"/>
    </row>
    <row r="11" spans="2:11" ht="16.05" customHeight="1" x14ac:dyDescent="0.3">
      <c r="B11" s="7" t="s">
        <v>10</v>
      </c>
      <c r="C11" s="16">
        <f>C10*C9</f>
        <v>3301.8751684750387</v>
      </c>
      <c r="H11"/>
      <c r="I11"/>
      <c r="J11"/>
      <c r="K11"/>
    </row>
    <row r="12" spans="2:11" ht="16.05" customHeight="1" x14ac:dyDescent="0.3">
      <c r="B12" s="7" t="s">
        <v>11</v>
      </c>
      <c r="C12" s="16">
        <f>C11-C7</f>
        <v>1421.8751684750387</v>
      </c>
      <c r="F12"/>
      <c r="G12"/>
      <c r="H12"/>
      <c r="I12"/>
      <c r="J12"/>
      <c r="K12"/>
    </row>
    <row r="13" spans="2:11" ht="16.05" customHeight="1" x14ac:dyDescent="0.3">
      <c r="C13" s="6"/>
      <c r="F13"/>
      <c r="G13"/>
      <c r="H13"/>
      <c r="I13"/>
      <c r="J13"/>
      <c r="K13"/>
    </row>
    <row r="14" spans="2:11" ht="16.05" customHeight="1" x14ac:dyDescent="0.35">
      <c r="B14" s="24" t="s">
        <v>12</v>
      </c>
      <c r="C14" s="24"/>
      <c r="D14" s="9"/>
      <c r="E14" s="10"/>
      <c r="F14"/>
      <c r="G14"/>
      <c r="H14"/>
      <c r="I14"/>
      <c r="J14"/>
      <c r="K14"/>
    </row>
    <row r="15" spans="2:11" ht="16.05" customHeight="1" x14ac:dyDescent="0.3">
      <c r="B15" s="2" t="s">
        <v>0</v>
      </c>
      <c r="C15" s="2" t="s">
        <v>13</v>
      </c>
      <c r="D15" s="2" t="s">
        <v>14</v>
      </c>
      <c r="E15" s="2" t="s">
        <v>15</v>
      </c>
      <c r="F15" s="2" t="s">
        <v>16</v>
      </c>
      <c r="G15"/>
      <c r="H15"/>
      <c r="I15"/>
      <c r="J15"/>
      <c r="K15"/>
    </row>
    <row r="16" spans="2:11" ht="16.05" customHeight="1" x14ac:dyDescent="0.3">
      <c r="B16" s="2">
        <v>1</v>
      </c>
      <c r="C16" s="18">
        <f>C7</f>
        <v>1880</v>
      </c>
      <c r="D16" s="18">
        <f>C16*C8/12</f>
        <v>48.566666666666663</v>
      </c>
      <c r="E16" s="18">
        <f>C10-D16</f>
        <v>20.222399343229981</v>
      </c>
      <c r="F16" s="18">
        <f t="shared" ref="F16:F30" si="0">C16-E16</f>
        <v>1859.7776006567701</v>
      </c>
      <c r="G16"/>
      <c r="H16"/>
      <c r="I16"/>
      <c r="J16"/>
      <c r="K16"/>
    </row>
    <row r="17" spans="2:11" ht="16.05" customHeight="1" x14ac:dyDescent="0.3">
      <c r="B17" s="2">
        <v>2</v>
      </c>
      <c r="C17" s="19">
        <f t="shared" ref="C17:C30" si="1">F16</f>
        <v>1859.7776006567701</v>
      </c>
      <c r="D17" s="18">
        <f>C17*C8/12</f>
        <v>48.044254683633227</v>
      </c>
      <c r="E17" s="18">
        <f>C10-D17</f>
        <v>20.744811326263417</v>
      </c>
      <c r="F17" s="18">
        <f t="shared" si="0"/>
        <v>1839.0327893305066</v>
      </c>
      <c r="G17"/>
      <c r="H17"/>
      <c r="I17"/>
      <c r="J17"/>
      <c r="K17"/>
    </row>
    <row r="18" spans="2:11" ht="16.05" customHeight="1" x14ac:dyDescent="0.3">
      <c r="B18" s="2">
        <v>3</v>
      </c>
      <c r="C18" s="19">
        <f t="shared" si="1"/>
        <v>1839.0327893305066</v>
      </c>
      <c r="D18" s="18">
        <f>C18*C8/12</f>
        <v>47.508347057704754</v>
      </c>
      <c r="E18" s="18">
        <f>C10-D18</f>
        <v>21.28071895219189</v>
      </c>
      <c r="F18" s="18">
        <f t="shared" si="0"/>
        <v>1817.7520703783148</v>
      </c>
      <c r="G18"/>
      <c r="H18"/>
      <c r="I18"/>
      <c r="J18"/>
      <c r="K18"/>
    </row>
    <row r="19" spans="2:11" ht="16.05" customHeight="1" x14ac:dyDescent="0.3">
      <c r="B19" s="2">
        <v>4</v>
      </c>
      <c r="C19" s="19">
        <f t="shared" si="1"/>
        <v>1817.7520703783148</v>
      </c>
      <c r="D19" s="18">
        <f>C19*C8/12</f>
        <v>46.958595151439795</v>
      </c>
      <c r="E19" s="18">
        <f>C10-D19</f>
        <v>21.830470858456849</v>
      </c>
      <c r="F19" s="18">
        <f t="shared" si="0"/>
        <v>1795.9215995198579</v>
      </c>
      <c r="G19"/>
      <c r="H19"/>
      <c r="I19"/>
      <c r="J19"/>
      <c r="K19"/>
    </row>
    <row r="20" spans="2:11" ht="16.05" customHeight="1" x14ac:dyDescent="0.3">
      <c r="B20" s="2">
        <v>5</v>
      </c>
      <c r="C20" s="19">
        <f t="shared" si="1"/>
        <v>1795.9215995198579</v>
      </c>
      <c r="D20" s="18">
        <f>C20*C8/12</f>
        <v>46.394641320929658</v>
      </c>
      <c r="E20" s="18">
        <f>C10-D20</f>
        <v>22.394424688966986</v>
      </c>
      <c r="F20" s="18">
        <f t="shared" si="0"/>
        <v>1773.5271748308908</v>
      </c>
      <c r="G20"/>
      <c r="H20"/>
      <c r="I20"/>
      <c r="J20"/>
      <c r="K20"/>
    </row>
    <row r="21" spans="2:11" ht="16.05" customHeight="1" x14ac:dyDescent="0.3">
      <c r="B21" s="2">
        <v>6</v>
      </c>
      <c r="C21" s="21">
        <f t="shared" si="1"/>
        <v>1773.5271748308908</v>
      </c>
      <c r="D21" s="10">
        <f>C21*C8/12</f>
        <v>45.816118683131343</v>
      </c>
      <c r="E21" s="10">
        <f>C10-D21</f>
        <v>22.972947326765301</v>
      </c>
      <c r="F21" s="10">
        <f t="shared" si="0"/>
        <v>1750.5542275041255</v>
      </c>
      <c r="G21"/>
      <c r="H21"/>
      <c r="I21"/>
      <c r="J21"/>
      <c r="K21"/>
    </row>
    <row r="22" spans="2:11" x14ac:dyDescent="0.3">
      <c r="B22" s="2">
        <v>7</v>
      </c>
      <c r="C22" s="21">
        <f t="shared" si="1"/>
        <v>1750.5542275041255</v>
      </c>
      <c r="D22" s="10">
        <f>C22*C8/12</f>
        <v>45.222650877189913</v>
      </c>
      <c r="E22" s="10">
        <f>C10-D22</f>
        <v>23.56641513270673</v>
      </c>
      <c r="F22" s="10">
        <f t="shared" si="0"/>
        <v>1726.9878123714188</v>
      </c>
      <c r="G22"/>
      <c r="H22"/>
      <c r="I22"/>
      <c r="J22"/>
      <c r="K22"/>
    </row>
    <row r="23" spans="2:11" x14ac:dyDescent="0.3">
      <c r="B23" s="2">
        <v>8</v>
      </c>
      <c r="C23" s="21">
        <f t="shared" si="1"/>
        <v>1726.9878123714188</v>
      </c>
      <c r="D23" s="10">
        <f>C23*C8/12</f>
        <v>44.613851819594991</v>
      </c>
      <c r="E23" s="10">
        <f>C10-D23</f>
        <v>24.175214190301652</v>
      </c>
      <c r="F23" s="10">
        <f t="shared" si="0"/>
        <v>1702.8125981811172</v>
      </c>
      <c r="G23"/>
      <c r="H23"/>
      <c r="I23"/>
      <c r="J23"/>
      <c r="K23"/>
    </row>
    <row r="24" spans="2:11" x14ac:dyDescent="0.3">
      <c r="B24" s="2">
        <v>9</v>
      </c>
      <c r="C24" s="21">
        <f t="shared" si="1"/>
        <v>1702.8125981811172</v>
      </c>
      <c r="D24" s="10">
        <f>C24*C8/12</f>
        <v>43.989325453012192</v>
      </c>
      <c r="E24" s="10">
        <f>C10-D24</f>
        <v>24.799740556884451</v>
      </c>
      <c r="F24" s="10">
        <f t="shared" si="0"/>
        <v>1678.0128576242328</v>
      </c>
      <c r="G24"/>
      <c r="H24"/>
      <c r="I24"/>
      <c r="J24"/>
      <c r="K24"/>
    </row>
    <row r="25" spans="2:11" x14ac:dyDescent="0.3">
      <c r="B25" s="2">
        <v>10</v>
      </c>
      <c r="C25" s="21">
        <f t="shared" si="1"/>
        <v>1678.0128576242328</v>
      </c>
      <c r="D25" s="10">
        <f>C25*C8/12</f>
        <v>43.348665488626011</v>
      </c>
      <c r="E25" s="10">
        <f>C10-D25</f>
        <v>25.440400521270632</v>
      </c>
      <c r="F25" s="10">
        <f t="shared" si="0"/>
        <v>1652.5724571029621</v>
      </c>
      <c r="G25"/>
      <c r="H25"/>
      <c r="I25"/>
      <c r="J25"/>
      <c r="K25"/>
    </row>
    <row r="26" spans="2:11" x14ac:dyDescent="0.3">
      <c r="B26" s="2">
        <v>11</v>
      </c>
      <c r="C26" s="21">
        <f t="shared" si="1"/>
        <v>1652.5724571029621</v>
      </c>
      <c r="D26" s="10">
        <f>C26*C8/12</f>
        <v>42.691455141826516</v>
      </c>
      <c r="E26" s="10">
        <f>C10-D26</f>
        <v>26.097610868070127</v>
      </c>
      <c r="F26" s="10">
        <f t="shared" si="0"/>
        <v>1626.4748462348919</v>
      </c>
      <c r="G26"/>
      <c r="H26"/>
      <c r="I26"/>
      <c r="J26"/>
      <c r="K26"/>
    </row>
    <row r="27" spans="2:11" x14ac:dyDescent="0.3">
      <c r="B27" s="2">
        <v>12</v>
      </c>
      <c r="C27" s="21">
        <f t="shared" si="1"/>
        <v>1626.4748462348919</v>
      </c>
      <c r="D27" s="10">
        <f>C27*C8/12</f>
        <v>42.017266861068038</v>
      </c>
      <c r="E27" s="10">
        <f>C10-D27</f>
        <v>26.771799148828606</v>
      </c>
      <c r="F27" s="10">
        <f t="shared" si="0"/>
        <v>1599.7030470860632</v>
      </c>
      <c r="G27"/>
      <c r="H27"/>
      <c r="I27"/>
      <c r="J27"/>
      <c r="K27"/>
    </row>
    <row r="28" spans="2:11" x14ac:dyDescent="0.3">
      <c r="B28" s="2">
        <v>13</v>
      </c>
      <c r="C28" s="21">
        <f t="shared" si="1"/>
        <v>1599.7030470860632</v>
      </c>
      <c r="D28" s="10">
        <f>C28*C8/12</f>
        <v>41.325662049723299</v>
      </c>
      <c r="E28" s="10">
        <f>C10-D28</f>
        <v>27.463403960173345</v>
      </c>
      <c r="F28" s="10">
        <f t="shared" si="0"/>
        <v>1572.2396431258899</v>
      </c>
      <c r="G28"/>
      <c r="H28"/>
      <c r="I28"/>
      <c r="J28"/>
      <c r="K28"/>
    </row>
    <row r="29" spans="2:11" x14ac:dyDescent="0.3">
      <c r="B29" s="2">
        <v>14</v>
      </c>
      <c r="C29" s="21">
        <f t="shared" si="1"/>
        <v>1572.2396431258899</v>
      </c>
      <c r="D29" s="10">
        <f>C29*C8/12</f>
        <v>40.616190780752156</v>
      </c>
      <c r="E29" s="10">
        <f>C10-D29</f>
        <v>28.172875229144488</v>
      </c>
      <c r="F29" s="10">
        <f t="shared" si="0"/>
        <v>1544.0667678967454</v>
      </c>
      <c r="G29"/>
      <c r="H29"/>
      <c r="I29"/>
      <c r="J29"/>
      <c r="K29"/>
    </row>
    <row r="30" spans="2:11" x14ac:dyDescent="0.3">
      <c r="B30" s="2">
        <v>15</v>
      </c>
      <c r="C30" s="21">
        <f t="shared" si="1"/>
        <v>1544.0667678967454</v>
      </c>
      <c r="D30" s="10">
        <f>C30*C8/12</f>
        <v>39.888391503999259</v>
      </c>
      <c r="E30" s="10">
        <f>C10-D30</f>
        <v>28.900674505897385</v>
      </c>
      <c r="F30" s="10">
        <f t="shared" si="0"/>
        <v>1515.1660933908481</v>
      </c>
      <c r="G30"/>
      <c r="H30"/>
      <c r="I30"/>
      <c r="J30"/>
      <c r="K30"/>
    </row>
    <row r="31" spans="2:11" x14ac:dyDescent="0.3">
      <c r="B31" s="2">
        <v>16</v>
      </c>
      <c r="C31" s="21">
        <f>F30</f>
        <v>1515.1660933908481</v>
      </c>
      <c r="D31" s="10">
        <f>C31*C8/12</f>
        <v>39.141790745930244</v>
      </c>
      <c r="E31" s="10">
        <f>C10-D31</f>
        <v>29.647275263966399</v>
      </c>
      <c r="F31" s="10">
        <f>C31-E31</f>
        <v>1485.5188181268818</v>
      </c>
      <c r="G31"/>
      <c r="H31"/>
      <c r="I31"/>
      <c r="J31"/>
      <c r="K31"/>
    </row>
    <row r="32" spans="2:11" x14ac:dyDescent="0.3">
      <c r="B32" s="2">
        <v>17</v>
      </c>
      <c r="C32" s="21">
        <f>F31</f>
        <v>1485.5188181268818</v>
      </c>
      <c r="D32" s="10">
        <f>C32*C8/12</f>
        <v>38.375902801611112</v>
      </c>
      <c r="E32" s="10">
        <f>C10-D32</f>
        <v>30.413163208285532</v>
      </c>
      <c r="F32" s="10">
        <f>C32-E32</f>
        <v>1455.1056549185962</v>
      </c>
      <c r="G32"/>
      <c r="H32"/>
      <c r="I32"/>
      <c r="J32"/>
      <c r="K32"/>
    </row>
    <row r="33" spans="2:11" x14ac:dyDescent="0.3">
      <c r="B33" s="2">
        <v>18</v>
      </c>
      <c r="C33" s="21">
        <f>F32</f>
        <v>1455.1056549185962</v>
      </c>
      <c r="D33" s="10">
        <f>C33*C8/12</f>
        <v>37.590229418730402</v>
      </c>
      <c r="E33" s="10">
        <f>C10-D33</f>
        <v>31.198836591166241</v>
      </c>
      <c r="F33" s="10">
        <f>C33-E33</f>
        <v>1423.9068183274298</v>
      </c>
      <c r="G33"/>
      <c r="H33"/>
      <c r="I33"/>
      <c r="J33"/>
      <c r="K33"/>
    </row>
    <row r="34" spans="2:11" x14ac:dyDescent="0.3">
      <c r="B34" s="2">
        <v>19</v>
      </c>
      <c r="C34" s="21">
        <f>F33</f>
        <v>1423.9068183274298</v>
      </c>
      <c r="D34" s="10">
        <f>C34*C8/12</f>
        <v>36.784259473458604</v>
      </c>
      <c r="E34" s="10">
        <f>C10-D34</f>
        <v>32.004806536438039</v>
      </c>
      <c r="F34" s="10">
        <f>C34-E34</f>
        <v>1391.9020117909918</v>
      </c>
    </row>
    <row r="35" spans="2:11" x14ac:dyDescent="0.3">
      <c r="B35" s="2">
        <v>20</v>
      </c>
      <c r="C35" s="21">
        <f>F34</f>
        <v>1391.9020117909918</v>
      </c>
      <c r="D35" s="10">
        <f>C35*C8/12</f>
        <v>35.95746863793395</v>
      </c>
      <c r="E35" s="10">
        <f>C10-D35</f>
        <v>32.831597371962694</v>
      </c>
      <c r="F35" s="10">
        <f>C35-E35</f>
        <v>1359.070414419029</v>
      </c>
    </row>
    <row r="36" spans="2:11" x14ac:dyDescent="0.3">
      <c r="B36" s="2">
        <v>21</v>
      </c>
      <c r="C36" s="21">
        <f>F35</f>
        <v>1359.070414419029</v>
      </c>
      <c r="D36" s="10">
        <f>C36*C8/12</f>
        <v>35.109319039158251</v>
      </c>
      <c r="E36" s="10">
        <f>C10-D36</f>
        <v>33.679746970738393</v>
      </c>
      <c r="F36" s="10">
        <f>C36-E36</f>
        <v>1325.3906674482905</v>
      </c>
    </row>
    <row r="37" spans="2:11" x14ac:dyDescent="0.3">
      <c r="B37" s="2">
        <v>22</v>
      </c>
      <c r="C37" s="21">
        <f>F36</f>
        <v>1325.3906674482905</v>
      </c>
      <c r="D37" s="10">
        <f>C37*C8/12</f>
        <v>34.239258909080839</v>
      </c>
      <c r="E37" s="10">
        <f>C10-D37</f>
        <v>34.549807100815805</v>
      </c>
      <c r="F37" s="10">
        <f>C37-E37</f>
        <v>1290.8408603474747</v>
      </c>
    </row>
    <row r="38" spans="2:11" x14ac:dyDescent="0.3">
      <c r="B38" s="2">
        <v>23</v>
      </c>
      <c r="C38" s="21">
        <f>F37</f>
        <v>1290.8408603474747</v>
      </c>
      <c r="D38" s="10">
        <f>C38*C8/12</f>
        <v>33.346722225643099</v>
      </c>
      <c r="E38" s="10">
        <f>C10-D38</f>
        <v>35.442343784253545</v>
      </c>
      <c r="F38" s="10">
        <f>C38-E38</f>
        <v>1255.3985165632212</v>
      </c>
    </row>
    <row r="39" spans="2:11" x14ac:dyDescent="0.3">
      <c r="B39" s="2">
        <v>24</v>
      </c>
      <c r="C39" s="21">
        <f>F38</f>
        <v>1255.3985165632212</v>
      </c>
      <c r="D39" s="10">
        <f>C39*C8/12</f>
        <v>32.431128344549883</v>
      </c>
      <c r="E39" s="10">
        <f>C10-D39</f>
        <v>36.357937665346761</v>
      </c>
      <c r="F39" s="10">
        <f>C39-E39</f>
        <v>1219.0405788978744</v>
      </c>
    </row>
    <row r="40" spans="2:11" x14ac:dyDescent="0.3">
      <c r="B40" s="2">
        <v>25</v>
      </c>
      <c r="C40" s="21">
        <f>F39</f>
        <v>1219.0405788978744</v>
      </c>
      <c r="D40" s="10">
        <f>C40*C8/12</f>
        <v>31.491881621528421</v>
      </c>
      <c r="E40" s="10">
        <f>C10-D40</f>
        <v>37.297184388368223</v>
      </c>
      <c r="F40" s="10">
        <f>C40-E40</f>
        <v>1181.7433945095063</v>
      </c>
    </row>
    <row r="41" spans="2:11" x14ac:dyDescent="0.3">
      <c r="B41" s="2">
        <v>26</v>
      </c>
      <c r="C41" s="21">
        <f>F40</f>
        <v>1181.7433945095063</v>
      </c>
      <c r="D41" s="10">
        <f>C41*C8/12</f>
        <v>30.528371024828914</v>
      </c>
      <c r="E41" s="10">
        <f>C10-D41</f>
        <v>38.26069498506773</v>
      </c>
      <c r="F41" s="10">
        <f>C41-E41</f>
        <v>1143.4826995244387</v>
      </c>
    </row>
    <row r="42" spans="2:11" x14ac:dyDescent="0.3">
      <c r="B42" s="2">
        <v>27</v>
      </c>
      <c r="C42" s="21">
        <f>F41</f>
        <v>1143.4826995244387</v>
      </c>
      <c r="D42" s="10">
        <f>C42*C8/12</f>
        <v>29.539969737714667</v>
      </c>
      <c r="E42" s="10">
        <f>C10-D42</f>
        <v>39.249096272181973</v>
      </c>
      <c r="F42" s="10">
        <f>C42-E42</f>
        <v>1104.2336032522567</v>
      </c>
    </row>
    <row r="43" spans="2:11" x14ac:dyDescent="0.3">
      <c r="B43" s="2">
        <v>28</v>
      </c>
      <c r="C43" s="21">
        <f>F42</f>
        <v>1104.2336032522567</v>
      </c>
      <c r="D43" s="10">
        <f>C43*C8/12</f>
        <v>28.526034750683298</v>
      </c>
      <c r="E43" s="10">
        <f>C10-D43</f>
        <v>40.263031259213349</v>
      </c>
      <c r="F43" s="10">
        <f>C43-E43</f>
        <v>1063.9705719930432</v>
      </c>
    </row>
    <row r="44" spans="2:11" x14ac:dyDescent="0.3">
      <c r="B44" s="2">
        <v>29</v>
      </c>
      <c r="C44" s="21">
        <f>F43</f>
        <v>1063.9705719930432</v>
      </c>
      <c r="D44" s="10">
        <f>C44*C8/12</f>
        <v>27.485906443153613</v>
      </c>
      <c r="E44" s="10">
        <f>C10-D44</f>
        <v>41.303159566743034</v>
      </c>
      <c r="F44" s="10">
        <f>C44-E44</f>
        <v>1022.6674124263002</v>
      </c>
    </row>
    <row r="45" spans="2:11" x14ac:dyDescent="0.3">
      <c r="B45" s="2">
        <v>30</v>
      </c>
      <c r="C45" s="21">
        <f>F44</f>
        <v>1022.6674124263002</v>
      </c>
      <c r="D45" s="10">
        <f>C45*C8/12</f>
        <v>26.418908154346088</v>
      </c>
      <c r="E45" s="10">
        <f>C10-D45</f>
        <v>42.370157855550559</v>
      </c>
      <c r="F45" s="10">
        <f>C45-E45</f>
        <v>980.2972545707496</v>
      </c>
    </row>
    <row r="46" spans="2:11" x14ac:dyDescent="0.3">
      <c r="B46" s="2">
        <v>31</v>
      </c>
      <c r="C46" s="21">
        <f>F45</f>
        <v>980.2972545707496</v>
      </c>
      <c r="D46" s="10">
        <f>C46*C8/12</f>
        <v>25.3243457430777</v>
      </c>
      <c r="E46" s="10">
        <f>C10-D46</f>
        <v>43.464720266818944</v>
      </c>
      <c r="F46" s="10">
        <f>C46-E46</f>
        <v>936.83253430393063</v>
      </c>
    </row>
    <row r="47" spans="2:11" x14ac:dyDescent="0.3">
      <c r="B47" s="2">
        <v>32</v>
      </c>
      <c r="C47" s="21">
        <f>F46</f>
        <v>936.83253430393063</v>
      </c>
      <c r="D47" s="10">
        <f>C47*C8/12</f>
        <v>24.201507136184873</v>
      </c>
      <c r="E47" s="10">
        <f>C10-D47</f>
        <v>44.587558873711771</v>
      </c>
      <c r="F47" s="10">
        <f>C47-E47</f>
        <v>892.2449754302188</v>
      </c>
    </row>
    <row r="48" spans="2:11" x14ac:dyDescent="0.3">
      <c r="B48" s="2">
        <v>33</v>
      </c>
      <c r="C48" s="21">
        <f>F47</f>
        <v>892.2449754302188</v>
      </c>
      <c r="D48" s="10">
        <f>C48*C8/12</f>
        <v>23.049661865280651</v>
      </c>
      <c r="E48" s="10">
        <f>C10-D48</f>
        <v>45.739404144615989</v>
      </c>
      <c r="F48" s="10">
        <f>C48-E48</f>
        <v>846.50557128560285</v>
      </c>
    </row>
    <row r="49" spans="2:6" x14ac:dyDescent="0.3">
      <c r="B49" s="2">
        <v>34</v>
      </c>
      <c r="C49" s="21">
        <f>F48</f>
        <v>846.50557128560285</v>
      </c>
      <c r="D49" s="10">
        <f>C49*C8/12</f>
        <v>21.868060591544744</v>
      </c>
      <c r="E49" s="10">
        <f>C10-D49</f>
        <v>46.921005418351896</v>
      </c>
      <c r="F49" s="10">
        <f>C49-E49</f>
        <v>799.58456586725094</v>
      </c>
    </row>
    <row r="50" spans="2:6" x14ac:dyDescent="0.3">
      <c r="B50" s="2">
        <v>35</v>
      </c>
      <c r="C50" s="21">
        <f>F49</f>
        <v>799.58456586725094</v>
      </c>
      <c r="D50" s="10">
        <f>C50*C8/12</f>
        <v>20.655934618237314</v>
      </c>
      <c r="E50" s="10">
        <f>C10-D50</f>
        <v>48.133131391659333</v>
      </c>
      <c r="F50" s="10">
        <f>C50-E50</f>
        <v>751.45143447559167</v>
      </c>
    </row>
    <row r="51" spans="2:6" x14ac:dyDescent="0.3">
      <c r="B51" s="2">
        <v>36</v>
      </c>
      <c r="C51" s="21">
        <f>F50</f>
        <v>751.45143447559167</v>
      </c>
      <c r="D51" s="10">
        <f>C51*C8/12</f>
        <v>19.412495390619451</v>
      </c>
      <c r="E51" s="10">
        <f>C10-D51</f>
        <v>49.376570619277189</v>
      </c>
      <c r="F51" s="10">
        <f>C51-E51</f>
        <v>702.07486385631444</v>
      </c>
    </row>
    <row r="52" spans="2:6" x14ac:dyDescent="0.3">
      <c r="B52" s="2">
        <v>37</v>
      </c>
      <c r="C52" s="21">
        <f>F51</f>
        <v>702.07486385631444</v>
      </c>
      <c r="D52" s="10">
        <f>C52*C8/12</f>
        <v>18.13693398295479</v>
      </c>
      <c r="E52" s="10">
        <f>C10-D52</f>
        <v>50.652132026941857</v>
      </c>
      <c r="F52" s="10">
        <f>C52-E52</f>
        <v>651.42273182937254</v>
      </c>
    </row>
    <row r="53" spans="2:6" x14ac:dyDescent="0.3">
      <c r="B53" s="2">
        <v>38</v>
      </c>
      <c r="C53" s="21">
        <f>F52</f>
        <v>651.42273182937254</v>
      </c>
      <c r="D53" s="10">
        <f>C53*C8/12</f>
        <v>16.828420572258789</v>
      </c>
      <c r="E53" s="10">
        <f>C10-D53</f>
        <v>51.960645437637851</v>
      </c>
      <c r="F53" s="10">
        <f>C53-E53</f>
        <v>599.46208639173472</v>
      </c>
    </row>
    <row r="54" spans="2:6" x14ac:dyDescent="0.3">
      <c r="B54" s="2">
        <v>39</v>
      </c>
      <c r="C54" s="21">
        <f>F53</f>
        <v>599.46208639173472</v>
      </c>
      <c r="D54" s="10">
        <f>C54*C8/12</f>
        <v>15.486103898453146</v>
      </c>
      <c r="E54" s="10">
        <f>C10-D54</f>
        <v>53.302962111443499</v>
      </c>
      <c r="F54" s="10">
        <f>C54-E54</f>
        <v>546.15912428029117</v>
      </c>
    </row>
    <row r="55" spans="2:6" x14ac:dyDescent="0.3">
      <c r="B55" s="2">
        <v>40</v>
      </c>
      <c r="C55" s="21">
        <f>F54</f>
        <v>546.15912428029117</v>
      </c>
      <c r="D55" s="10">
        <f>C55*C8/12</f>
        <v>14.109110710574187</v>
      </c>
      <c r="E55" s="10">
        <f>C10-D55</f>
        <v>54.679955299322458</v>
      </c>
      <c r="F55" s="10">
        <f>C55-E55</f>
        <v>491.47916898096872</v>
      </c>
    </row>
    <row r="56" spans="2:6" x14ac:dyDescent="0.3">
      <c r="B56" s="2">
        <v>41</v>
      </c>
      <c r="C56" s="21">
        <f>F55</f>
        <v>491.47916898096872</v>
      </c>
      <c r="D56" s="10">
        <f>C56*C8/12</f>
        <v>12.696545198675025</v>
      </c>
      <c r="E56" s="10">
        <f>C10-D56</f>
        <v>56.092520811221618</v>
      </c>
      <c r="F56" s="10">
        <f>C56-E56</f>
        <v>435.3866481697471</v>
      </c>
    </row>
    <row r="57" spans="2:6" x14ac:dyDescent="0.3">
      <c r="B57" s="2">
        <v>42</v>
      </c>
      <c r="C57" s="21">
        <f>F56</f>
        <v>435.3866481697471</v>
      </c>
      <c r="D57" s="10">
        <f>C57*C8/12</f>
        <v>11.247488411051799</v>
      </c>
      <c r="E57" s="10">
        <f>C10-D57</f>
        <v>57.541577598844846</v>
      </c>
      <c r="F57" s="10">
        <f>C57-E57</f>
        <v>377.84507057090224</v>
      </c>
    </row>
    <row r="58" spans="2:6" x14ac:dyDescent="0.3">
      <c r="B58" s="2">
        <v>43</v>
      </c>
      <c r="C58" s="21">
        <f>F57</f>
        <v>377.84507057090224</v>
      </c>
      <c r="D58" s="10">
        <f>C58*C8/12</f>
        <v>9.7609976564149736</v>
      </c>
      <c r="E58" s="10">
        <f>C10-D58</f>
        <v>59.028068353481672</v>
      </c>
      <c r="F58" s="10">
        <f>C58-E58</f>
        <v>318.81700221742057</v>
      </c>
    </row>
    <row r="59" spans="2:6" x14ac:dyDescent="0.3">
      <c r="B59" s="2">
        <v>44</v>
      </c>
      <c r="C59" s="21">
        <f>F58</f>
        <v>318.81700221742057</v>
      </c>
      <c r="D59" s="10">
        <f>C59*C8/12</f>
        <v>8.2361058906166971</v>
      </c>
      <c r="E59" s="10">
        <f>C10-D59</f>
        <v>60.552960119279945</v>
      </c>
      <c r="F59" s="10">
        <f>C59-E59</f>
        <v>258.26404209814064</v>
      </c>
    </row>
    <row r="60" spans="2:6" x14ac:dyDescent="0.3">
      <c r="B60" s="2">
        <v>45</v>
      </c>
      <c r="C60" s="21">
        <f>F59</f>
        <v>258.26404209814064</v>
      </c>
      <c r="D60" s="10">
        <f>C60*C8/12</f>
        <v>6.6718210875352995</v>
      </c>
      <c r="E60" s="10">
        <f>C10-D60</f>
        <v>62.117244922361344</v>
      </c>
      <c r="F60" s="10">
        <f>C60-E60</f>
        <v>196.14679717577928</v>
      </c>
    </row>
    <row r="61" spans="2:6" x14ac:dyDescent="0.3">
      <c r="B61" s="2">
        <v>46</v>
      </c>
      <c r="C61" s="21">
        <f>F60</f>
        <v>196.14679717577928</v>
      </c>
      <c r="D61" s="10">
        <f>C61*C8/12</f>
        <v>5.0671255937076314</v>
      </c>
      <c r="E61" s="10">
        <f>C10-D61</f>
        <v>63.721940416189014</v>
      </c>
      <c r="F61" s="10">
        <f>C61-E61</f>
        <v>132.42485675959028</v>
      </c>
    </row>
    <row r="62" spans="2:6" x14ac:dyDescent="0.3">
      <c r="B62" s="2">
        <v>47</v>
      </c>
      <c r="C62" s="21">
        <f>F61</f>
        <v>132.42485675959028</v>
      </c>
      <c r="D62" s="10">
        <f>C62*C8/12</f>
        <v>3.4209754662894158</v>
      </c>
      <c r="E62" s="10">
        <f>C10-D62</f>
        <v>65.368090543607224</v>
      </c>
      <c r="F62" s="10">
        <f>C62-E62</f>
        <v>67.05676621598306</v>
      </c>
    </row>
    <row r="63" spans="2:6" x14ac:dyDescent="0.3">
      <c r="B63" s="2">
        <v>48</v>
      </c>
      <c r="C63" s="21">
        <f>F62</f>
        <v>67.05676621598306</v>
      </c>
      <c r="D63" s="10">
        <f>C63*C8/12</f>
        <v>1.7322997939128957</v>
      </c>
      <c r="E63" s="10">
        <f>C10-D63</f>
        <v>67.056766215983743</v>
      </c>
      <c r="F63" s="10">
        <f>C63-E63</f>
        <v>-6.8212102632969618E-13</v>
      </c>
    </row>
    <row r="64" spans="2:6" x14ac:dyDescent="0.3">
      <c r="F64" s="1"/>
    </row>
    <row r="65" spans="6:6" x14ac:dyDescent="0.3">
      <c r="F65" s="1"/>
    </row>
    <row r="66" spans="6:6" x14ac:dyDescent="0.3">
      <c r="F66" s="1"/>
    </row>
    <row r="67" spans="6:6" x14ac:dyDescent="0.3">
      <c r="F67" s="1"/>
    </row>
    <row r="68" spans="6:6" x14ac:dyDescent="0.3">
      <c r="F68" s="1"/>
    </row>
    <row r="69" spans="6:6" x14ac:dyDescent="0.3">
      <c r="F69" s="1"/>
    </row>
    <row r="70" spans="6:6" x14ac:dyDescent="0.3">
      <c r="F70" s="1"/>
    </row>
    <row r="71" spans="6:6" x14ac:dyDescent="0.3">
      <c r="F71" s="1"/>
    </row>
    <row r="72" spans="6:6" x14ac:dyDescent="0.3">
      <c r="F72" s="1"/>
    </row>
  </sheetData>
  <mergeCells count="2">
    <mergeCell ref="B4:C4"/>
    <mergeCell ref="B14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26" workbookViewId="0">
      <selection activeCell="A2" sqref="A2"/>
    </sheetView>
  </sheetViews>
  <sheetFormatPr defaultColWidth="8.796875" defaultRowHeight="15.6" x14ac:dyDescent="0.3"/>
  <cols>
    <col min="1" max="1" width="10.19921875" bestFit="1" customWidth="1"/>
    <col min="3" max="4" width="12.5" customWidth="1"/>
    <col min="5" max="6" width="12.69921875" customWidth="1"/>
    <col min="7" max="8" width="12" customWidth="1"/>
    <col min="9" max="9" width="13.19921875" customWidth="1"/>
  </cols>
  <sheetData>
    <row r="1" spans="1:10" x14ac:dyDescent="0.3">
      <c r="A1" s="25" t="s">
        <v>159</v>
      </c>
      <c r="B1" s="25"/>
      <c r="C1" s="25"/>
    </row>
    <row r="3" spans="1:10" x14ac:dyDescent="0.3">
      <c r="A3" t="s">
        <v>19</v>
      </c>
      <c r="B3" t="str">
        <f>IF('2-Year Loan'!C5-1800=0,"Correct","Error")</f>
        <v>Correct</v>
      </c>
    </row>
    <row r="4" spans="1:10" x14ac:dyDescent="0.3">
      <c r="A4" t="s">
        <v>20</v>
      </c>
      <c r="B4" t="str">
        <f>IF('2-Year Loan'!C6-50=0,"Correct","Error")</f>
        <v>Correct</v>
      </c>
    </row>
    <row r="5" spans="1:10" x14ac:dyDescent="0.3">
      <c r="A5" t="s">
        <v>21</v>
      </c>
      <c r="B5" t="str">
        <f>IF('2-Year Loan'!C7-1850=0,"Correct","Error")</f>
        <v>Correct</v>
      </c>
    </row>
    <row r="6" spans="1:10" x14ac:dyDescent="0.3">
      <c r="A6" t="s">
        <v>22</v>
      </c>
      <c r="B6" t="str">
        <f>IF('2-Year Loan'!C8-0.23=0,"Correct","Error")</f>
        <v>Correct</v>
      </c>
    </row>
    <row r="7" spans="1:10" x14ac:dyDescent="0.3">
      <c r="A7" t="s">
        <v>23</v>
      </c>
      <c r="B7" t="str">
        <f>IF('2-Year Loan'!C9-24=0,"Correct","Error")</f>
        <v>Correct</v>
      </c>
    </row>
    <row r="8" spans="1:10" x14ac:dyDescent="0.3">
      <c r="A8" t="s">
        <v>24</v>
      </c>
      <c r="B8" t="str">
        <f>IF(ROUND('2-Year Loan'!C10,2)=96.89,"Correct","Error")</f>
        <v>Correct</v>
      </c>
    </row>
    <row r="9" spans="1:10" x14ac:dyDescent="0.3">
      <c r="A9" t="s">
        <v>25</v>
      </c>
      <c r="B9" t="str">
        <f>IF(ROUND('2-Year Loan'!C11,1)=2325.4,"Correct","Error")</f>
        <v>Correct</v>
      </c>
    </row>
    <row r="10" spans="1:10" x14ac:dyDescent="0.3">
      <c r="A10" t="s">
        <v>26</v>
      </c>
      <c r="B10" t="str">
        <f>IF(ROUND('2-Year Loan'!C12,2)=475.37,"Correct","Error")</f>
        <v>Correct</v>
      </c>
    </row>
    <row r="11" spans="1:10" x14ac:dyDescent="0.3">
      <c r="C11" t="s">
        <v>27</v>
      </c>
      <c r="D11" t="str">
        <f>IF(ROUND('2-Year Loan'!C16,2)=1850,"Correct","Error")</f>
        <v>Correct</v>
      </c>
      <c r="E11" t="s">
        <v>28</v>
      </c>
      <c r="F11" t="str">
        <f>IF(ROUND('2-Year Loan'!D16,2)=35.46,"Correct","Error")</f>
        <v>Correct</v>
      </c>
      <c r="G11" t="s">
        <v>29</v>
      </c>
      <c r="H11" t="str">
        <f>IF(ROUND('2-Year Loan'!E16,2)=61.43,"Correct","Error")</f>
        <v>Correct</v>
      </c>
      <c r="I11" t="s">
        <v>30</v>
      </c>
      <c r="J11" t="str">
        <f>IF(ROUND('2-Year Loan'!F16,2)=1788.57,"Correct","Error")</f>
        <v>Correct</v>
      </c>
    </row>
    <row r="12" spans="1:10" x14ac:dyDescent="0.3">
      <c r="C12" t="s">
        <v>31</v>
      </c>
      <c r="D12" t="str">
        <f>IF(ROUND('2-Year Loan'!C17,2)=1788.57,"Correct","Error")</f>
        <v>Correct</v>
      </c>
      <c r="E12" t="s">
        <v>46</v>
      </c>
      <c r="F12" t="str">
        <f>IF(ROUND('2-Year Loan'!D17,2)=34.28,"Correct","Error")</f>
        <v>Correct</v>
      </c>
      <c r="G12" t="s">
        <v>60</v>
      </c>
      <c r="H12" t="str">
        <f>IF(ROUND('2-Year Loan'!E17,2)=62.61,"Correct","Error")</f>
        <v>Correct</v>
      </c>
      <c r="I12" t="s">
        <v>74</v>
      </c>
      <c r="J12" t="str">
        <f>IF(ROUND('2-Year Loan'!F17,2)=1725.96,"Correct","Error")</f>
        <v>Correct</v>
      </c>
    </row>
    <row r="13" spans="1:10" x14ac:dyDescent="0.3">
      <c r="C13" t="s">
        <v>32</v>
      </c>
      <c r="D13" t="str">
        <f>IF(ROUND('2-Year Loan'!C18,2)=1725.96,"Correct","Error")</f>
        <v>Correct</v>
      </c>
      <c r="E13" t="s">
        <v>47</v>
      </c>
      <c r="F13" t="str">
        <f>IF(ROUND('2-Year Loan'!D18,2)=33.08,"Correct","Error")</f>
        <v>Correct</v>
      </c>
      <c r="G13" t="s">
        <v>61</v>
      </c>
      <c r="H13" t="str">
        <f>IF(ROUND('2-Year Loan'!E18,2)=63.81,"Correct","Error")</f>
        <v>Correct</v>
      </c>
      <c r="I13" t="s">
        <v>75</v>
      </c>
      <c r="J13" t="str">
        <f>IF(ROUND('2-Year Loan'!F18,2)=1662.15,"Correct","Error")</f>
        <v>Correct</v>
      </c>
    </row>
    <row r="14" spans="1:10" x14ac:dyDescent="0.3">
      <c r="C14" t="s">
        <v>33</v>
      </c>
      <c r="D14" t="str">
        <f>IF(ROUND('2-Year Loan'!C19,2)=1662.15,"Correct","Error")</f>
        <v>Correct</v>
      </c>
      <c r="E14" t="s">
        <v>48</v>
      </c>
      <c r="F14" t="str">
        <f>IF(ROUND('2-Year Loan'!D19,2)=31.86,"Correct","Error")</f>
        <v>Correct</v>
      </c>
      <c r="G14" t="s">
        <v>62</v>
      </c>
      <c r="H14" t="str">
        <f>IF(ROUND('2-Year Loan'!E19,2)=65.03,"Correct","Error")</f>
        <v>Correct</v>
      </c>
      <c r="I14" t="s">
        <v>76</v>
      </c>
      <c r="J14" t="str">
        <f>IF(ROUND('2-Year Loan'!F19,2)=1597.12,"Correct","Error")</f>
        <v>Correct</v>
      </c>
    </row>
    <row r="15" spans="1:10" x14ac:dyDescent="0.3">
      <c r="C15" t="s">
        <v>34</v>
      </c>
      <c r="D15" t="str">
        <f>IF(ROUND('2-Year Loan'!C20,2)=1597.12,"Correct","Error")</f>
        <v>Correct</v>
      </c>
      <c r="E15" t="s">
        <v>49</v>
      </c>
      <c r="F15" t="str">
        <f>IF(ROUND('2-Year Loan'!D20,2)=30.61,"Correct","Error")</f>
        <v>Correct</v>
      </c>
      <c r="G15" t="s">
        <v>63</v>
      </c>
      <c r="H15" t="str">
        <f>IF(ROUND('2-Year Loan'!E20,2)=66.28,"Correct","Error")</f>
        <v>Correct</v>
      </c>
      <c r="I15" t="s">
        <v>77</v>
      </c>
      <c r="J15" t="str">
        <f>IF(ROUND('2-Year Loan'!F20,2)=1530.84,"Correct","Error")</f>
        <v>Correct</v>
      </c>
    </row>
    <row r="16" spans="1:10" x14ac:dyDescent="0.3">
      <c r="C16" t="s">
        <v>35</v>
      </c>
      <c r="D16" t="str">
        <f>IF(ROUND('2-Year Loan'!C21,2)=1530.84,"Correct","Error")</f>
        <v>Correct</v>
      </c>
      <c r="E16" t="s">
        <v>50</v>
      </c>
      <c r="F16" t="str">
        <f>IF(ROUND('2-Year Loan'!D21,2)=29.34,"Correct","Error")</f>
        <v>Correct</v>
      </c>
      <c r="G16" t="s">
        <v>64</v>
      </c>
      <c r="H16" t="str">
        <f>IF(ROUND('2-Year Loan'!E21,2)=67.55,"Correct","Error")</f>
        <v>Correct</v>
      </c>
      <c r="I16" t="s">
        <v>78</v>
      </c>
      <c r="J16" t="str">
        <f>IF(ROUND('2-Year Loan'!F21,2)=1463.29,"Correct","Error")</f>
        <v>Correct</v>
      </c>
    </row>
    <row r="17" spans="1:10" x14ac:dyDescent="0.3">
      <c r="C17" t="s">
        <v>36</v>
      </c>
      <c r="D17" t="str">
        <f>IF(ROUND('2-Year Loan'!C22,2)=1463.29,"Correct","Error")</f>
        <v>Correct</v>
      </c>
      <c r="E17" t="s">
        <v>51</v>
      </c>
      <c r="F17" t="str">
        <f>IF(ROUND('2-Year Loan'!D22,2)=28.05,"Correct","Error")</f>
        <v>Correct</v>
      </c>
      <c r="G17" t="s">
        <v>65</v>
      </c>
      <c r="H17" t="str">
        <f>IF(ROUND('2-Year Loan'!E22,2)=68.84,"Correct","Error")</f>
        <v>Correct</v>
      </c>
      <c r="I17" t="s">
        <v>79</v>
      </c>
      <c r="J17" t="str">
        <f>IF(ROUND('2-Year Loan'!F22,0)=1394,"Correct","Error")</f>
        <v>Correct</v>
      </c>
    </row>
    <row r="18" spans="1:10" x14ac:dyDescent="0.3">
      <c r="C18" t="s">
        <v>37</v>
      </c>
      <c r="D18" t="str">
        <f>IF(ROUND('2-Year Loan'!C23,2)=1394.44,"Correct","Error")</f>
        <v>Correct</v>
      </c>
      <c r="E18" t="s">
        <v>52</v>
      </c>
      <c r="F18" t="str">
        <f>IF(ROUND('2-Year Loan'!D23,2)=26.73,"Correct","Error")</f>
        <v>Correct</v>
      </c>
      <c r="G18" t="s">
        <v>66</v>
      </c>
      <c r="H18" t="str">
        <f>IF(ROUND('2-Year Loan'!E23,2)=70.16,"Correct","Error")</f>
        <v>Correct</v>
      </c>
      <c r="I18" t="s">
        <v>80</v>
      </c>
      <c r="J18" t="str">
        <f>IF(ROUND('2-Year Loan'!F23,2)=1324.28,"Correct","Error")</f>
        <v>Correct</v>
      </c>
    </row>
    <row r="19" spans="1:10" x14ac:dyDescent="0.3">
      <c r="C19" t="s">
        <v>38</v>
      </c>
      <c r="D19" t="str">
        <f>IF(ROUND('2-Year Loan'!C24,2)=1324.28,"Correct","Error")</f>
        <v>Correct</v>
      </c>
      <c r="E19" t="s">
        <v>53</v>
      </c>
      <c r="F19" t="str">
        <f>IF(ROUND('2-Year Loan'!D24,2)=25.38,"Correct","Error")</f>
        <v>Correct</v>
      </c>
      <c r="G19" t="s">
        <v>67</v>
      </c>
      <c r="H19" t="str">
        <f>IF(ROUND('2-Year Loan'!E24,2)=71.51,"Correct","Error")</f>
        <v>Correct</v>
      </c>
      <c r="I19" t="s">
        <v>81</v>
      </c>
      <c r="J19" t="str">
        <f>IF(ROUND('2-Year Loan'!F24,1)=1252.8,"Correct","Error")</f>
        <v>Correct</v>
      </c>
    </row>
    <row r="20" spans="1:10" x14ac:dyDescent="0.3">
      <c r="C20" t="s">
        <v>39</v>
      </c>
      <c r="D20" t="str">
        <f>IF(ROUND('2-Year Loan'!C25,2)=1252.77,"Correct","Error")</f>
        <v>Correct</v>
      </c>
      <c r="E20" t="s">
        <v>54</v>
      </c>
      <c r="F20" t="str">
        <f>IF(ROUND('2-Year Loan'!D25,2)=24.01,"Correct","Error")</f>
        <v>Correct</v>
      </c>
      <c r="G20" t="s">
        <v>68</v>
      </c>
      <c r="H20" t="str">
        <f>IF(ROUND('2-Year Loan'!E25,2)=72.88,"Correct","Error")</f>
        <v>Correct</v>
      </c>
      <c r="I20" t="s">
        <v>82</v>
      </c>
      <c r="J20" t="str">
        <f>IF(ROUND('2-Year Loan'!F25,1)=1179.9,"Correct","Error")</f>
        <v>Correct</v>
      </c>
    </row>
    <row r="21" spans="1:10" x14ac:dyDescent="0.3">
      <c r="C21" t="s">
        <v>40</v>
      </c>
      <c r="D21" t="str">
        <f>IF(ROUND('2-Year Loan'!C26,2)=1179.89,"Correct","Error")</f>
        <v>Correct</v>
      </c>
      <c r="E21" t="s">
        <v>55</v>
      </c>
      <c r="F21" t="str">
        <f>IF(ROUND('2-Year Loan'!D26,2)=22.61,"Correct","Error")</f>
        <v>Correct</v>
      </c>
      <c r="G21" t="s">
        <v>69</v>
      </c>
      <c r="H21" t="str">
        <f>IF(ROUND('2-Year Loan'!E26,2)=74.28,"Correct","Error")</f>
        <v>Correct</v>
      </c>
      <c r="I21" t="s">
        <v>83</v>
      </c>
      <c r="J21" t="str">
        <f>IF(ROUND('2-Year Loan'!F26,1)=1105.6,"Correct","Error")</f>
        <v>Correct</v>
      </c>
    </row>
    <row r="22" spans="1:10" x14ac:dyDescent="0.3">
      <c r="C22" t="s">
        <v>41</v>
      </c>
      <c r="D22" t="str">
        <f>IF(ROUND('2-Year Loan'!C27,2)=1105.61,"Correct","Error")</f>
        <v>Correct</v>
      </c>
      <c r="E22" t="s">
        <v>56</v>
      </c>
      <c r="F22" t="str">
        <f>IF(ROUND('2-Year Loan'!D27,2)=21.19,"Correct","Error")</f>
        <v>Correct</v>
      </c>
      <c r="G22" t="s">
        <v>70</v>
      </c>
      <c r="H22" t="str">
        <f>IF(ROUND('2-Year Loan'!E27,2)=75.7,"Correct","Error")</f>
        <v>Correct</v>
      </c>
      <c r="I22" t="s">
        <v>84</v>
      </c>
      <c r="J22" t="str">
        <f>IF(ROUND('2-Year Loan'!F27,1)=1029.9,"Correct","Error")</f>
        <v>Correct</v>
      </c>
    </row>
    <row r="23" spans="1:10" x14ac:dyDescent="0.3">
      <c r="C23" t="s">
        <v>42</v>
      </c>
      <c r="D23" t="str">
        <f>IF(ROUND('2-Year Loan'!C28,2)=1029.92,"Correct","Error")</f>
        <v>Correct</v>
      </c>
      <c r="E23" t="s">
        <v>57</v>
      </c>
      <c r="F23" t="str">
        <f>IF(ROUND('2-Year Loan'!D28,2)=19.74,"Correct","Error")</f>
        <v>Correct</v>
      </c>
      <c r="G23" t="s">
        <v>71</v>
      </c>
      <c r="H23" t="str">
        <f>IF(ROUND('2-Year Loan'!E28,2)=77.15,"Correct","Error")</f>
        <v>Correct</v>
      </c>
      <c r="I23" t="s">
        <v>85</v>
      </c>
      <c r="J23" t="str">
        <f>IF(ROUND('2-Year Loan'!F28,1)=952.8,"Correct","Error")</f>
        <v>Correct</v>
      </c>
    </row>
    <row r="24" spans="1:10" x14ac:dyDescent="0.3">
      <c r="C24" t="s">
        <v>43</v>
      </c>
      <c r="D24" t="str">
        <f>IF(ROUND('2-Year Loan'!C29,2)=952.76,"Correct","Error")</f>
        <v>Correct</v>
      </c>
      <c r="E24" t="s">
        <v>58</v>
      </c>
      <c r="F24" t="str">
        <f>IF(ROUND('2-Year Loan'!D29,2)=18.26,"Correct","Error")</f>
        <v>Correct</v>
      </c>
      <c r="G24" t="s">
        <v>72</v>
      </c>
      <c r="H24" t="str">
        <f>IF(ROUND('2-Year Loan'!E29,2)=78.63,"Correct","Error")</f>
        <v>Correct</v>
      </c>
      <c r="I24" t="s">
        <v>86</v>
      </c>
      <c r="J24" t="str">
        <f>IF(ROUND('2-Year Loan'!F29,1)=874.1,"Correct","Error")</f>
        <v>Correct</v>
      </c>
    </row>
    <row r="25" spans="1:10" x14ac:dyDescent="0.3">
      <c r="C25" t="s">
        <v>44</v>
      </c>
      <c r="D25" t="str">
        <f>IF(ROUND('2-Year Loan'!C30,2)=874.14,"Correct","Error")</f>
        <v>Correct</v>
      </c>
      <c r="E25" t="s">
        <v>59</v>
      </c>
      <c r="F25" t="str">
        <f>IF(ROUND('2-Year Loan'!D30,2)=16.75,"Correct","Error")</f>
        <v>Correct</v>
      </c>
      <c r="G25" t="s">
        <v>73</v>
      </c>
      <c r="H25" t="str">
        <f>IF(ROUND('2-Year Loan'!E30,2)=80.14,"Correct","Error")</f>
        <v>Correct</v>
      </c>
      <c r="I25" t="s">
        <v>87</v>
      </c>
      <c r="J25" t="str">
        <f>IF(ROUND('2-Year Loan'!F30,1)=794,"Correct","Error")</f>
        <v>Correct</v>
      </c>
    </row>
    <row r="26" spans="1:10" ht="93.75" customHeight="1" x14ac:dyDescent="0.3">
      <c r="C26" s="22" t="s">
        <v>88</v>
      </c>
      <c r="D26" s="22"/>
      <c r="E26" s="22" t="s">
        <v>88</v>
      </c>
      <c r="F26" s="22"/>
      <c r="G26" s="22" t="s">
        <v>88</v>
      </c>
      <c r="H26" s="22"/>
      <c r="I26" s="22" t="s">
        <v>45</v>
      </c>
    </row>
    <row r="28" spans="1:10" x14ac:dyDescent="0.3">
      <c r="A28" t="s">
        <v>89</v>
      </c>
      <c r="B28" t="str">
        <f>IF('4-Year Loan'!C5-1800=0,"Correct","Error")</f>
        <v>Correct</v>
      </c>
    </row>
    <row r="29" spans="1:10" x14ac:dyDescent="0.3">
      <c r="A29" t="s">
        <v>90</v>
      </c>
      <c r="B29" t="str">
        <f>IF('4-Year Loan'!C6-80=0,"Correct","Error")</f>
        <v>Correct</v>
      </c>
    </row>
    <row r="30" spans="1:10" x14ac:dyDescent="0.3">
      <c r="A30" t="s">
        <v>91</v>
      </c>
      <c r="B30" t="str">
        <f>IF('4-Year Loan'!C7-1880=0,"Correct","Error")</f>
        <v>Correct</v>
      </c>
    </row>
    <row r="31" spans="1:10" x14ac:dyDescent="0.3">
      <c r="A31" t="s">
        <v>92</v>
      </c>
      <c r="B31" t="str">
        <f>IF('4-Year Loan'!C8-0.31=0,"Correct","Error")</f>
        <v>Correct</v>
      </c>
    </row>
    <row r="32" spans="1:10" x14ac:dyDescent="0.3">
      <c r="A32" t="s">
        <v>93</v>
      </c>
      <c r="B32" t="str">
        <f>IF('4-Year Loan'!C9-48=0,"Correct","Error")</f>
        <v>Correct</v>
      </c>
    </row>
    <row r="33" spans="1:10" x14ac:dyDescent="0.3">
      <c r="A33" t="s">
        <v>94</v>
      </c>
      <c r="B33" t="str">
        <f>IF(ROUND('4-Year Loan'!C10,2)=68.79,"Correct","Error")</f>
        <v>Correct</v>
      </c>
    </row>
    <row r="34" spans="1:10" x14ac:dyDescent="0.3">
      <c r="A34" t="s">
        <v>95</v>
      </c>
      <c r="B34" t="str">
        <f>IF(ROUND('4-Year Loan'!C11,1)=3301.9,"Correct","Error")</f>
        <v>Correct</v>
      </c>
    </row>
    <row r="35" spans="1:10" x14ac:dyDescent="0.3">
      <c r="A35" t="s">
        <v>96</v>
      </c>
      <c r="B35" t="str">
        <f>IF(ROUND('4-Year Loan'!C12,1)=1421.9,"Correct","Error")</f>
        <v>Correct</v>
      </c>
    </row>
    <row r="36" spans="1:10" x14ac:dyDescent="0.3">
      <c r="C36" t="s">
        <v>97</v>
      </c>
      <c r="D36" t="str">
        <f>IF(ROUND('4-Year Loan'!C16,2)=1880,"Correct","Error")</f>
        <v>Correct</v>
      </c>
      <c r="E36" t="s">
        <v>98</v>
      </c>
      <c r="F36" t="str">
        <f>IF(ROUND('4-Year Loan'!D16,2)=48.57,"Correct","Error")</f>
        <v>Correct</v>
      </c>
      <c r="G36" t="s">
        <v>99</v>
      </c>
      <c r="H36" t="str">
        <f>IF(ROUND('4-Year Loan'!E16,2)=20.22,"Correct","Error")</f>
        <v>Correct</v>
      </c>
      <c r="I36" t="s">
        <v>100</v>
      </c>
      <c r="J36" t="str">
        <f>IF(ROUND('4-Year Loan'!F16,1)=1859.8,"Correct","Error")</f>
        <v>Correct</v>
      </c>
    </row>
    <row r="37" spans="1:10" x14ac:dyDescent="0.3">
      <c r="C37" t="s">
        <v>101</v>
      </c>
      <c r="D37" t="str">
        <f>IF(ROUND('4-Year Loan'!C17,2)=1859.78,"Correct","Error")</f>
        <v>Correct</v>
      </c>
      <c r="E37" t="s">
        <v>102</v>
      </c>
      <c r="F37" t="str">
        <f>IF(ROUND('4-Year Loan'!D17,2)=48.04,"Correct","Error")</f>
        <v>Correct</v>
      </c>
      <c r="G37" t="s">
        <v>103</v>
      </c>
      <c r="H37" t="str">
        <f>IF(ROUND('4-Year Loan'!E17,2)=20.74,"Correct","Error")</f>
        <v>Correct</v>
      </c>
      <c r="I37" t="s">
        <v>104</v>
      </c>
      <c r="J37" t="str">
        <f>IF(ROUND('4-Year Loan'!F17,1)=1839,"Correct","Error")</f>
        <v>Correct</v>
      </c>
    </row>
    <row r="38" spans="1:10" x14ac:dyDescent="0.3">
      <c r="C38" t="s">
        <v>105</v>
      </c>
      <c r="D38" t="str">
        <f>IF(ROUND('4-Year Loan'!C18,2)=1839.03,"Correct","Error")</f>
        <v>Correct</v>
      </c>
      <c r="E38" t="s">
        <v>106</v>
      </c>
      <c r="F38" t="str">
        <f>IF(ROUND('4-Year Loan'!D18,2)=47.51,"Correct","Error")</f>
        <v>Correct</v>
      </c>
      <c r="G38" t="s">
        <v>107</v>
      </c>
      <c r="H38" t="str">
        <f>IF(ROUND('4-Year Loan'!E18,2)=21.28,"Correct","Error")</f>
        <v>Correct</v>
      </c>
      <c r="I38" t="s">
        <v>108</v>
      </c>
      <c r="J38" t="str">
        <f>IF(ROUND('4-Year Loan'!F18,1)=1817.8,"Correct","Error")</f>
        <v>Correct</v>
      </c>
    </row>
    <row r="39" spans="1:10" x14ac:dyDescent="0.3">
      <c r="C39" t="s">
        <v>109</v>
      </c>
      <c r="D39" t="str">
        <f>IF(ROUND('4-Year Loan'!C19,2)=1817.75,"Correct","Error")</f>
        <v>Correct</v>
      </c>
      <c r="E39" t="s">
        <v>110</v>
      </c>
      <c r="F39" t="str">
        <f>IF(ROUND('4-Year Loan'!D19,2)=46.96,"Correct","Error")</f>
        <v>Correct</v>
      </c>
      <c r="G39" t="s">
        <v>111</v>
      </c>
      <c r="H39" t="str">
        <f>IF(ROUND('4-Year Loan'!E19,2)=21.83,"Correct","Error")</f>
        <v>Correct</v>
      </c>
      <c r="I39" t="s">
        <v>112</v>
      </c>
      <c r="J39" t="str">
        <f>IF(ROUND('4-Year Loan'!F19,1)=1795.9,"Correct","Error")</f>
        <v>Correct</v>
      </c>
    </row>
    <row r="40" spans="1:10" x14ac:dyDescent="0.3">
      <c r="C40" t="s">
        <v>113</v>
      </c>
      <c r="D40" t="str">
        <f>IF(ROUND('4-Year Loan'!C20,2)=1795.92,"Correct","Error")</f>
        <v>Correct</v>
      </c>
      <c r="E40" t="s">
        <v>114</v>
      </c>
      <c r="F40" t="str">
        <f>IF(ROUND('4-Year Loan'!D20,2)=46.39,"Correct","Error")</f>
        <v>Correct</v>
      </c>
      <c r="G40" t="s">
        <v>115</v>
      </c>
      <c r="H40" t="str">
        <f>IF(ROUND('4-Year Loan'!E20,2)=22.39,"Correct","Error")</f>
        <v>Correct</v>
      </c>
      <c r="I40" t="s">
        <v>116</v>
      </c>
      <c r="J40" t="str">
        <f>IF(ROUND('4-Year Loan'!F20,1)=1773.5,"Correct","Error")</f>
        <v>Correct</v>
      </c>
    </row>
    <row r="41" spans="1:10" x14ac:dyDescent="0.3">
      <c r="C41" t="s">
        <v>117</v>
      </c>
      <c r="D41" t="str">
        <f>IF(ROUND('4-Year Loan'!C21,2)=1773.53,"Correct","Error")</f>
        <v>Correct</v>
      </c>
      <c r="E41" t="s">
        <v>118</v>
      </c>
      <c r="F41" t="str">
        <f>IF(ROUND('4-Year Loan'!D21,2)=45.82,"Correct","Error")</f>
        <v>Correct</v>
      </c>
      <c r="G41" t="s">
        <v>119</v>
      </c>
      <c r="H41" t="str">
        <f>IF(ROUND('4-Year Loan'!E21,2)=22.97,"Correct","Error")</f>
        <v>Correct</v>
      </c>
      <c r="I41" t="s">
        <v>120</v>
      </c>
      <c r="J41" t="str">
        <f>IF(ROUND('4-Year Loan'!F21,1)=1750.6,"Correct","Error")</f>
        <v>Correct</v>
      </c>
    </row>
    <row r="42" spans="1:10" x14ac:dyDescent="0.3">
      <c r="C42" t="s">
        <v>121</v>
      </c>
      <c r="D42" t="str">
        <f>IF(ROUND('4-Year Loan'!C22,2)=1750.55,"Correct","Error")</f>
        <v>Correct</v>
      </c>
      <c r="E42" t="s">
        <v>122</v>
      </c>
      <c r="F42" t="str">
        <f>IF(ROUND('4-Year Loan'!D22,2)=45.22,"Correct","Error")</f>
        <v>Correct</v>
      </c>
      <c r="G42" t="s">
        <v>123</v>
      </c>
      <c r="H42" t="str">
        <f>IF(ROUND('4-Year Loan'!E22,2)=23.57,"Correct","Error")</f>
        <v>Correct</v>
      </c>
      <c r="I42" t="s">
        <v>124</v>
      </c>
      <c r="J42" t="str">
        <f>IF(ROUND('4-Year Loan'!F22,1)=1727,"Correct","Error")</f>
        <v>Correct</v>
      </c>
    </row>
    <row r="43" spans="1:10" x14ac:dyDescent="0.3">
      <c r="C43" t="s">
        <v>125</v>
      </c>
      <c r="D43" t="str">
        <f>IF(ROUND('4-Year Loan'!C23,2)=1726.99,"Correct","Error")</f>
        <v>Correct</v>
      </c>
      <c r="E43" t="s">
        <v>126</v>
      </c>
      <c r="F43" t="str">
        <f>IF(ROUND('4-Year Loan'!D23,2)=44.61,"Correct","Error")</f>
        <v>Correct</v>
      </c>
      <c r="G43" t="s">
        <v>127</v>
      </c>
      <c r="H43" t="str">
        <f>IF(ROUND('4-Year Loan'!E23,2)=24.18,"Correct","Error")</f>
        <v>Correct</v>
      </c>
      <c r="I43" t="s">
        <v>128</v>
      </c>
      <c r="J43" t="str">
        <f>IF(ROUND('4-Year Loan'!F23,1)=1702.8,"Correct","Error")</f>
        <v>Correct</v>
      </c>
    </row>
    <row r="44" spans="1:10" x14ac:dyDescent="0.3">
      <c r="C44" t="s">
        <v>129</v>
      </c>
      <c r="D44" t="str">
        <f>IF(ROUND('4-Year Loan'!C24,2)=1702.81,"Correct","Error")</f>
        <v>Correct</v>
      </c>
      <c r="E44" t="s">
        <v>130</v>
      </c>
      <c r="F44" t="str">
        <f>IF(ROUND('4-Year Loan'!D24,2)=43.99,"Correct","Error")</f>
        <v>Correct</v>
      </c>
      <c r="G44" t="s">
        <v>131</v>
      </c>
      <c r="H44" t="str">
        <f>IF(ROUND('4-Year Loan'!E24,2)=24.8,"Correct","Error")</f>
        <v>Correct</v>
      </c>
      <c r="I44" t="s">
        <v>132</v>
      </c>
      <c r="J44" t="str">
        <f>IF(ROUND('4-Year Loan'!F24,1)=1678,"Correct","Error")</f>
        <v>Correct</v>
      </c>
    </row>
    <row r="45" spans="1:10" x14ac:dyDescent="0.3">
      <c r="C45" t="s">
        <v>133</v>
      </c>
      <c r="D45" t="str">
        <f>IF(ROUND('4-Year Loan'!C25,2)=1678.01,"Correct","Error")</f>
        <v>Correct</v>
      </c>
      <c r="E45" t="s">
        <v>134</v>
      </c>
      <c r="F45" t="str">
        <f>IF(ROUND('4-Year Loan'!D25,2)=43.35,"Correct","Error")</f>
        <v>Correct</v>
      </c>
      <c r="G45" t="s">
        <v>135</v>
      </c>
      <c r="H45" t="str">
        <f>IF(ROUND('4-Year Loan'!E25,2)=25.44,"Correct","Error")</f>
        <v>Correct</v>
      </c>
      <c r="I45" t="s">
        <v>136</v>
      </c>
      <c r="J45" t="str">
        <f>IF(ROUND('4-Year Loan'!F25,1)=1652.6,"Correct","Error")</f>
        <v>Correct</v>
      </c>
    </row>
    <row r="46" spans="1:10" x14ac:dyDescent="0.3">
      <c r="C46" t="s">
        <v>137</v>
      </c>
      <c r="D46" t="str">
        <f>IF(ROUND('4-Year Loan'!C26,2)=1652.57,"Correct","Error")</f>
        <v>Correct</v>
      </c>
      <c r="E46" t="s">
        <v>138</v>
      </c>
      <c r="F46" t="str">
        <f>IF(ROUND('4-Year Loan'!D26,2)=42.69,"Correct","Error")</f>
        <v>Correct</v>
      </c>
      <c r="G46" t="s">
        <v>139</v>
      </c>
      <c r="H46" t="str">
        <f>IF(ROUND('4-Year Loan'!E26,2)=26.1,"Correct","Error")</f>
        <v>Correct</v>
      </c>
      <c r="I46" t="s">
        <v>140</v>
      </c>
      <c r="J46" t="str">
        <f>IF(ROUND('4-Year Loan'!F26,1)=1626.5,"Correct","Error")</f>
        <v>Correct</v>
      </c>
    </row>
    <row r="47" spans="1:10" x14ac:dyDescent="0.3">
      <c r="C47" t="s">
        <v>141</v>
      </c>
      <c r="D47" t="str">
        <f>IF(ROUND('4-Year Loan'!C27,2)=1626.47,"Correct","Error")</f>
        <v>Correct</v>
      </c>
      <c r="E47" t="s">
        <v>142</v>
      </c>
      <c r="F47" t="str">
        <f>IF(ROUND('4-Year Loan'!D27,2)=42.02,"Correct","Error")</f>
        <v>Correct</v>
      </c>
      <c r="G47" t="s">
        <v>143</v>
      </c>
      <c r="H47" t="str">
        <f>IF(ROUND('4-Year Loan'!E27,2)=26.77,"Correct","Error")</f>
        <v>Correct</v>
      </c>
      <c r="I47" t="s">
        <v>144</v>
      </c>
      <c r="J47" t="str">
        <f>IF(ROUND('4-Year Loan'!F27,1)=1599.7,"Correct","Error")</f>
        <v>Correct</v>
      </c>
    </row>
    <row r="48" spans="1:10" x14ac:dyDescent="0.3">
      <c r="C48" t="s">
        <v>145</v>
      </c>
      <c r="D48" t="str">
        <f>IF(ROUND('4-Year Loan'!C28,2)=1599.7,"Correct","Error")</f>
        <v>Correct</v>
      </c>
      <c r="E48" t="s">
        <v>146</v>
      </c>
      <c r="F48" t="str">
        <f>IF(ROUND('4-Year Loan'!D28,2)=41.33,"Correct","Error")</f>
        <v>Correct</v>
      </c>
      <c r="G48" t="s">
        <v>147</v>
      </c>
      <c r="H48" t="str">
        <f>IF(ROUND('4-Year Loan'!E28,2)=27.46,"Correct","Error")</f>
        <v>Correct</v>
      </c>
      <c r="I48" t="s">
        <v>148</v>
      </c>
      <c r="J48" t="str">
        <f>IF(ROUND('4-Year Loan'!F28,1)=1572.2,"Correct","Error")</f>
        <v>Correct</v>
      </c>
    </row>
    <row r="49" spans="3:10" x14ac:dyDescent="0.3">
      <c r="C49" t="s">
        <v>149</v>
      </c>
      <c r="D49" t="str">
        <f>IF(ROUND('4-Year Loan'!C29,2)=1572.24,"Correct","Error")</f>
        <v>Correct</v>
      </c>
      <c r="E49" t="s">
        <v>150</v>
      </c>
      <c r="F49" t="str">
        <f>IF(ROUND('4-Year Loan'!D29,2)=40.62,"Correct","Error")</f>
        <v>Correct</v>
      </c>
      <c r="G49" t="s">
        <v>151</v>
      </c>
      <c r="H49" t="str">
        <f>IF(ROUND('4-Year Loan'!E29,2)=28.17,"Correct","Error")</f>
        <v>Correct</v>
      </c>
      <c r="I49" t="s">
        <v>152</v>
      </c>
      <c r="J49" t="str">
        <f>IF(ROUND('4-Year Loan'!F29,1)=1544.1,"Correct","Error")</f>
        <v>Correct</v>
      </c>
    </row>
    <row r="50" spans="3:10" x14ac:dyDescent="0.3">
      <c r="C50" t="s">
        <v>153</v>
      </c>
      <c r="D50" t="str">
        <f>IF(ROUND('4-Year Loan'!C30,2)=1544.07,"Correct","Error")</f>
        <v>Correct</v>
      </c>
      <c r="E50" t="s">
        <v>154</v>
      </c>
      <c r="F50" t="str">
        <f>IF(ROUND('4-Year Loan'!D30,2)=39.89,"Correct","Error")</f>
        <v>Correct</v>
      </c>
      <c r="G50" t="s">
        <v>155</v>
      </c>
      <c r="H50" t="str">
        <f>IF(ROUND('4-Year Loan'!E30,2)=28.9,"Correct","Error")</f>
        <v>Correct</v>
      </c>
      <c r="I50" t="s">
        <v>156</v>
      </c>
      <c r="J50" t="str">
        <f>IF(ROUND('4-Year Loan'!F30,1)=1515.2,"Correct","Error")</f>
        <v>Correct</v>
      </c>
    </row>
    <row r="51" spans="3:10" ht="93.6" x14ac:dyDescent="0.3">
      <c r="C51" s="22" t="s">
        <v>157</v>
      </c>
      <c r="D51" s="22"/>
      <c r="E51" s="22" t="s">
        <v>157</v>
      </c>
      <c r="F51" s="22"/>
      <c r="G51" s="22" t="s">
        <v>157</v>
      </c>
      <c r="H51" s="22"/>
      <c r="I51" s="22" t="s">
        <v>158</v>
      </c>
    </row>
  </sheetData>
  <sheetProtection algorithmName="SHA-512" hashValue="HulaIVayG3XmliLF4ZUvfavnWS6YST7MDtZkttMpwdfLtOpZ+DqyCxGSS18G8LVspRBAoiAVnDWSYUlq2QqF2A==" saltValue="uGIU+hio98PcIiJCclQtJQ==" spinCount="100000" sheet="1" objects="1" scenarios="1" selectLockedCells="1" selectUnlockedCells="1"/>
  <mergeCells count="1">
    <mergeCell ref="A1:C1"/>
  </mergeCells>
  <phoneticPr fontId="5" type="noConversion"/>
  <conditionalFormatting sqref="A3:J52">
    <cfRule type="containsText" dxfId="3" priority="1" operator="containsText" text="Correct">
      <formula>NOT(ISERROR(SEARCH("Correct",A3)))</formula>
    </cfRule>
  </conditionalFormatting>
  <conditionalFormatting sqref="A3:K54">
    <cfRule type="containsText" dxfId="2" priority="2" operator="containsText" text="Error">
      <formula>NOT(ISERROR(SEARCH("Error",A3)))</formula>
    </cfRule>
  </conditionalFormatting>
  <conditionalFormatting sqref="F9">
    <cfRule type="containsText" dxfId="1" priority="3" operator="containsText" text="Error">
      <formula>NOT(ISERROR(SEARCH("Error",F9)))</formula>
    </cfRule>
  </conditionalFormatting>
  <conditionalFormatting sqref="J26">
    <cfRule type="containsText" dxfId="0" priority="4" operator="containsText" text="Error">
      <formula>NOT(ISERROR(SEARCH("Error",J26)))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72"/>
  <sheetViews>
    <sheetView topLeftCell="A39" zoomScaleNormal="100" workbookViewId="0">
      <selection activeCell="E23" sqref="E23"/>
    </sheetView>
  </sheetViews>
  <sheetFormatPr defaultColWidth="11" defaultRowHeight="15.6" x14ac:dyDescent="0.3"/>
  <cols>
    <col min="1" max="1" width="3.19921875" customWidth="1"/>
    <col min="2" max="2" width="17.5" customWidth="1"/>
    <col min="3" max="5" width="16.796875" customWidth="1"/>
    <col min="6" max="6" width="16.796875" style="3" customWidth="1"/>
    <col min="7" max="7" width="10.796875" style="4" customWidth="1"/>
    <col min="8" max="8" width="10.796875" style="1" customWidth="1"/>
    <col min="9" max="9" width="10.796875" style="1"/>
    <col min="10" max="11" width="10.796875" style="1" customWidth="1"/>
  </cols>
  <sheetData>
    <row r="2" spans="2:11" ht="23.4" x14ac:dyDescent="0.45">
      <c r="B2" s="5" t="s">
        <v>17</v>
      </c>
      <c r="D2" s="12" t="s">
        <v>18</v>
      </c>
    </row>
    <row r="3" spans="2:11" ht="16.05" customHeight="1" x14ac:dyDescent="0.3">
      <c r="F3" s="1"/>
    </row>
    <row r="4" spans="2:11" ht="16.05" customHeight="1" x14ac:dyDescent="0.35">
      <c r="B4" s="23" t="s">
        <v>3</v>
      </c>
      <c r="C4" s="23"/>
      <c r="F4"/>
      <c r="G4"/>
      <c r="H4"/>
      <c r="I4"/>
      <c r="J4"/>
      <c r="K4"/>
    </row>
    <row r="5" spans="2:11" ht="16.05" customHeight="1" x14ac:dyDescent="0.3">
      <c r="B5" s="7" t="s">
        <v>4</v>
      </c>
      <c r="C5" s="13"/>
      <c r="F5"/>
      <c r="G5"/>
      <c r="H5"/>
      <c r="I5"/>
      <c r="J5"/>
      <c r="K5"/>
    </row>
    <row r="6" spans="2:11" ht="16.05" customHeight="1" x14ac:dyDescent="0.3">
      <c r="B6" s="7" t="s">
        <v>5</v>
      </c>
      <c r="C6" s="13"/>
      <c r="F6"/>
      <c r="G6"/>
      <c r="H6"/>
      <c r="I6"/>
      <c r="J6"/>
      <c r="K6"/>
    </row>
    <row r="7" spans="2:11" ht="16.05" customHeight="1" x14ac:dyDescent="0.3">
      <c r="B7" s="7" t="s">
        <v>6</v>
      </c>
      <c r="C7" s="13"/>
      <c r="F7"/>
      <c r="G7"/>
      <c r="H7"/>
      <c r="I7"/>
      <c r="J7"/>
      <c r="K7"/>
    </row>
    <row r="8" spans="2:11" ht="16.05" customHeight="1" x14ac:dyDescent="0.3">
      <c r="B8" s="7" t="s">
        <v>7</v>
      </c>
      <c r="C8" s="8"/>
      <c r="F8"/>
      <c r="G8" s="6"/>
      <c r="H8"/>
      <c r="I8"/>
      <c r="J8"/>
      <c r="K8"/>
    </row>
    <row r="9" spans="2:11" ht="16.05" customHeight="1" x14ac:dyDescent="0.3">
      <c r="B9" s="7" t="s">
        <v>8</v>
      </c>
      <c r="C9" s="11"/>
      <c r="F9"/>
      <c r="G9" s="6"/>
      <c r="H9"/>
      <c r="I9"/>
      <c r="J9"/>
      <c r="K9"/>
    </row>
    <row r="10" spans="2:11" ht="16.05" customHeight="1" x14ac:dyDescent="0.3">
      <c r="B10" s="7" t="s">
        <v>9</v>
      </c>
      <c r="C10" s="13"/>
      <c r="F10"/>
      <c r="G10" s="6"/>
      <c r="H10"/>
      <c r="I10"/>
      <c r="J10"/>
      <c r="K10"/>
    </row>
    <row r="11" spans="2:11" ht="16.05" customHeight="1" x14ac:dyDescent="0.3">
      <c r="B11" s="7" t="s">
        <v>10</v>
      </c>
      <c r="C11" s="13"/>
      <c r="H11"/>
      <c r="I11"/>
      <c r="J11"/>
      <c r="K11"/>
    </row>
    <row r="12" spans="2:11" ht="16.05" customHeight="1" x14ac:dyDescent="0.3">
      <c r="B12" s="7" t="s">
        <v>11</v>
      </c>
      <c r="C12" s="13"/>
      <c r="F12"/>
      <c r="G12"/>
      <c r="H12"/>
      <c r="I12"/>
      <c r="J12"/>
      <c r="K12"/>
    </row>
    <row r="13" spans="2:11" ht="16.05" customHeight="1" x14ac:dyDescent="0.3">
      <c r="C13" s="6"/>
      <c r="F13"/>
      <c r="G13"/>
      <c r="H13"/>
      <c r="I13"/>
      <c r="J13"/>
      <c r="K13"/>
    </row>
    <row r="14" spans="2:11" ht="16.05" customHeight="1" x14ac:dyDescent="0.35">
      <c r="B14" s="24" t="s">
        <v>12</v>
      </c>
      <c r="C14" s="24"/>
      <c r="D14" s="9"/>
      <c r="E14" s="10"/>
      <c r="F14"/>
      <c r="G14"/>
      <c r="H14"/>
      <c r="I14"/>
      <c r="J14"/>
      <c r="K14"/>
    </row>
    <row r="15" spans="2:11" ht="16.05" customHeight="1" x14ac:dyDescent="0.3">
      <c r="B15" s="2" t="s">
        <v>0</v>
      </c>
      <c r="C15" s="2" t="s">
        <v>13</v>
      </c>
      <c r="D15" s="2" t="s">
        <v>14</v>
      </c>
      <c r="E15" s="2" t="s">
        <v>15</v>
      </c>
      <c r="F15" s="2" t="s">
        <v>16</v>
      </c>
      <c r="G15"/>
      <c r="H15"/>
      <c r="I15"/>
      <c r="J15"/>
      <c r="K15"/>
    </row>
    <row r="16" spans="2:11" ht="16.05" customHeight="1" x14ac:dyDescent="0.3">
      <c r="B16" s="2">
        <v>1</v>
      </c>
      <c r="C16" s="13"/>
      <c r="D16" s="13"/>
      <c r="E16" s="13"/>
      <c r="F16" s="13"/>
      <c r="G16"/>
      <c r="H16"/>
      <c r="I16"/>
      <c r="J16"/>
      <c r="K16"/>
    </row>
    <row r="17" spans="2:11" ht="16.05" customHeight="1" x14ac:dyDescent="0.3">
      <c r="B17" s="2">
        <v>2</v>
      </c>
      <c r="C17" s="13"/>
      <c r="D17" s="13"/>
      <c r="E17" s="13"/>
      <c r="F17" s="13"/>
      <c r="G17"/>
      <c r="H17"/>
      <c r="I17"/>
      <c r="J17"/>
      <c r="K17"/>
    </row>
    <row r="18" spans="2:11" ht="16.05" customHeight="1" x14ac:dyDescent="0.3">
      <c r="B18" s="2">
        <v>3</v>
      </c>
      <c r="C18" s="13"/>
      <c r="D18" s="13"/>
      <c r="E18" s="13"/>
      <c r="F18" s="13"/>
      <c r="G18"/>
      <c r="H18"/>
      <c r="I18"/>
      <c r="J18"/>
      <c r="K18"/>
    </row>
    <row r="19" spans="2:11" ht="16.05" customHeight="1" x14ac:dyDescent="0.3">
      <c r="B19" s="2">
        <v>4</v>
      </c>
      <c r="C19" s="13"/>
      <c r="D19" s="13"/>
      <c r="E19" s="13"/>
      <c r="F19" s="13"/>
      <c r="G19"/>
      <c r="H19"/>
      <c r="I19"/>
      <c r="J19"/>
      <c r="K19"/>
    </row>
    <row r="20" spans="2:11" ht="16.05" customHeight="1" x14ac:dyDescent="0.3">
      <c r="B20" s="2">
        <v>5</v>
      </c>
      <c r="C20" s="13"/>
      <c r="D20" s="13"/>
      <c r="E20" s="13"/>
      <c r="F20" s="13"/>
      <c r="G20"/>
      <c r="H20"/>
      <c r="I20"/>
      <c r="J20"/>
      <c r="K20"/>
    </row>
    <row r="21" spans="2:11" ht="16.05" customHeight="1" x14ac:dyDescent="0.3">
      <c r="F21"/>
      <c r="G21"/>
      <c r="H21"/>
      <c r="I21"/>
      <c r="J21"/>
      <c r="K21"/>
    </row>
    <row r="22" spans="2:11" x14ac:dyDescent="0.3">
      <c r="F22"/>
      <c r="G22"/>
      <c r="H22"/>
      <c r="I22"/>
      <c r="J22"/>
      <c r="K22"/>
    </row>
    <row r="23" spans="2:11" x14ac:dyDescent="0.3">
      <c r="F23"/>
      <c r="G23"/>
      <c r="H23"/>
      <c r="I23"/>
      <c r="J23"/>
      <c r="K23"/>
    </row>
    <row r="24" spans="2:11" x14ac:dyDescent="0.3">
      <c r="F24"/>
      <c r="G24"/>
      <c r="H24"/>
      <c r="I24"/>
      <c r="J24"/>
      <c r="K24"/>
    </row>
    <row r="25" spans="2:11" x14ac:dyDescent="0.3">
      <c r="F25"/>
      <c r="G25"/>
      <c r="H25"/>
      <c r="I25"/>
      <c r="J25"/>
      <c r="K25"/>
    </row>
    <row r="26" spans="2:11" x14ac:dyDescent="0.3">
      <c r="F26"/>
      <c r="G26"/>
      <c r="H26"/>
      <c r="I26"/>
      <c r="J26"/>
      <c r="K26"/>
    </row>
    <row r="27" spans="2:11" x14ac:dyDescent="0.3">
      <c r="F27"/>
      <c r="G27"/>
      <c r="H27"/>
      <c r="I27"/>
      <c r="J27"/>
      <c r="K27"/>
    </row>
    <row r="28" spans="2:11" x14ac:dyDescent="0.3">
      <c r="F28"/>
      <c r="G28"/>
      <c r="H28"/>
      <c r="I28"/>
      <c r="J28"/>
      <c r="K28"/>
    </row>
    <row r="29" spans="2:11" x14ac:dyDescent="0.3">
      <c r="F29"/>
      <c r="G29"/>
      <c r="H29"/>
      <c r="I29"/>
      <c r="J29"/>
      <c r="K29"/>
    </row>
    <row r="30" spans="2:11" x14ac:dyDescent="0.3">
      <c r="F30"/>
      <c r="G30"/>
      <c r="H30"/>
      <c r="I30"/>
      <c r="J30"/>
      <c r="K30"/>
    </row>
    <row r="31" spans="2:11" x14ac:dyDescent="0.3">
      <c r="F31"/>
      <c r="G31"/>
      <c r="H31"/>
      <c r="I31"/>
      <c r="J31"/>
      <c r="K31"/>
    </row>
    <row r="32" spans="2:11" x14ac:dyDescent="0.3">
      <c r="F32"/>
      <c r="G32"/>
      <c r="H32"/>
      <c r="I32"/>
      <c r="J32"/>
      <c r="K32"/>
    </row>
    <row r="33" spans="6:11" x14ac:dyDescent="0.3">
      <c r="F33"/>
      <c r="G33"/>
      <c r="H33"/>
      <c r="I33"/>
      <c r="J33"/>
      <c r="K33"/>
    </row>
    <row r="34" spans="6:11" x14ac:dyDescent="0.3">
      <c r="F34" s="1"/>
    </row>
    <row r="35" spans="6:11" x14ac:dyDescent="0.3">
      <c r="F35" s="1"/>
    </row>
    <row r="36" spans="6:11" x14ac:dyDescent="0.3">
      <c r="F36" s="1"/>
    </row>
    <row r="37" spans="6:11" x14ac:dyDescent="0.3">
      <c r="F37" s="1"/>
    </row>
    <row r="38" spans="6:11" x14ac:dyDescent="0.3">
      <c r="F38" s="1"/>
    </row>
    <row r="39" spans="6:11" x14ac:dyDescent="0.3">
      <c r="F39" s="1"/>
    </row>
    <row r="40" spans="6:11" x14ac:dyDescent="0.3">
      <c r="F40" s="1"/>
    </row>
    <row r="41" spans="6:11" x14ac:dyDescent="0.3">
      <c r="F41" s="1"/>
    </row>
    <row r="42" spans="6:11" x14ac:dyDescent="0.3">
      <c r="F42" s="1"/>
    </row>
    <row r="43" spans="6:11" x14ac:dyDescent="0.3">
      <c r="F43" s="1"/>
    </row>
    <row r="44" spans="6:11" x14ac:dyDescent="0.3">
      <c r="F44" s="1"/>
    </row>
    <row r="45" spans="6:11" x14ac:dyDescent="0.3">
      <c r="F45" s="1"/>
    </row>
    <row r="46" spans="6:11" x14ac:dyDescent="0.3">
      <c r="F46" s="1"/>
    </row>
    <row r="47" spans="6:11" x14ac:dyDescent="0.3">
      <c r="F47" s="1"/>
    </row>
    <row r="48" spans="6:11" x14ac:dyDescent="0.3">
      <c r="F48" s="1"/>
    </row>
    <row r="49" spans="6:6" x14ac:dyDescent="0.3">
      <c r="F49" s="1"/>
    </row>
    <row r="50" spans="6:6" x14ac:dyDescent="0.3">
      <c r="F50" s="1"/>
    </row>
    <row r="51" spans="6:6" x14ac:dyDescent="0.3">
      <c r="F51" s="1"/>
    </row>
    <row r="52" spans="6:6" x14ac:dyDescent="0.3">
      <c r="F52" s="1"/>
    </row>
    <row r="53" spans="6:6" x14ac:dyDescent="0.3">
      <c r="F53" s="1"/>
    </row>
    <row r="54" spans="6:6" x14ac:dyDescent="0.3">
      <c r="F54" s="1"/>
    </row>
    <row r="55" spans="6:6" x14ac:dyDescent="0.3">
      <c r="F55" s="1"/>
    </row>
    <row r="56" spans="6:6" x14ac:dyDescent="0.3">
      <c r="F56" s="1"/>
    </row>
    <row r="57" spans="6:6" x14ac:dyDescent="0.3">
      <c r="F57" s="1"/>
    </row>
    <row r="58" spans="6:6" x14ac:dyDescent="0.3">
      <c r="F58" s="1"/>
    </row>
    <row r="59" spans="6:6" x14ac:dyDescent="0.3">
      <c r="F59" s="1"/>
    </row>
    <row r="60" spans="6:6" x14ac:dyDescent="0.3">
      <c r="F60" s="1"/>
    </row>
    <row r="61" spans="6:6" x14ac:dyDescent="0.3">
      <c r="F61" s="1"/>
    </row>
    <row r="62" spans="6:6" x14ac:dyDescent="0.3">
      <c r="F62" s="1"/>
    </row>
    <row r="63" spans="6:6" x14ac:dyDescent="0.3">
      <c r="F63" s="1"/>
    </row>
    <row r="64" spans="6:6" x14ac:dyDescent="0.3">
      <c r="F64" s="1"/>
    </row>
    <row r="65" spans="6:6" x14ac:dyDescent="0.3">
      <c r="F65" s="1"/>
    </row>
    <row r="66" spans="6:6" x14ac:dyDescent="0.3">
      <c r="F66" s="1"/>
    </row>
    <row r="67" spans="6:6" x14ac:dyDescent="0.3">
      <c r="F67" s="1"/>
    </row>
    <row r="68" spans="6:6" x14ac:dyDescent="0.3">
      <c r="F68" s="1"/>
    </row>
    <row r="69" spans="6:6" x14ac:dyDescent="0.3">
      <c r="F69" s="1"/>
    </row>
    <row r="70" spans="6:6" x14ac:dyDescent="0.3">
      <c r="F70" s="1"/>
    </row>
    <row r="71" spans="6:6" x14ac:dyDescent="0.3">
      <c r="F71" s="1"/>
    </row>
    <row r="72" spans="6:6" x14ac:dyDescent="0.3">
      <c r="F72" s="1"/>
    </row>
  </sheetData>
  <mergeCells count="2">
    <mergeCell ref="B4:C4"/>
    <mergeCell ref="B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2-Year Loan</vt:lpstr>
      <vt:lpstr>4-Year Loan</vt:lpstr>
      <vt:lpstr>How Did I Do</vt:lpstr>
      <vt:lpstr>Your Own 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Odhiambo</cp:lastModifiedBy>
  <dcterms:created xsi:type="dcterms:W3CDTF">2023-04-03T22:50:00Z</dcterms:created>
  <dcterms:modified xsi:type="dcterms:W3CDTF">2025-09-25T19:47:43Z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2025-08-06T20:35:28Z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42804ae1-d2e9-40b7-a4a3-45811234298b</vt:lpwstr>
  </property>
  <property fmtid="{D5CDD505-2E9C-101B-9397-08002B2CF9AE}" pid="7" name="MSIP_Label_defa4170-0d19-0005-0004-bc88714345d2_ActionId">
    <vt:lpwstr>faf46f99-73c3-47a7-9030-6ce13572339b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50, 3, 0, 1</vt:lpwstr>
  </property>
</Properties>
</file>